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1-КС-2 - Акт №" sheetId="2" state="visible" r:id="rId2"/>
    <sheet xmlns:r="http://schemas.openxmlformats.org/officeDocument/2006/relationships" name="2-КС-2 - Акт №" sheetId="3" state="visible" r:id="rId3"/>
    <sheet xmlns:r="http://schemas.openxmlformats.org/officeDocument/2006/relationships" name="3-Смета по ТЕР 421+557пр (12" sheetId="4" state="visible" r:id="rId4"/>
    <sheet xmlns:r="http://schemas.openxmlformats.org/officeDocument/2006/relationships" name="3-Акт КС-2 по ТЕР 421+557пр " sheetId="5" state="visible" r:id="rId5"/>
    <sheet xmlns:r="http://schemas.openxmlformats.org/officeDocument/2006/relationships" name="3-Source" sheetId="6" state="visible" r:id="rId6"/>
    <sheet xmlns:r="http://schemas.openxmlformats.org/officeDocument/2006/relationships" name="3-SourceObSm" sheetId="7" state="visible" r:id="rId7"/>
    <sheet xmlns:r="http://schemas.openxmlformats.org/officeDocument/2006/relationships" name="3-SmtRes" sheetId="8" state="visible" r:id="rId8"/>
    <sheet xmlns:r="http://schemas.openxmlformats.org/officeDocument/2006/relationships" name="3-EtalonRes" sheetId="9" state="visible" r:id="rId9"/>
    <sheet xmlns:r="http://schemas.openxmlformats.org/officeDocument/2006/relationships" name="3-SrcPoprs" sheetId="10" state="visible" r:id="rId10"/>
    <sheet xmlns:r="http://schemas.openxmlformats.org/officeDocument/2006/relationships" name="3-SrcKA" sheetId="11" state="visible" r:id="rId11"/>
  </sheets>
  <definedNames/>
  <calcPr calcId="162913" fullCalcOnLoad="1"/>
</workbook>
</file>

<file path=xl/styles.xml><?xml version="1.0" encoding="utf-8"?>
<styleSheet xmlns="http://schemas.openxmlformats.org/spreadsheetml/2006/main">
  <numFmts count="10">
    <numFmt numFmtId="164" formatCode="0.0"/>
    <numFmt numFmtId="165" formatCode="0.00;\-0.00;"/>
    <numFmt numFmtId="166" formatCode="0.00_ ;\-0.00\ "/>
    <numFmt numFmtId="167" formatCode="0.000"/>
    <numFmt numFmtId="168" formatCode="0.0000"/>
    <numFmt numFmtId="169" formatCode="0.000000"/>
    <numFmt numFmtId="170" formatCode="#,##0.00;[Red]\-\ #,##0.00"/>
    <numFmt numFmtId="171" formatCode="#,##0.00#####;[Red]\-\ #,##0.00#####"/>
    <numFmt numFmtId="172" formatCode="#,##0;[Red]\-\ #,##0"/>
    <numFmt numFmtId="173" formatCode="yyyy-mm-dd h:mm:ss"/>
  </numFmts>
  <fonts count="65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Arial"/>
      <charset val="204"/>
      <family val="2"/>
      <color indexed="64"/>
      <sz val="8"/>
    </font>
    <font>
      <name val="Arial"/>
      <charset val="204"/>
      <family val="2"/>
      <b val="1"/>
      <color indexed="64"/>
      <sz val="8"/>
    </font>
    <font>
      <name val="Courier New"/>
      <charset val="204"/>
      <family val="3"/>
      <color rgb="FF000000"/>
      <sz val="8"/>
    </font>
    <font>
      <name val="Courier New"/>
      <charset val="204"/>
      <family val="3"/>
      <color rgb="FF000000"/>
      <sz val="10"/>
    </font>
    <font>
      <name val="Courier New"/>
      <charset val="204"/>
      <family val="3"/>
      <color rgb="FF000000"/>
      <sz val="6"/>
    </font>
    <font>
      <name val="Courier New"/>
      <charset val="204"/>
      <family val="3"/>
      <b val="1"/>
      <color rgb="FF000000"/>
      <sz val="12"/>
    </font>
    <font>
      <name val="Courier New"/>
      <charset val="204"/>
      <family val="3"/>
      <b val="1"/>
      <color rgb="FF000000"/>
      <sz val="8"/>
    </font>
    <font>
      <name val="Courier New"/>
      <charset val="204"/>
      <family val="3"/>
      <i val="1"/>
      <color rgb="FF000000"/>
      <sz val="8"/>
    </font>
    <font>
      <name val="Courier New"/>
      <sz val="8"/>
    </font>
    <font>
      <name val="Courier New"/>
      <charset val="204"/>
      <family val="3"/>
      <b val="1"/>
      <i val="1"/>
      <color rgb="FF000000"/>
      <sz val="8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408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1" fontId="6" fillId="0" borderId="18" applyAlignment="1" pivotButton="0" quotePrefix="0" xfId="0">
      <alignment vertical="top" shrinkToFit="1"/>
    </xf>
    <xf numFmtId="0" fontId="1" fillId="0" borderId="18" applyAlignment="1" pivotButton="0" quotePrefix="0" xfId="0">
      <alignment vertical="top" wrapTex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19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25" fillId="0" borderId="18" applyAlignment="1" pivotButton="0" quotePrefix="0" xfId="0">
      <alignment horizontal="left" wrapText="1"/>
    </xf>
    <xf numFmtId="0" fontId="0" fillId="0" borderId="18" applyAlignment="1" pivotButton="0" quotePrefix="0" xfId="0">
      <alignment horizontal="center" vertical="center" wrapText="1"/>
    </xf>
    <xf numFmtId="0" fontId="12" fillId="0" borderId="18" applyAlignment="1" pivotButton="0" quotePrefix="0" xfId="0">
      <alignment horizontal="center" vertical="center" wrapText="1"/>
    </xf>
    <xf numFmtId="0" fontId="29" fillId="0" borderId="18" applyAlignment="1" pivotButton="0" quotePrefix="0" xfId="0">
      <alignment horizontal="center" vertical="center" wrapTex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6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/>
    </xf>
    <xf numFmtId="1" fontId="6" fillId="0" borderId="18" applyAlignment="1" pivotButton="0" quotePrefix="0" xfId="0">
      <alignment horizontal="center" vertical="top" shrinkToFit="1"/>
    </xf>
    <xf numFmtId="0" fontId="3" fillId="0" borderId="18" applyAlignment="1" pivotButton="0" quotePrefix="0" xfId="0">
      <alignment horizontal="left" vertical="top" wrapText="1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left" vertical="top" wrapText="1" indent="1"/>
    </xf>
    <xf numFmtId="0" fontId="1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center" vertical="top"/>
    </xf>
    <xf numFmtId="0" fontId="0" fillId="0" borderId="18" applyAlignment="1" pivotButton="0" quotePrefix="0" xfId="0">
      <alignment horizontal="left" vertical="center" wrapText="1"/>
    </xf>
    <xf numFmtId="0" fontId="28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center" vertical="top" wrapTex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center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0" fontId="25" fillId="0" borderId="18" applyAlignment="1" pivotButton="0" quotePrefix="0" xfId="0">
      <alignment horizontal="center" vertical="center" wrapText="1"/>
    </xf>
    <xf numFmtId="1" fontId="25" fillId="0" borderId="30" applyAlignment="1" pivotButton="0" quotePrefix="0" xfId="0">
      <alignment horizontal="center" vertical="top" shrinkToFi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4" applyAlignment="1" pivotButton="0" quotePrefix="0" xfId="0">
      <alignment horizontal="center" vertical="top" wrapText="1"/>
    </xf>
    <xf numFmtId="1" fontId="6" fillId="0" borderId="26" applyAlignment="1" pivotButton="0" quotePrefix="0" xfId="0">
      <alignment horizontal="center" vertical="top" shrinkToFit="1"/>
    </xf>
    <xf numFmtId="1" fontId="6" fillId="0" borderId="27" applyAlignment="1" pivotButton="0" quotePrefix="0" xfId="0">
      <alignment horizontal="center" vertical="top" shrinkToFit="1"/>
    </xf>
    <xf numFmtId="1" fontId="6" fillId="0" borderId="28" applyAlignment="1" pivotButton="0" quotePrefix="0" xfId="0">
      <alignment horizontal="center" vertical="top" shrinkToFit="1"/>
    </xf>
    <xf numFmtId="0" fontId="1" fillId="0" borderId="18" applyAlignment="1" pivotButton="0" quotePrefix="0" xfId="0">
      <alignment horizontal="left" vertical="top" wrapText="1"/>
    </xf>
    <xf numFmtId="0" fontId="12" fillId="0" borderId="27" applyAlignment="1" pivotButton="0" quotePrefix="0" xfId="0">
      <alignment horizontal="left" vertical="center" wrapText="1"/>
    </xf>
    <xf numFmtId="0" fontId="12" fillId="0" borderId="28" applyAlignment="1" pivotButton="0" quotePrefix="0" xfId="0">
      <alignment horizontal="left" vertical="center" wrapText="1"/>
    </xf>
    <xf numFmtId="164" fontId="27" fillId="0" borderId="18" applyAlignment="1" pivotButton="0" quotePrefix="0" xfId="0">
      <alignment horizontal="center" vertical="top" shrinkToFit="1"/>
    </xf>
    <xf numFmtId="164" fontId="25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" fontId="27" fillId="0" borderId="13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1" fontId="25" fillId="0" borderId="29" applyAlignment="1" pivotButton="0" quotePrefix="0" xfId="0">
      <alignment horizontal="center" vertical="top" shrinkToFi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64" fontId="27" fillId="0" borderId="26" applyAlignment="1" pivotButton="0" quotePrefix="0" xfId="0">
      <alignment horizontal="center" vertical="top" shrinkToFit="1"/>
    </xf>
    <xf numFmtId="164" fontId="27" fillId="0" borderId="28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0" fontId="25" fillId="0" borderId="18" applyAlignment="1" pivotButton="0" quotePrefix="0" xfId="0">
      <alignment horizontal="center" wrapText="1"/>
    </xf>
    <xf numFmtId="0" fontId="25" fillId="0" borderId="26" applyAlignment="1" pivotButton="0" quotePrefix="0" xfId="0">
      <alignment horizontal="center" wrapText="1"/>
    </xf>
    <xf numFmtId="0" fontId="25" fillId="0" borderId="28" applyAlignment="1" pivotButton="0" quotePrefix="0" xfId="0">
      <alignment horizontal="center" wrapText="1"/>
    </xf>
    <xf numFmtId="1" fontId="29" fillId="0" borderId="13" applyAlignment="1" pivotButton="0" quotePrefix="0" xfId="0">
      <alignment horizontal="center" vertical="top" shrinkToFit="1"/>
    </xf>
    <xf numFmtId="1" fontId="29" fillId="0" borderId="15" applyAlignment="1" pivotButton="0" quotePrefix="0" xfId="0">
      <alignment horizontal="center" vertical="top" shrinkToFit="1"/>
    </xf>
    <xf numFmtId="165" fontId="30" fillId="0" borderId="26" applyAlignment="1" pivotButton="0" quotePrefix="0" xfId="0">
      <alignment horizontal="center" vertical="center" wrapText="1"/>
    </xf>
    <xf numFmtId="165" fontId="30" fillId="0" borderId="27" applyAlignment="1" pivotButton="0" quotePrefix="0" xfId="0">
      <alignment horizontal="center" vertical="center" wrapText="1"/>
    </xf>
    <xf numFmtId="165" fontId="30" fillId="0" borderId="28" applyAlignment="1" pivotButton="0" quotePrefix="0" xfId="0">
      <alignment horizontal="center" vertical="center" wrapText="1"/>
    </xf>
    <xf numFmtId="166" fontId="0" fillId="0" borderId="18" applyAlignment="1" pivotButton="0" quotePrefix="0" xfId="0">
      <alignment horizontal="center" vertical="top" wrapText="1"/>
    </xf>
    <xf numFmtId="165" fontId="31" fillId="0" borderId="26" applyAlignment="1" pivotButton="0" quotePrefix="0" xfId="0">
      <alignment horizontal="center" vertical="center" wrapText="1"/>
    </xf>
    <xf numFmtId="165" fontId="31" fillId="0" borderId="27" applyAlignment="1" pivotButton="0" quotePrefix="0" xfId="0">
      <alignment horizontal="center" vertical="center" wrapText="1"/>
    </xf>
    <xf numFmtId="165" fontId="31" fillId="0" borderId="28" applyAlignment="1" pivotButton="0" quotePrefix="0" xfId="0">
      <alignment horizontal="center" vertical="center" wrapText="1"/>
    </xf>
    <xf numFmtId="166" fontId="28" fillId="0" borderId="18" applyAlignment="1" pivotButton="0" quotePrefix="0" xfId="0">
      <alignment horizontal="center" vertical="top" wrapTex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5" pivotButton="0" quotePrefix="0" xfId="0"/>
    <xf numFmtId="0" fontId="0" fillId="0" borderId="36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4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9" fillId="0" borderId="5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12" fillId="0" borderId="18" applyAlignment="1" pivotButton="0" quotePrefix="0" xfId="0">
      <alignment horizontal="left" vertical="center" wrapText="1"/>
    </xf>
    <xf numFmtId="165" fontId="30" fillId="0" borderId="18" applyAlignment="1" pivotButton="0" quotePrefix="0" xfId="0">
      <alignment horizontal="center" vertical="center" wrapText="1"/>
    </xf>
    <xf numFmtId="165" fontId="31" fillId="0" borderId="18" applyAlignment="1" pivotButton="0" quotePrefix="0" xfId="0">
      <alignment horizontal="center" vertical="center" wrapText="1"/>
    </xf>
    <xf numFmtId="0" fontId="32" fillId="0" borderId="0" applyAlignment="1" pivotButton="0" quotePrefix="0" xfId="0">
      <alignment horizontal="right" vertical="top" wrapText="1"/>
    </xf>
    <xf numFmtId="0" fontId="33" fillId="0" borderId="0" applyAlignment="1" pivotButton="0" quotePrefix="0" xfId="0">
      <alignment horizontal="left" vertical="top" wrapText="1"/>
    </xf>
    <xf numFmtId="0" fontId="33" fillId="0" borderId="37" applyAlignment="1" pivotButton="0" quotePrefix="0" xfId="0">
      <alignment horizontal="center" vertical="top" wrapText="1"/>
    </xf>
    <xf numFmtId="0" fontId="0" fillId="0" borderId="44" pivotButton="0" quotePrefix="0" xfId="0"/>
    <xf numFmtId="0" fontId="0" fillId="0" borderId="45" pivotButton="0" quotePrefix="0" xfId="0"/>
    <xf numFmtId="0" fontId="33" fillId="0" borderId="0" applyAlignment="1" pivotButton="0" quotePrefix="0" xfId="0">
      <alignment horizontal="right" vertical="top" wrapText="1"/>
    </xf>
    <xf numFmtId="0" fontId="33" fillId="0" borderId="38" applyAlignment="1" pivotButton="0" quotePrefix="0" xfId="0">
      <alignment horizontal="left" vertical="top" wrapText="1"/>
    </xf>
    <xf numFmtId="0" fontId="0" fillId="0" borderId="38" pivotButton="0" quotePrefix="0" xfId="0"/>
    <xf numFmtId="0" fontId="33" fillId="0" borderId="39" applyAlignment="1" pivotButton="0" quotePrefix="0" xfId="0">
      <alignment horizontal="center" vertical="top" wrapText="1"/>
    </xf>
    <xf numFmtId="0" fontId="0" fillId="0" borderId="41" pivotButton="0" quotePrefix="0" xfId="0"/>
    <xf numFmtId="0" fontId="0" fillId="0" borderId="43" pivotButton="0" quotePrefix="0" xfId="0"/>
    <xf numFmtId="0" fontId="34" fillId="0" borderId="0" applyAlignment="1" pivotButton="0" quotePrefix="0" xfId="0">
      <alignment horizontal="center" vertical="top" wrapText="1"/>
    </xf>
    <xf numFmtId="0" fontId="33" fillId="0" borderId="40" applyAlignment="1" pivotButton="0" quotePrefix="0" xfId="0">
      <alignment horizontal="left" vertical="top" wrapText="1"/>
    </xf>
    <xf numFmtId="0" fontId="0" fillId="0" borderId="50" pivotButton="0" quotePrefix="0" xfId="0"/>
    <xf numFmtId="0" fontId="33" fillId="0" borderId="37" applyAlignment="1" pivotButton="0" quotePrefix="0" xfId="0">
      <alignment horizontal="center" vertical="center" wrapText="1"/>
    </xf>
    <xf numFmtId="0" fontId="32" fillId="0" borderId="37" applyAlignment="1" pivotButton="0" quotePrefix="0" xfId="0">
      <alignment horizontal="center" vertical="center" wrapText="1"/>
    </xf>
    <xf numFmtId="0" fontId="32" fillId="0" borderId="0" applyAlignment="1" pivotButton="0" quotePrefix="0" xfId="0">
      <alignment horizontal="left" vertical="top" wrapText="1"/>
    </xf>
    <xf numFmtId="0" fontId="35" fillId="0" borderId="0" applyAlignment="1" pivotButton="0" quotePrefix="0" xfId="0">
      <alignment horizontal="center" vertical="center" wrapText="1"/>
    </xf>
    <xf numFmtId="0" fontId="32" fillId="0" borderId="0" applyAlignment="1" pivotButton="0" quotePrefix="0" xfId="0">
      <alignment horizontal="left" vertical="center" wrapText="1"/>
    </xf>
    <xf numFmtId="2" fontId="36" fillId="0" borderId="0" applyAlignment="1" pivotButton="0" quotePrefix="0" xfId="0">
      <alignment horizontal="center" vertical="center" wrapText="1"/>
    </xf>
    <xf numFmtId="0" fontId="0" fillId="0" borderId="49" pivotButton="0" quotePrefix="0" xfId="0"/>
    <xf numFmtId="0" fontId="0" fillId="0" borderId="46" pivotButton="0" quotePrefix="0" xfId="0"/>
    <xf numFmtId="0" fontId="0" fillId="0" borderId="48" pivotButton="0" quotePrefix="0" xfId="0"/>
    <xf numFmtId="0" fontId="0" fillId="0" borderId="40" pivotButton="0" quotePrefix="0" xfId="0"/>
    <xf numFmtId="0" fontId="36" fillId="0" borderId="38" applyAlignment="1" pivotButton="0" quotePrefix="0" xfId="0">
      <alignment horizontal="left" vertical="center" wrapText="1"/>
    </xf>
    <xf numFmtId="0" fontId="36" fillId="0" borderId="0" applyAlignment="1" pivotButton="0" quotePrefix="0" xfId="0">
      <alignment horizontal="left" vertical="top" wrapText="1"/>
    </xf>
    <xf numFmtId="164" fontId="32" fillId="0" borderId="0" applyAlignment="1" pivotButton="0" quotePrefix="0" xfId="0">
      <alignment horizontal="right" vertical="top" wrapText="1"/>
    </xf>
    <xf numFmtId="2" fontId="36" fillId="0" borderId="0" applyAlignment="1" pivotButton="0" quotePrefix="0" xfId="0">
      <alignment horizontal="right" vertical="top" wrapText="1"/>
    </xf>
    <xf numFmtId="167" fontId="32" fillId="0" borderId="0" applyAlignment="1" pivotButton="0" quotePrefix="0" xfId="0">
      <alignment horizontal="right" vertical="top" wrapText="1"/>
    </xf>
    <xf numFmtId="2" fontId="32" fillId="0" borderId="0" applyAlignment="1" pivotButton="0" quotePrefix="0" xfId="0">
      <alignment horizontal="right" vertical="top" wrapText="1"/>
    </xf>
    <xf numFmtId="0" fontId="37" fillId="0" borderId="0" applyAlignment="1" pivotButton="0" quotePrefix="0" xfId="0">
      <alignment horizontal="left" vertical="top" wrapText="1"/>
    </xf>
    <xf numFmtId="0" fontId="37" fillId="0" borderId="0" applyAlignment="1" pivotButton="0" quotePrefix="0" xfId="0">
      <alignment horizontal="right" vertical="top" wrapText="1"/>
    </xf>
    <xf numFmtId="167" fontId="37" fillId="0" borderId="0" applyAlignment="1" pivotButton="0" quotePrefix="0" xfId="0">
      <alignment horizontal="right" vertical="top" wrapText="1"/>
    </xf>
    <xf numFmtId="168" fontId="32" fillId="0" borderId="0" applyAlignment="1" pivotButton="0" quotePrefix="0" xfId="0">
      <alignment horizontal="right" vertical="top" wrapText="1"/>
    </xf>
    <xf numFmtId="1" fontId="32" fillId="0" borderId="0" applyAlignment="1" pivotButton="0" quotePrefix="0" xfId="0">
      <alignment horizontal="right" vertical="top" wrapText="1"/>
    </xf>
    <xf numFmtId="0" fontId="36" fillId="0" borderId="41" applyAlignment="1" pivotButton="0" quotePrefix="0" xfId="0">
      <alignment horizontal="left" vertical="top" wrapText="1"/>
    </xf>
    <xf numFmtId="0" fontId="32" fillId="0" borderId="41" applyAlignment="1" pivotButton="0" quotePrefix="0" xfId="0">
      <alignment horizontal="left" vertical="top" wrapText="1"/>
    </xf>
    <xf numFmtId="2" fontId="36" fillId="0" borderId="41" applyAlignment="1" pivotButton="0" quotePrefix="0" xfId="0">
      <alignment horizontal="right" vertical="top" wrapText="1"/>
    </xf>
    <xf numFmtId="0" fontId="38" fillId="0" borderId="38" pivotButton="0" quotePrefix="0" xfId="0"/>
    <xf numFmtId="168" fontId="37" fillId="0" borderId="0" applyAlignment="1" pivotButton="0" quotePrefix="0" xfId="0">
      <alignment horizontal="right" vertical="top" wrapText="1"/>
    </xf>
    <xf numFmtId="169" fontId="32" fillId="0" borderId="0" applyAlignment="1" pivotButton="0" quotePrefix="0" xfId="0">
      <alignment horizontal="right" vertical="top" wrapText="1"/>
    </xf>
    <xf numFmtId="0" fontId="39" fillId="0" borderId="0" applyAlignment="1" pivotButton="0" quotePrefix="0" xfId="0">
      <alignment horizontal="left" vertical="top" wrapText="1"/>
    </xf>
    <xf numFmtId="2" fontId="39" fillId="0" borderId="0" applyAlignment="1" pivotButton="0" quotePrefix="0" xfId="0">
      <alignment horizontal="right" vertical="top" wrapText="1"/>
    </xf>
    <xf numFmtId="0" fontId="38" fillId="0" borderId="42" pivotButton="0" quotePrefix="0" xfId="0"/>
    <xf numFmtId="0" fontId="39" fillId="0" borderId="0" applyAlignment="1" pivotButton="0" quotePrefix="0" xfId="0">
      <alignment horizontal="right" vertical="top" wrapText="1"/>
    </xf>
    <xf numFmtId="0" fontId="32" fillId="0" borderId="0" applyAlignment="1" pivotButton="0" quotePrefix="0" xfId="0">
      <alignment horizontal="left" wrapText="1"/>
    </xf>
    <xf numFmtId="0" fontId="32" fillId="0" borderId="38" applyAlignment="1" pivotButton="0" quotePrefix="0" xfId="0">
      <alignment horizontal="left" wrapText="1"/>
    </xf>
    <xf numFmtId="0" fontId="33" fillId="0" borderId="0" applyAlignment="1" pivotButton="0" quotePrefix="0" xfId="0">
      <alignment horizontal="left" vertical="center" wrapText="1"/>
    </xf>
    <xf numFmtId="0" fontId="40" fillId="0" borderId="0" pivotButton="0" quotePrefix="0" xfId="0"/>
    <xf numFmtId="0" fontId="41" fillId="0" borderId="0" pivotButton="0" quotePrefix="0" xfId="0"/>
    <xf numFmtId="0" fontId="42" fillId="0" borderId="0" pivotButton="0" quotePrefix="0" xfId="0"/>
    <xf numFmtId="0" fontId="43" fillId="0" borderId="0" applyAlignment="1" pivotButton="0" quotePrefix="0" xfId="0">
      <alignment horizontal="left"/>
    </xf>
    <xf numFmtId="0" fontId="44" fillId="0" borderId="0" pivotButton="0" quotePrefix="0" xfId="0"/>
    <xf numFmtId="0" fontId="44" fillId="0" borderId="0" applyAlignment="1" pivotButton="0" quotePrefix="0" xfId="0">
      <alignment horizontal="left"/>
    </xf>
    <xf numFmtId="0" fontId="44" fillId="0" borderId="0" applyAlignment="1" pivotButton="0" quotePrefix="0" xfId="0">
      <alignment wrapText="1"/>
    </xf>
    <xf numFmtId="0" fontId="44" fillId="0" borderId="0" applyAlignment="1" pivotButton="0" quotePrefix="0" xfId="0">
      <alignment horizontal="left" wrapText="1"/>
    </xf>
    <xf numFmtId="0" fontId="45" fillId="0" borderId="0" applyAlignment="1" pivotButton="0" quotePrefix="0" xfId="0">
      <alignment vertical="top" wrapText="1"/>
    </xf>
    <xf numFmtId="0" fontId="45" fillId="0" borderId="16" applyAlignment="1" pivotButton="0" quotePrefix="0" xfId="0">
      <alignment horizontal="left" vertical="top" wrapText="1"/>
    </xf>
    <xf numFmtId="0" fontId="45" fillId="0" borderId="17" applyAlignment="1" pivotButton="0" quotePrefix="0" xfId="0">
      <alignment vertical="top"/>
    </xf>
    <xf numFmtId="0" fontId="45" fillId="0" borderId="0" applyAlignment="1" pivotButton="0" quotePrefix="0" xfId="0">
      <alignment horizontal="left" vertical="top" wrapText="1"/>
    </xf>
    <xf numFmtId="0" fontId="45" fillId="0" borderId="17" applyAlignment="1" pivotButton="0" quotePrefix="0" xfId="0">
      <alignment horizontal="left" vertical="top" wrapText="1"/>
    </xf>
    <xf numFmtId="0" fontId="41" fillId="0" borderId="17" pivotButton="0" quotePrefix="0" xfId="0"/>
    <xf numFmtId="0" fontId="43" fillId="0" borderId="16" applyAlignment="1" pivotButton="0" quotePrefix="0" xfId="0">
      <alignment horizontal="center" wrapText="1"/>
    </xf>
    <xf numFmtId="0" fontId="46" fillId="0" borderId="17" applyAlignment="1" pivotButton="0" quotePrefix="0" xfId="0">
      <alignment horizontal="center" vertical="top" wrapText="1"/>
    </xf>
    <xf numFmtId="0" fontId="43" fillId="0" borderId="0" applyAlignment="1" pivotButton="0" quotePrefix="0" xfId="0">
      <alignment horizontal="center" wrapText="1"/>
    </xf>
    <xf numFmtId="0" fontId="47" fillId="0" borderId="0" applyAlignment="1" pivotButton="0" quotePrefix="0" xfId="0">
      <alignment vertical="center" wrapText="1"/>
    </xf>
    <xf numFmtId="0" fontId="47" fillId="0" borderId="0" applyAlignment="1" pivotButton="0" quotePrefix="0" xfId="0">
      <alignment horizontal="center" wrapText="1"/>
    </xf>
    <xf numFmtId="0" fontId="48" fillId="0" borderId="16" applyAlignment="1" pivotButton="0" quotePrefix="0" xfId="0">
      <alignment horizontal="center" wrapText="1"/>
    </xf>
    <xf numFmtId="0" fontId="45" fillId="0" borderId="0" pivotButton="0" quotePrefix="0" xfId="0"/>
    <xf numFmtId="0" fontId="45" fillId="0" borderId="16" applyAlignment="1" pivotButton="0" quotePrefix="0" xfId="0">
      <alignment horizontal="center"/>
    </xf>
    <xf numFmtId="0" fontId="45" fillId="0" borderId="17" pivotButton="0" quotePrefix="0" xfId="0"/>
    <xf numFmtId="0" fontId="45" fillId="0" borderId="16" applyAlignment="1" pivotButton="0" quotePrefix="0" xfId="0">
      <alignment horizontal="left" wrapText="1"/>
    </xf>
    <xf numFmtId="0" fontId="45" fillId="0" borderId="0" applyAlignment="1" pivotButton="0" quotePrefix="0" xfId="0">
      <alignment horizontal="left" wrapText="1"/>
    </xf>
    <xf numFmtId="0" fontId="45" fillId="0" borderId="0" applyAlignment="1" pivotButton="0" quotePrefix="0" xfId="0">
      <alignment wrapText="1"/>
    </xf>
    <xf numFmtId="14" fontId="44" fillId="0" borderId="0" pivotButton="0" quotePrefix="0" xfId="0"/>
    <xf numFmtId="0" fontId="49" fillId="0" borderId="0" pivotButton="0" quotePrefix="0" xfId="0"/>
    <xf numFmtId="170" fontId="45" fillId="0" borderId="0" applyAlignment="1" pivotButton="0" quotePrefix="0" xfId="0">
      <alignment horizontal="right"/>
    </xf>
    <xf numFmtId="0" fontId="45" fillId="0" borderId="0" applyAlignment="1" pivotButton="0" quotePrefix="0" xfId="0">
      <alignment horizontal="right"/>
    </xf>
    <xf numFmtId="0" fontId="50" fillId="0" borderId="0" pivotButton="0" quotePrefix="0" xfId="0"/>
    <xf numFmtId="170" fontId="45" fillId="0" borderId="0" pivotButton="0" quotePrefix="0" xfId="0"/>
    <xf numFmtId="170" fontId="44" fillId="0" borderId="0" pivotButton="0" quotePrefix="0" xfId="0"/>
    <xf numFmtId="167" fontId="44" fillId="0" borderId="0" pivotButton="0" quotePrefix="0" xfId="0"/>
    <xf numFmtId="171" fontId="45" fillId="0" borderId="0" applyAlignment="1" pivotButton="0" quotePrefix="0" xfId="0">
      <alignment horizontal="right"/>
    </xf>
    <xf numFmtId="0" fontId="44" fillId="0" borderId="16" pivotButton="0" quotePrefix="0" xfId="0"/>
    <xf numFmtId="0" fontId="45" fillId="0" borderId="18" applyAlignment="1" pivotButton="0" quotePrefix="0" xfId="0">
      <alignment horizontal="center" vertical="center" wrapText="1"/>
    </xf>
    <xf numFmtId="0" fontId="45" fillId="0" borderId="51" applyAlignment="1" pivotButton="0" quotePrefix="0" xfId="0">
      <alignment horizontal="center" vertical="center" wrapText="1"/>
    </xf>
    <xf numFmtId="0" fontId="0" fillId="0" borderId="53" pivotButton="0" quotePrefix="0" xfId="0"/>
    <xf numFmtId="0" fontId="45" fillId="0" borderId="52" applyAlignment="1" pivotButton="0" quotePrefix="0" xfId="0">
      <alignment horizontal="center" vertical="center" wrapText="1"/>
    </xf>
    <xf numFmtId="0" fontId="0" fillId="0" borderId="55" pivotButton="0" quotePrefix="0" xfId="0"/>
    <xf numFmtId="0" fontId="0" fillId="0" borderId="54" pivotButton="0" quotePrefix="0" xfId="0"/>
    <xf numFmtId="0" fontId="51" fillId="0" borderId="18" applyAlignment="1" pivotButton="0" quotePrefix="0" xfId="0">
      <alignment horizontal="center" vertical="center" wrapText="1"/>
    </xf>
    <xf numFmtId="0" fontId="0" fillId="0" borderId="56" pivotButton="0" quotePrefix="0" xfId="0"/>
    <xf numFmtId="0" fontId="45" fillId="0" borderId="18" applyAlignment="1" pivotButton="0" quotePrefix="0" xfId="0">
      <alignment horizontal="center"/>
    </xf>
    <xf numFmtId="0" fontId="44" fillId="0" borderId="18" applyAlignment="1" pivotButton="0" quotePrefix="0" xfId="0">
      <alignment horizontal="center"/>
    </xf>
    <xf numFmtId="0" fontId="52" fillId="0" borderId="0" applyAlignment="1" pivotButton="0" quotePrefix="0" xfId="0">
      <alignment horizontal="left" vertical="top" wrapText="1"/>
    </xf>
    <xf numFmtId="0" fontId="53" fillId="0" borderId="0" applyAlignment="1" pivotButton="0" quotePrefix="0" xfId="0">
      <alignment horizontal="right" vertical="top" wrapText="1"/>
    </xf>
    <xf numFmtId="0" fontId="52" fillId="0" borderId="0" applyAlignment="1" pivotButton="0" quotePrefix="0" xfId="0">
      <alignment horizontal="right" vertical="top"/>
    </xf>
    <xf numFmtId="170" fontId="52" fillId="0" borderId="0" applyAlignment="1" pivotButton="0" quotePrefix="0" xfId="0">
      <alignment horizontal="right" vertical="top"/>
    </xf>
    <xf numFmtId="0" fontId="52" fillId="0" borderId="0" applyAlignment="1" pivotButton="0" quotePrefix="0" xfId="0">
      <alignment horizontal="right" vertical="top" wrapText="1"/>
    </xf>
    <xf numFmtId="172" fontId="52" fillId="0" borderId="0" applyAlignment="1" pivotButton="0" quotePrefix="0" xfId="0">
      <alignment horizontal="right" vertical="top"/>
    </xf>
    <xf numFmtId="0" fontId="51" fillId="0" borderId="0" applyAlignment="1" pivotButton="0" quotePrefix="0" xfId="0">
      <alignment vertical="top" wrapText="1"/>
    </xf>
    <xf numFmtId="0" fontId="52" fillId="0" borderId="16" applyAlignment="1" pivotButton="0" quotePrefix="0" xfId="0">
      <alignment horizontal="left" vertical="top" wrapText="1"/>
    </xf>
    <xf numFmtId="0" fontId="53" fillId="0" borderId="16" applyAlignment="1" pivotButton="0" quotePrefix="0" xfId="0">
      <alignment horizontal="right" vertical="top" wrapText="1"/>
    </xf>
    <xf numFmtId="0" fontId="52" fillId="0" borderId="16" applyAlignment="1" pivotButton="0" quotePrefix="0" xfId="0">
      <alignment horizontal="right" vertical="top"/>
    </xf>
    <xf numFmtId="170" fontId="52" fillId="0" borderId="16" applyAlignment="1" pivotButton="0" quotePrefix="0" xfId="0">
      <alignment horizontal="right" vertical="top"/>
    </xf>
    <xf numFmtId="0" fontId="52" fillId="0" borderId="16" applyAlignment="1" pivotButton="0" quotePrefix="0" xfId="0">
      <alignment horizontal="right" vertical="top" wrapText="1"/>
    </xf>
    <xf numFmtId="172" fontId="52" fillId="0" borderId="16" applyAlignment="1" pivotButton="0" quotePrefix="0" xfId="0">
      <alignment horizontal="right" vertical="top"/>
    </xf>
    <xf numFmtId="170" fontId="54" fillId="0" borderId="0" applyAlignment="1" pivotButton="0" quotePrefix="0" xfId="0">
      <alignment horizontal="left" vertical="top"/>
    </xf>
    <xf numFmtId="170" fontId="54" fillId="0" borderId="17" applyAlignment="1" pivotButton="0" quotePrefix="0" xfId="0">
      <alignment horizontal="right" vertical="top"/>
    </xf>
    <xf numFmtId="172" fontId="54" fillId="0" borderId="17" applyAlignment="1" pivotButton="0" quotePrefix="0" xfId="0">
      <alignment horizontal="right" vertical="top"/>
    </xf>
    <xf numFmtId="170" fontId="55" fillId="0" borderId="0" pivotButton="0" quotePrefix="0" xfId="0"/>
    <xf numFmtId="172" fontId="55" fillId="0" borderId="0" pivotButton="0" quotePrefix="0" xfId="0"/>
    <xf numFmtId="170" fontId="53" fillId="0" borderId="0" applyAlignment="1" pivotButton="0" quotePrefix="0" xfId="0">
      <alignment horizontal="right" vertical="top"/>
    </xf>
    <xf numFmtId="172" fontId="53" fillId="0" borderId="0" applyAlignment="1" pivotButton="0" quotePrefix="0" xfId="0">
      <alignment horizontal="right" vertical="top"/>
    </xf>
    <xf numFmtId="0" fontId="54" fillId="0" borderId="17" applyAlignment="1" pivotButton="0" quotePrefix="0" xfId="0">
      <alignment vertical="top"/>
    </xf>
    <xf numFmtId="0" fontId="56" fillId="0" borderId="17" applyAlignment="1" pivotButton="0" quotePrefix="0" xfId="0">
      <alignment horizontal="left" vertical="top" wrapText="1"/>
    </xf>
    <xf numFmtId="0" fontId="54" fillId="0" borderId="17" applyAlignment="1" pivotButton="0" quotePrefix="0" xfId="0">
      <alignment horizontal="left" vertical="top" wrapText="1"/>
    </xf>
    <xf numFmtId="0" fontId="54" fillId="0" borderId="17" applyAlignment="1" pivotButton="0" quotePrefix="0" xfId="0">
      <alignment horizontal="right" vertical="top"/>
    </xf>
    <xf numFmtId="0" fontId="54" fillId="0" borderId="0" applyAlignment="1" pivotButton="0" quotePrefix="0" xfId="0">
      <alignment vertical="top"/>
    </xf>
    <xf numFmtId="0" fontId="56" fillId="0" borderId="0" applyAlignment="1" pivotButton="0" quotePrefix="0" xfId="0">
      <alignment horizontal="left" vertical="top" wrapText="1"/>
    </xf>
    <xf numFmtId="0" fontId="54" fillId="0" borderId="0" applyAlignment="1" pivotButton="0" quotePrefix="0" xfId="0">
      <alignment horizontal="left" vertical="top" wrapText="1"/>
    </xf>
    <xf numFmtId="0" fontId="54" fillId="0" borderId="0" applyAlignment="1" pivotButton="0" quotePrefix="0" xfId="0">
      <alignment horizontal="right" vertical="top"/>
    </xf>
    <xf numFmtId="170" fontId="54" fillId="0" borderId="0" applyAlignment="1" pivotButton="0" quotePrefix="0" xfId="0">
      <alignment horizontal="right" vertical="top"/>
    </xf>
    <xf numFmtId="172" fontId="54" fillId="0" borderId="0" applyAlignment="1" pivotButton="0" quotePrefix="0" xfId="0">
      <alignment horizontal="right" vertical="top"/>
    </xf>
    <xf numFmtId="0" fontId="52" fillId="0" borderId="0" applyAlignment="1" pivotButton="0" quotePrefix="0" xfId="0">
      <alignment vertical="top"/>
    </xf>
    <xf numFmtId="0" fontId="51" fillId="0" borderId="0" applyAlignment="1" pivotButton="0" quotePrefix="0" xfId="0">
      <alignment horizontal="left" vertical="top" wrapText="1"/>
    </xf>
    <xf numFmtId="0" fontId="53" fillId="0" borderId="0" applyAlignment="1" pivotButton="0" quotePrefix="0" xfId="0">
      <alignment horizontal="left" vertical="top" wrapText="1"/>
    </xf>
    <xf numFmtId="171" fontId="52" fillId="0" borderId="0" applyAlignment="1" pivotButton="0" quotePrefix="0" xfId="0">
      <alignment horizontal="right" vertical="top"/>
    </xf>
    <xf numFmtId="0" fontId="52" fillId="0" borderId="0" applyAlignment="1" pivotButton="0" quotePrefix="0" xfId="0">
      <alignment horizontal="left" wrapText="1"/>
    </xf>
    <xf numFmtId="172" fontId="52" fillId="0" borderId="0" applyAlignment="1" pivotButton="0" quotePrefix="0" xfId="0">
      <alignment horizontal="right"/>
    </xf>
    <xf numFmtId="0" fontId="41" fillId="0" borderId="0" applyAlignment="1" pivotButton="0" quotePrefix="0" xfId="0">
      <alignment horizontal="right"/>
    </xf>
    <xf numFmtId="0" fontId="45" fillId="0" borderId="0" applyAlignment="1" pivotButton="0" quotePrefix="0" xfId="0">
      <alignment horizontal="right" vertical="center"/>
    </xf>
    <xf numFmtId="0" fontId="44" fillId="0" borderId="16" applyAlignment="1" pivotButton="0" quotePrefix="0" xfId="0">
      <alignment horizontal="left"/>
    </xf>
    <xf numFmtId="0" fontId="44" fillId="0" borderId="0" applyAlignment="1" pivotButton="0" quotePrefix="0" xfId="0">
      <alignment horizontal="right"/>
    </xf>
    <xf numFmtId="0" fontId="57" fillId="0" borderId="17" applyAlignment="1" pivotButton="0" quotePrefix="0" xfId="0">
      <alignment horizontal="center"/>
    </xf>
    <xf numFmtId="0" fontId="57" fillId="0" borderId="0" applyAlignment="1" pivotButton="0" quotePrefix="0" xfId="0">
      <alignment wrapText="1"/>
    </xf>
    <xf numFmtId="0" fontId="57" fillId="0" borderId="0" applyAlignment="1" pivotButton="0" quotePrefix="0" xfId="0">
      <alignment horizontal="right" vertical="center" wrapText="1"/>
    </xf>
    <xf numFmtId="0" fontId="57" fillId="0" borderId="16" applyAlignment="1" pivotButton="0" quotePrefix="0" xfId="0">
      <alignment horizontal="center" wrapText="1"/>
    </xf>
    <xf numFmtId="0" fontId="57" fillId="0" borderId="36" applyAlignment="1" pivotButton="0" quotePrefix="0" xfId="0">
      <alignment horizontal="right" wrapText="1"/>
    </xf>
    <xf numFmtId="0" fontId="57" fillId="0" borderId="18" applyAlignment="1" pivotButton="0" quotePrefix="0" xfId="0">
      <alignment horizontal="center" wrapText="1"/>
    </xf>
    <xf numFmtId="0" fontId="57" fillId="0" borderId="16" applyAlignment="1" pivotButton="0" quotePrefix="0" xfId="0">
      <alignment horizontal="left" wrapText="1"/>
    </xf>
    <xf numFmtId="0" fontId="57" fillId="0" borderId="17" applyAlignment="1" pivotButton="0" quotePrefix="0" xfId="0">
      <alignment horizontal="center" vertical="top" wrapText="1"/>
    </xf>
    <xf numFmtId="0" fontId="57" fillId="0" borderId="36" applyAlignment="1" pivotButton="0" quotePrefix="0" xfId="0">
      <alignment wrapText="1"/>
    </xf>
    <xf numFmtId="0" fontId="57" fillId="0" borderId="27" applyAlignment="1" pivotButton="0" quotePrefix="0" xfId="0">
      <alignment wrapText="1"/>
    </xf>
    <xf numFmtId="0" fontId="57" fillId="0" borderId="25" applyAlignment="1" pivotButton="0" quotePrefix="0" xfId="0">
      <alignment horizontal="right" wrapText="1"/>
    </xf>
    <xf numFmtId="0" fontId="57" fillId="0" borderId="23" applyAlignment="1" pivotButton="0" quotePrefix="0" xfId="0">
      <alignment horizontal="right" wrapText="1"/>
    </xf>
    <xf numFmtId="14" fontId="57" fillId="0" borderId="18" applyAlignment="1" pivotButton="0" quotePrefix="0" xfId="0">
      <alignment horizontal="center" wrapText="1"/>
    </xf>
    <xf numFmtId="0" fontId="57" fillId="0" borderId="16" applyAlignment="1" pivotButton="0" quotePrefix="0" xfId="0">
      <alignment wrapText="1"/>
    </xf>
    <xf numFmtId="0" fontId="57" fillId="0" borderId="17" applyAlignment="1" pivotButton="0" quotePrefix="0" xfId="0">
      <alignment wrapText="1"/>
    </xf>
    <xf numFmtId="0" fontId="57" fillId="0" borderId="18" applyAlignment="1" pivotButton="0" quotePrefix="0" xfId="0">
      <alignment horizontal="center" vertical="center" wrapText="1"/>
    </xf>
    <xf numFmtId="0" fontId="57" fillId="0" borderId="35" applyAlignment="1" pivotButton="0" quotePrefix="0" xfId="0">
      <alignment wrapText="1"/>
    </xf>
    <xf numFmtId="0" fontId="57" fillId="0" borderId="18" applyAlignment="1" pivotButton="0" quotePrefix="0" xfId="0">
      <alignment horizontal="center" vertical="center"/>
    </xf>
    <xf numFmtId="0" fontId="45" fillId="0" borderId="17" applyAlignment="1" pivotButton="0" quotePrefix="0" xfId="0">
      <alignment wrapText="1"/>
    </xf>
    <xf numFmtId="0" fontId="48" fillId="0" borderId="0" applyAlignment="1" pivotButton="0" quotePrefix="0" xfId="0">
      <alignment horizontal="center" wrapText="1"/>
    </xf>
    <xf numFmtId="0" fontId="44" fillId="0" borderId="16" applyAlignment="1" pivotButton="0" quotePrefix="0" xfId="0">
      <alignment wrapText="1"/>
    </xf>
    <xf numFmtId="0" fontId="45" fillId="0" borderId="26" applyAlignment="1" pivotButton="0" quotePrefix="0" xfId="0">
      <alignment horizontal="center" vertical="center" wrapText="1"/>
    </xf>
    <xf numFmtId="0" fontId="0" fillId="0" borderId="57" pivotButton="0" quotePrefix="0" xfId="0"/>
    <xf numFmtId="0" fontId="0" fillId="0" borderId="58" pivotButton="0" quotePrefix="0" xfId="0"/>
    <xf numFmtId="0" fontId="45" fillId="0" borderId="18" applyAlignment="1" pivotButton="0" quotePrefix="0" xfId="0">
      <alignment horizontal="center" wrapText="1"/>
    </xf>
    <xf numFmtId="0" fontId="44" fillId="0" borderId="0" applyAlignment="1" pivotButton="0" quotePrefix="0" xfId="0">
      <alignment vertical="center" wrapText="1"/>
    </xf>
    <xf numFmtId="0" fontId="44" fillId="0" borderId="0" applyAlignment="1" pivotButton="0" quotePrefix="0" xfId="0">
      <alignment horizontal="right" vertical="center"/>
    </xf>
    <xf numFmtId="0" fontId="44" fillId="0" borderId="16" applyAlignment="1" pivotButton="0" quotePrefix="0" xfId="0">
      <alignment horizontal="left" wrapText="1"/>
    </xf>
    <xf numFmtId="0" fontId="51" fillId="0" borderId="0" pivotButton="0" quotePrefix="0" xfId="0"/>
    <xf numFmtId="0" fontId="44" fillId="0" borderId="0" applyAlignment="1" pivotButton="0" quotePrefix="0" xfId="0">
      <alignment horizontal="right" wrapText="1"/>
    </xf>
    <xf numFmtId="0" fontId="45" fillId="0" borderId="0" applyAlignment="1" pivotButton="0" quotePrefix="0" xfId="0">
      <alignment horizontal="right" wrapText="1"/>
    </xf>
    <xf numFmtId="0" fontId="44" fillId="0" borderId="0" applyAlignment="1" pivotButton="0" quotePrefix="0" xfId="0">
      <alignment horizontal="left" vertical="center"/>
    </xf>
    <xf numFmtId="0" fontId="58" fillId="0" borderId="0" pivotButton="0" quotePrefix="0" xfId="0"/>
    <xf numFmtId="0" fontId="59" fillId="0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62" fillId="0" borderId="0" pivotButton="0" quotePrefix="0" xfId="0"/>
    <xf numFmtId="0" fontId="63" fillId="0" borderId="0" pivotButton="0" quotePrefix="0" xfId="0"/>
    <xf numFmtId="0" fontId="64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worksheet" Target="/xl/worksheets/sheet11.xml" Id="rId11"/><Relationship Type="http://schemas.openxmlformats.org/officeDocument/2006/relationships/styles" Target="styles.xml" Id="rId12"/><Relationship Type="http://schemas.openxmlformats.org/officeDocument/2006/relationships/theme" Target="theme/theme1.xml" Id="rId13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V95"/>
  <sheetViews>
    <sheetView tabSelected="1" view="pageBreakPreview" topLeftCell="A89" zoomScale="110" zoomScaleNormal="100" zoomScaleSheetLayoutView="110" workbookViewId="0">
      <selection activeCell="A89" sqref="A89:S89"/>
    </sheetView>
  </sheetViews>
  <sheetFormatPr baseColWidth="8" defaultColWidth="9.33203125" defaultRowHeight="12.75"/>
  <cols>
    <col width="5.83203125" customWidth="1" style="197" min="1" max="1"/>
    <col width="18.6640625" customWidth="1" style="197" min="2" max="2"/>
    <col width="2.1640625" customWidth="1" style="197" min="3" max="3"/>
    <col width="5.83203125" customWidth="1" style="197" min="4" max="5"/>
    <col width="4.6640625" customWidth="1" style="197" min="6" max="6"/>
    <col width="10.5" customWidth="1" style="197" min="7" max="7"/>
    <col width="1.1640625" customWidth="1" style="197" min="8" max="8"/>
    <col width="5.83203125" customWidth="1" style="197" min="9" max="9"/>
    <col width="8" customWidth="1" style="197" min="10" max="10"/>
    <col width="5.83203125" customWidth="1" style="197" min="11" max="11"/>
    <col width="3.6640625" customWidth="1" style="197" min="12" max="12"/>
    <col hidden="1" width="6.83203125" customWidth="1" style="197" min="13" max="14"/>
    <col width="11.5" customWidth="1" style="197" min="15" max="15"/>
    <col width="10.1640625" customWidth="1" style="197" min="16" max="16"/>
    <col width="2.6640625" customWidth="1" style="197" min="17" max="17"/>
    <col width="4.6640625" customWidth="1" style="197" min="18" max="18"/>
    <col width="2.1640625" customWidth="1" style="197" min="19" max="19"/>
  </cols>
  <sheetData>
    <row r="1">
      <c r="A1" s="115" t="inlineStr">
        <is>
          <t>Приложение № 2</t>
        </is>
      </c>
    </row>
    <row r="2">
      <c r="A2" s="115" t="inlineStr">
        <is>
          <t>к приказу Министерства строительства</t>
        </is>
      </c>
    </row>
    <row r="3" ht="12" customHeight="1" s="197">
      <c r="A3" s="115" t="inlineStr">
        <is>
          <t>и жилищно-коммунального хозяйства Российской Федерации</t>
        </is>
      </c>
    </row>
    <row r="4">
      <c r="A4" s="116" t="inlineStr">
        <is>
          <t>от 20 ноября 2025 г. № 728/пр</t>
        </is>
      </c>
    </row>
    <row r="5" ht="17.25" customHeight="1" s="197">
      <c r="A5" s="87" t="n"/>
      <c r="V5" s="5" t="n"/>
    </row>
    <row r="6" ht="17.25" customHeight="1" s="197">
      <c r="A6" s="117" t="inlineStr">
        <is>
          <t>ОТЧЕТ О ДЕЯТЕЛЬНОСТИ ПО УПРАВЛЕНИЮ</t>
        </is>
      </c>
    </row>
    <row r="7" ht="17.25" customHeight="1" s="197">
      <c r="A7" s="117" t="inlineStr">
        <is>
          <t>МНОГОКВАРТИРНЫМ ДОМОМ</t>
        </is>
      </c>
    </row>
    <row r="8" ht="17.25" customHeight="1" s="197">
      <c r="A8" s="117" t="n"/>
      <c r="B8" s="117" t="n"/>
      <c r="C8" s="117" t="n"/>
      <c r="D8" s="117" t="n"/>
      <c r="E8" s="117" t="n"/>
      <c r="F8" s="117" t="n"/>
      <c r="G8" s="117" t="n"/>
      <c r="H8" s="117" t="n"/>
      <c r="I8" s="117" t="n"/>
      <c r="J8" s="117" t="n"/>
      <c r="K8" s="117" t="n"/>
      <c r="L8" s="117" t="n"/>
      <c r="M8" s="117" t="n"/>
      <c r="N8" s="117" t="n"/>
      <c r="O8" s="117" t="n"/>
      <c r="P8" s="117" t="n"/>
      <c r="Q8" s="117" t="n"/>
      <c r="R8" s="117" t="n"/>
      <c r="S8" s="117" t="n"/>
    </row>
    <row r="9" ht="15.75" customHeight="1" s="197">
      <c r="A9" s="118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197">
      <c r="A10" s="119" t="inlineStr">
        <is>
          <t>за 2025год (01.10.202г. -31.12.2025г.)</t>
        </is>
      </c>
    </row>
    <row r="11" ht="17.25" customHeight="1" s="197">
      <c r="A11" s="119" t="n"/>
      <c r="B11" s="120" t="n"/>
      <c r="C11" s="120" t="n"/>
      <c r="D11" s="120" t="n"/>
      <c r="E11" s="120" t="n"/>
      <c r="F11" s="120" t="n"/>
      <c r="G11" s="120" t="n"/>
      <c r="H11" s="120" t="n"/>
      <c r="I11" s="120" t="n"/>
      <c r="J11" s="120" t="n"/>
      <c r="K11" s="120" t="n"/>
      <c r="L11" s="120" t="n"/>
      <c r="M11" s="120" t="n"/>
      <c r="N11" s="120" t="n"/>
      <c r="O11" s="120" t="n"/>
      <c r="P11" s="120" t="n"/>
      <c r="Q11" s="120" t="n"/>
      <c r="R11" s="120" t="n"/>
      <c r="S11" s="120" t="n"/>
    </row>
    <row r="12" ht="17.25" customHeight="1" s="197">
      <c r="A12" s="121" t="inlineStr">
        <is>
    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    </is>
      </c>
      <c r="B12" s="198" t="n"/>
      <c r="C12" s="198" t="n"/>
      <c r="D12" s="198" t="n"/>
      <c r="E12" s="198" t="n"/>
      <c r="F12" s="198" t="n"/>
      <c r="G12" s="198" t="n"/>
      <c r="H12" s="198" t="n"/>
      <c r="I12" s="198" t="n"/>
      <c r="J12" s="198" t="n"/>
      <c r="K12" s="198" t="n"/>
      <c r="L12" s="198" t="n"/>
      <c r="M12" s="198" t="n"/>
      <c r="N12" s="198" t="n"/>
      <c r="O12" s="198" t="n"/>
      <c r="P12" s="198" t="n"/>
      <c r="Q12" s="198" t="n"/>
      <c r="R12" s="198" t="n"/>
      <c r="S12" s="198" t="n"/>
    </row>
    <row r="13">
      <c r="A13" s="108" t="inlineStr">
        <is>
          <t>(полное наименование лица, осуществляющего управление многоквартирным домом)</t>
        </is>
      </c>
      <c r="B13" s="199" t="n"/>
      <c r="C13" s="199" t="n"/>
      <c r="D13" s="199" t="n"/>
      <c r="E13" s="199" t="n"/>
      <c r="F13" s="199" t="n"/>
      <c r="G13" s="199" t="n"/>
      <c r="H13" s="199" t="n"/>
      <c r="I13" s="199" t="n"/>
      <c r="J13" s="199" t="n"/>
      <c r="K13" s="199" t="n"/>
      <c r="L13" s="199" t="n"/>
      <c r="M13" s="199" t="n"/>
      <c r="N13" s="199" t="n"/>
      <c r="O13" s="199" t="n"/>
      <c r="P13" s="199" t="n"/>
      <c r="Q13" s="199" t="n"/>
      <c r="R13" s="199" t="n"/>
      <c r="S13" s="199" t="n"/>
    </row>
    <row r="14" ht="15.75" customHeight="1" s="197">
      <c r="A14" s="122" t="inlineStr">
        <is>
          <t>Московская обл, г Щёлково, ул. Пустовская, д.20</t>
        </is>
      </c>
    </row>
    <row r="15">
      <c r="A15" s="109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197">
      <c r="A16" s="113" t="inlineStr">
        <is>
          <t>1255000012981/5027335469</t>
        </is>
      </c>
      <c r="B16" s="198" t="n"/>
      <c r="C16" s="198" t="n"/>
      <c r="D16" s="198" t="n"/>
      <c r="E16" s="198" t="n"/>
      <c r="F16" s="198" t="n"/>
      <c r="G16" s="198" t="n"/>
      <c r="H16" s="198" t="n"/>
      <c r="I16" s="198" t="n"/>
      <c r="J16" s="198" t="n"/>
      <c r="K16" s="198" t="n"/>
      <c r="L16" s="198" t="n"/>
      <c r="M16" s="198" t="n"/>
      <c r="N16" s="198" t="n"/>
      <c r="O16" s="198" t="n"/>
      <c r="P16" s="198" t="n"/>
      <c r="Q16" s="198" t="n"/>
      <c r="R16" s="198" t="n"/>
      <c r="S16" s="198" t="n"/>
    </row>
    <row r="17">
      <c r="A17" s="108" t="inlineStr">
        <is>
          <t>(основной государственный регистрационный номер/идентификационный номер налогоплательщика)</t>
        </is>
      </c>
      <c r="B17" s="199" t="n"/>
      <c r="C17" s="199" t="n"/>
      <c r="D17" s="199" t="n"/>
      <c r="E17" s="199" t="n"/>
      <c r="F17" s="199" t="n"/>
      <c r="G17" s="199" t="n"/>
      <c r="H17" s="199" t="n"/>
      <c r="I17" s="199" t="n"/>
      <c r="J17" s="199" t="n"/>
      <c r="K17" s="199" t="n"/>
      <c r="L17" s="199" t="n"/>
      <c r="M17" s="199" t="n"/>
      <c r="N17" s="199" t="n"/>
      <c r="O17" s="199" t="n"/>
      <c r="P17" s="199" t="n"/>
      <c r="Q17" s="199" t="n"/>
      <c r="R17" s="199" t="n"/>
      <c r="S17" s="199" t="n"/>
    </row>
    <row r="18" ht="17.25" customHeight="1" s="197">
      <c r="A18" s="110" t="inlineStr">
        <is>
          <t>Лицо, уполномоченное давать разъяснения по отчету:</t>
        </is>
      </c>
    </row>
    <row r="19" ht="17.25" customHeight="1" s="197">
      <c r="A19" s="112" t="inlineStr">
        <is>
          <t>генаральный директор - Логунов Сергей Викторович</t>
        </is>
      </c>
      <c r="B19" s="198" t="n"/>
      <c r="C19" s="198" t="n"/>
      <c r="D19" s="198" t="n"/>
      <c r="E19" s="198" t="n"/>
      <c r="F19" s="198" t="n"/>
      <c r="G19" s="198" t="n"/>
      <c r="H19" s="198" t="n"/>
      <c r="I19" s="198" t="n"/>
      <c r="J19" s="198" t="n"/>
      <c r="K19" s="198" t="n"/>
      <c r="L19" s="198" t="n"/>
      <c r="M19" s="198" t="n"/>
      <c r="N19" s="198" t="n"/>
      <c r="O19" s="198" t="n"/>
      <c r="P19" s="198" t="n"/>
      <c r="Q19" s="198" t="n"/>
      <c r="R19" s="198" t="n"/>
      <c r="S19" s="198" t="n"/>
    </row>
    <row r="20">
      <c r="A20" s="108" t="inlineStr">
        <is>
          <t>(фамилия, имя, отчество (при наличии), должность)</t>
        </is>
      </c>
      <c r="B20" s="199" t="n"/>
      <c r="C20" s="199" t="n"/>
      <c r="D20" s="199" t="n"/>
      <c r="E20" s="199" t="n"/>
      <c r="F20" s="199" t="n"/>
      <c r="G20" s="199" t="n"/>
      <c r="H20" s="199" t="n"/>
      <c r="I20" s="199" t="n"/>
      <c r="J20" s="199" t="n"/>
      <c r="K20" s="199" t="n"/>
      <c r="L20" s="199" t="n"/>
      <c r="M20" s="199" t="n"/>
      <c r="N20" s="199" t="n"/>
      <c r="O20" s="199" t="n"/>
      <c r="P20" s="199" t="n"/>
      <c r="Q20" s="199" t="n"/>
      <c r="R20" s="199" t="n"/>
      <c r="S20" s="199" t="n"/>
    </row>
    <row r="21" ht="15.75" customHeight="1" s="197">
      <c r="A21" s="113" t="inlineStr">
        <is>
          <t>8(496)56-3-60-04, эл. почта: uk-gilreshy@mail.ru</t>
        </is>
      </c>
      <c r="B21" s="198" t="n"/>
      <c r="C21" s="198" t="n"/>
      <c r="D21" s="198" t="n"/>
      <c r="E21" s="198" t="n"/>
      <c r="F21" s="198" t="n"/>
      <c r="G21" s="198" t="n"/>
      <c r="H21" s="198" t="n"/>
      <c r="I21" s="198" t="n"/>
      <c r="J21" s="198" t="n"/>
      <c r="K21" s="198" t="n"/>
      <c r="L21" s="198" t="n"/>
      <c r="M21" s="198" t="n"/>
      <c r="N21" s="198" t="n"/>
      <c r="O21" s="198" t="n"/>
      <c r="P21" s="198" t="n"/>
      <c r="Q21" s="198" t="n"/>
      <c r="R21" s="198" t="n"/>
      <c r="S21" s="198" t="n"/>
    </row>
    <row r="22">
      <c r="A22" s="108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199" t="n"/>
      <c r="C22" s="199" t="n"/>
      <c r="D22" s="199" t="n"/>
      <c r="E22" s="199" t="n"/>
      <c r="F22" s="199" t="n"/>
      <c r="G22" s="199" t="n"/>
      <c r="H22" s="199" t="n"/>
      <c r="I22" s="199" t="n"/>
      <c r="J22" s="199" t="n"/>
      <c r="K22" s="199" t="n"/>
      <c r="L22" s="199" t="n"/>
      <c r="M22" s="199" t="n"/>
      <c r="N22" s="199" t="n"/>
      <c r="O22" s="199" t="n"/>
      <c r="P22" s="199" t="n"/>
      <c r="Q22" s="199" t="n"/>
      <c r="R22" s="199" t="n"/>
      <c r="S22" s="199" t="n"/>
    </row>
    <row r="23" ht="60.75" customFormat="1" customHeight="1" s="20">
      <c r="A23" s="124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3548,20      м2</t>
        </is>
      </c>
    </row>
    <row r="24" ht="15.75" customFormat="1" customHeight="1" s="20">
      <c r="A24" s="136" t="inlineStr">
        <is>
          <t>Дата размещения отчета: " 31   "    марта 2026  г.</t>
        </is>
      </c>
    </row>
    <row r="25" ht="15.75" customFormat="1" customHeight="1" s="20">
      <c r="A25" s="137" t="n"/>
      <c r="B25" s="137" t="n"/>
      <c r="C25" s="137" t="n"/>
      <c r="D25" s="137" t="n"/>
      <c r="E25" s="137" t="n"/>
      <c r="F25" s="137" t="n"/>
      <c r="G25" s="137" t="n"/>
      <c r="H25" s="137" t="n"/>
      <c r="I25" s="137" t="n"/>
      <c r="J25" s="137" t="n"/>
      <c r="K25" s="137" t="n"/>
      <c r="L25" s="137" t="n"/>
      <c r="M25" s="137" t="n"/>
      <c r="N25" s="137" t="n"/>
      <c r="O25" s="137" t="n"/>
      <c r="P25" s="137" t="n"/>
      <c r="Q25" s="137" t="n"/>
      <c r="R25" s="137" t="n"/>
      <c r="S25" s="137" t="n"/>
    </row>
    <row r="26" ht="15.75" customFormat="1" customHeight="1" s="20">
      <c r="A26" s="138" t="n"/>
    </row>
    <row r="27" ht="15.75" customFormat="1" customHeight="1" s="20">
      <c r="A27" s="123" t="inlineStr">
        <is>
          <t>1. За отчетный период выполнены следующие работы (оказаны следующие услуги)</t>
        </is>
      </c>
    </row>
    <row r="28" ht="15.75" customFormat="1" customHeight="1" s="20">
      <c r="A28" s="124" t="inlineStr">
        <is>
          <t>по содержанию общего имущества собственников помещений в многоквартирном доме:</t>
        </is>
      </c>
    </row>
    <row r="29" ht="15.75" customHeight="1" s="197">
      <c r="A29" s="87" t="n"/>
      <c r="B29" s="87" t="n"/>
      <c r="C29" s="87" t="n"/>
      <c r="D29" s="87" t="n"/>
      <c r="E29" s="87" t="n"/>
      <c r="F29" s="87" t="n"/>
      <c r="G29" s="87" t="n"/>
      <c r="H29" s="87" t="n"/>
      <c r="I29" s="87" t="n"/>
      <c r="J29" s="87" t="n"/>
      <c r="K29" s="87" t="n"/>
      <c r="L29" s="87" t="n"/>
      <c r="M29" s="87" t="n"/>
      <c r="N29" s="87" t="n"/>
      <c r="O29" s="87" t="n"/>
      <c r="P29" s="87" t="n"/>
      <c r="Q29" s="87" t="n"/>
      <c r="R29" s="87" t="n"/>
      <c r="S29" s="87" t="n"/>
    </row>
    <row r="30" ht="15.75" customHeight="1" s="197">
      <c r="A30" s="2" t="inlineStr">
        <is>
          <t>№</t>
        </is>
      </c>
      <c r="B30" s="8" t="inlineStr">
        <is>
          <t>Наименование</t>
        </is>
      </c>
      <c r="C30" s="8" t="inlineStr">
        <is>
          <t>Единица</t>
        </is>
      </c>
      <c r="D30" s="200" t="n"/>
      <c r="E30" s="201" t="n"/>
      <c r="F30" s="69" t="inlineStr">
        <is>
          <t>Цена</t>
        </is>
      </c>
      <c r="G30" s="200" t="n"/>
      <c r="H30" s="83" t="inlineStr">
        <is>
          <t>По перечню работ (услуг)</t>
        </is>
      </c>
      <c r="I30" s="199" t="n"/>
      <c r="J30" s="199" t="n"/>
      <c r="K30" s="199" t="n"/>
      <c r="L30" s="202" t="n"/>
      <c r="M30" s="24" t="n"/>
      <c r="N30" s="71" t="inlineStr">
        <is>
          <t>Выполнено</t>
        </is>
      </c>
      <c r="O30" s="199" t="n"/>
      <c r="P30" s="199" t="n"/>
      <c r="Q30" s="199" t="n"/>
      <c r="R30" s="199" t="n"/>
      <c r="S30" s="202" t="n"/>
    </row>
    <row r="31">
      <c r="A31" s="72" t="inlineStr">
        <is>
          <t>п/п</t>
        </is>
      </c>
      <c r="B31" s="73" t="inlineStr">
        <is>
          <t>работы</t>
        </is>
      </c>
      <c r="C31" s="203" t="inlineStr">
        <is>
          <t>измерения</t>
        </is>
      </c>
      <c r="E31" s="204" t="n"/>
      <c r="F31" s="203" t="inlineStr">
        <is>
          <t>(стоимость)</t>
        </is>
      </c>
      <c r="G31" s="204" t="n"/>
      <c r="H31" s="205" t="n"/>
      <c r="I31" s="198" t="n"/>
      <c r="J31" s="198" t="n"/>
      <c r="K31" s="198" t="n"/>
      <c r="L31" s="206" t="n"/>
      <c r="M31" s="24" t="n"/>
      <c r="N31" s="205" t="n"/>
      <c r="O31" s="198" t="n"/>
      <c r="P31" s="198" t="n"/>
      <c r="Q31" s="198" t="n"/>
      <c r="R31" s="198" t="n"/>
      <c r="S31" s="206" t="n"/>
    </row>
    <row r="32" ht="12.75" customHeight="1" s="197">
      <c r="A32" s="207" t="n"/>
      <c r="B32" s="207" t="n"/>
      <c r="C32" s="208" t="n"/>
      <c r="E32" s="204" t="n"/>
      <c r="F32" s="208" t="n"/>
      <c r="G32" s="204" t="n"/>
      <c r="H32" s="81" t="inlineStr">
        <is>
          <t>Количество единиц работы (оказанной услуги)</t>
        </is>
      </c>
      <c r="K32" s="83" t="inlineStr">
        <is>
          <t>Стоимость работы (оказанной услуги), руб. (произведение граф 4 и 5)</t>
        </is>
      </c>
      <c r="L32" s="199" t="n"/>
      <c r="M32" s="202" t="n"/>
      <c r="N32" s="28" t="inlineStr">
        <is>
          <t>Количество единиц работы (оказанной услуги)</t>
        </is>
      </c>
      <c r="O32" s="83" t="inlineStr">
        <is>
          <t>Количество единиц работы (оказанной услуги)</t>
        </is>
      </c>
      <c r="P32" s="85" t="inlineStr">
        <is>
          <t>Стоимость работы (оказанной услуги), руб. (произведение граф 4 и 7)</t>
        </is>
      </c>
      <c r="S32" s="204" t="n"/>
    </row>
    <row r="33">
      <c r="A33" s="3" t="n"/>
      <c r="B33" s="9" t="inlineStr">
        <is>
          <t>(услуги)</t>
        </is>
      </c>
      <c r="C33" s="9" t="inlineStr">
        <is>
          <t>работы</t>
        </is>
      </c>
      <c r="E33" s="204" t="n"/>
      <c r="F33" s="9" t="inlineStr">
        <is>
          <t>единицы</t>
        </is>
      </c>
      <c r="G33" s="204" t="n"/>
      <c r="H33" s="208" t="n"/>
      <c r="K33" s="209" t="n"/>
      <c r="M33" s="210" t="n"/>
      <c r="N33" s="24" t="n"/>
      <c r="O33" s="211" t="n"/>
      <c r="S33" s="204" t="n"/>
    </row>
    <row r="34">
      <c r="A34" s="3" t="n"/>
      <c r="B34" s="10" t="n"/>
      <c r="C34" s="9" t="inlineStr">
        <is>
          <t>(услуги)</t>
        </is>
      </c>
      <c r="E34" s="204" t="n"/>
      <c r="F34" s="9" t="inlineStr">
        <is>
          <t>работы</t>
        </is>
      </c>
      <c r="G34" s="204" t="n"/>
      <c r="H34" s="208" t="n"/>
      <c r="K34" s="209" t="n"/>
      <c r="M34" s="210" t="n"/>
      <c r="N34" s="24" t="n"/>
      <c r="O34" s="211" t="n"/>
      <c r="S34" s="204" t="n"/>
    </row>
    <row r="35">
      <c r="A35" s="3" t="n"/>
      <c r="B35" s="10" t="n"/>
      <c r="C35" s="10" t="n"/>
      <c r="E35" s="204" t="n"/>
      <c r="F35" s="9" t="inlineStr">
        <is>
          <t>(услуги),</t>
        </is>
      </c>
      <c r="G35" s="204" t="n"/>
      <c r="H35" s="208" t="n"/>
      <c r="K35" s="209" t="n"/>
      <c r="M35" s="210" t="n"/>
      <c r="N35" s="24" t="n"/>
      <c r="O35" s="211" t="n"/>
      <c r="S35" s="204" t="n"/>
    </row>
    <row r="36">
      <c r="A36" s="4" t="n"/>
      <c r="B36" s="11" t="n"/>
      <c r="C36" s="11" t="n"/>
      <c r="D36" s="212" t="n"/>
      <c r="E36" s="213" t="n"/>
      <c r="F36" s="214" t="inlineStr">
        <is>
          <t>руб.</t>
        </is>
      </c>
      <c r="G36" s="213" t="n"/>
      <c r="H36" s="215" t="n"/>
      <c r="I36" s="212" t="n"/>
      <c r="J36" s="212" t="n"/>
      <c r="K36" s="205" t="n"/>
      <c r="L36" s="198" t="n"/>
      <c r="M36" s="206" t="n"/>
      <c r="N36" s="24" t="n"/>
      <c r="O36" s="216" t="n"/>
      <c r="P36" s="212" t="n"/>
      <c r="Q36" s="212" t="n"/>
      <c r="R36" s="212" t="n"/>
      <c r="S36" s="213" t="n"/>
    </row>
    <row r="37">
      <c r="A37" s="43" t="n">
        <v>1</v>
      </c>
      <c r="B37" s="43" t="n">
        <v>2</v>
      </c>
      <c r="C37" s="43" t="n">
        <v>3</v>
      </c>
      <c r="D37" s="217" t="n"/>
      <c r="E37" s="218" t="n"/>
      <c r="F37" s="43" t="n">
        <v>4</v>
      </c>
      <c r="G37" s="218" t="n"/>
      <c r="H37" s="43" t="n">
        <v>5</v>
      </c>
      <c r="I37" s="217" t="n"/>
      <c r="J37" s="218" t="n"/>
      <c r="K37" s="219" t="n">
        <v>6</v>
      </c>
      <c r="L37" s="212" t="n"/>
      <c r="M37" s="212" t="n"/>
      <c r="N37" s="44" t="n">
        <v>7</v>
      </c>
      <c r="O37" s="45" t="n">
        <v>7</v>
      </c>
      <c r="P37" s="141" t="n">
        <v>8</v>
      </c>
      <c r="Q37" s="217" t="n"/>
      <c r="R37" s="217" t="n"/>
      <c r="S37" s="218" t="n"/>
    </row>
    <row r="38">
      <c r="A38" s="37" t="n">
        <v>1</v>
      </c>
      <c r="B38" s="48" t="inlineStr">
        <is>
          <t>Управление домом</t>
        </is>
      </c>
      <c r="C38" s="220" t="inlineStr">
        <is>
          <t>руб.</t>
        </is>
      </c>
      <c r="D38" s="217" t="n"/>
      <c r="E38" s="218" t="n"/>
      <c r="F38" s="221">
        <f>3548.2*K38</f>
        <v/>
      </c>
      <c r="G38" s="218" t="n"/>
      <c r="H38" s="222" t="n"/>
      <c r="I38" s="217" t="n"/>
      <c r="J38" s="223" t="n"/>
      <c r="K38" s="164" t="n">
        <v>7.13</v>
      </c>
      <c r="L38" s="224" t="n"/>
      <c r="M38" s="38" t="n"/>
      <c r="N38" s="39" t="n"/>
      <c r="O38" s="49" t="n">
        <v>3</v>
      </c>
      <c r="P38" s="225">
        <f>O38*F38</f>
        <v/>
      </c>
      <c r="Q38" s="217" t="n"/>
      <c r="R38" s="217" t="n"/>
      <c r="S38" s="218" t="n"/>
    </row>
    <row r="39">
      <c r="A39" s="37" t="n"/>
      <c r="B39" s="37" t="inlineStr">
        <is>
          <t>в т.ч. услуги РКЦ</t>
        </is>
      </c>
      <c r="C39" s="220" t="inlineStr">
        <is>
          <t>руб.</t>
        </is>
      </c>
      <c r="D39" s="217" t="n"/>
      <c r="E39" s="218" t="n"/>
      <c r="F39" s="226">
        <f>3548.2*K39</f>
        <v/>
      </c>
      <c r="G39" s="218" t="n"/>
      <c r="H39" s="222" t="n"/>
      <c r="I39" s="217" t="n"/>
      <c r="J39" s="223" t="n"/>
      <c r="K39" s="165" t="n">
        <v>1.51</v>
      </c>
      <c r="L39" s="224" t="n"/>
      <c r="M39" s="38" t="n"/>
      <c r="N39" s="39" t="n"/>
      <c r="O39" s="46" t="n">
        <v>3</v>
      </c>
      <c r="P39" s="227">
        <f>O39*F39</f>
        <v/>
      </c>
      <c r="Q39" s="217" t="n"/>
      <c r="R39" s="217" t="n"/>
      <c r="S39" s="218" t="n"/>
    </row>
    <row r="40">
      <c r="A40" s="37" t="n"/>
      <c r="B40" s="37" t="inlineStr">
        <is>
          <t>в т.ч. услуги МФЦ</t>
        </is>
      </c>
      <c r="C40" s="220" t="inlineStr">
        <is>
          <t>руб.</t>
        </is>
      </c>
      <c r="D40" s="217" t="n"/>
      <c r="E40" s="218" t="n"/>
      <c r="F40" s="226">
        <f>3548.2*K40</f>
        <v/>
      </c>
      <c r="G40" s="218" t="n"/>
      <c r="H40" s="222" t="n"/>
      <c r="I40" s="217" t="n"/>
      <c r="J40" s="223" t="n"/>
      <c r="K40" s="165" t="n">
        <v>0.43</v>
      </c>
      <c r="L40" s="224" t="n"/>
      <c r="M40" s="38" t="n"/>
      <c r="N40" s="39" t="n"/>
      <c r="O40" s="46" t="n">
        <v>3</v>
      </c>
      <c r="P40" s="227">
        <f>O40*F40</f>
        <v/>
      </c>
      <c r="Q40" s="217" t="n"/>
      <c r="R40" s="217" t="n"/>
      <c r="S40" s="218" t="n"/>
    </row>
    <row r="41" ht="24" customHeight="1" s="197">
      <c r="A41" s="37" t="n">
        <v>2</v>
      </c>
      <c r="B41" s="50" t="inlineStr">
        <is>
          <t>Содержание общего имущества</t>
        </is>
      </c>
      <c r="C41" s="220" t="inlineStr">
        <is>
          <t>руб.</t>
        </is>
      </c>
      <c r="D41" s="217" t="n"/>
      <c r="E41" s="218" t="n"/>
      <c r="F41" s="221">
        <f>3548.2*K41</f>
        <v/>
      </c>
      <c r="G41" s="218" t="n"/>
      <c r="H41" s="222" t="n"/>
      <c r="I41" s="217" t="n"/>
      <c r="J41" s="223" t="n"/>
      <c r="K41" s="164" t="n">
        <v>25.98</v>
      </c>
      <c r="L41" s="224" t="n"/>
      <c r="M41" s="38" t="n"/>
      <c r="N41" s="39" t="n"/>
      <c r="O41" s="46" t="n">
        <v>3</v>
      </c>
      <c r="P41" s="225">
        <f>O41*F41</f>
        <v/>
      </c>
      <c r="Q41" s="217" t="n"/>
      <c r="R41" s="217" t="n"/>
      <c r="S41" s="218" t="n"/>
    </row>
    <row r="42" ht="12.75" customHeight="1" s="197">
      <c r="A42" s="37" t="n"/>
      <c r="B42" s="51" t="inlineStr">
        <is>
          <t>в т.ч. Текущий ремонт</t>
        </is>
      </c>
      <c r="C42" s="220" t="inlineStr">
        <is>
          <t>руб.</t>
        </is>
      </c>
      <c r="D42" s="217" t="n"/>
      <c r="E42" s="218" t="n"/>
      <c r="F42" s="226">
        <f>3548.2*K42</f>
        <v/>
      </c>
      <c r="G42" s="218" t="n"/>
      <c r="H42" s="222" t="n"/>
      <c r="I42" s="217" t="n"/>
      <c r="J42" s="223" t="n"/>
      <c r="K42" s="165" t="n">
        <v>6.36</v>
      </c>
      <c r="L42" s="224" t="n"/>
      <c r="M42" s="38" t="n"/>
      <c r="N42" s="39" t="n"/>
      <c r="O42" s="46" t="n">
        <v>3</v>
      </c>
      <c r="P42" s="227">
        <f>O42*F42</f>
        <v/>
      </c>
      <c r="Q42" s="217" t="n"/>
      <c r="R42" s="217" t="n"/>
      <c r="S42" s="218" t="n"/>
    </row>
    <row r="43">
      <c r="A43" s="37" t="n"/>
      <c r="B43" s="51" t="inlineStr">
        <is>
          <t>в т.ч. Подъездов</t>
        </is>
      </c>
      <c r="C43" s="220" t="inlineStr">
        <is>
          <t>руб.</t>
        </is>
      </c>
      <c r="D43" s="217" t="n"/>
      <c r="E43" s="218" t="n"/>
      <c r="F43" s="226">
        <f>3548.2*K43</f>
        <v/>
      </c>
      <c r="G43" s="218" t="n"/>
      <c r="H43" s="222" t="n"/>
      <c r="I43" s="217" t="n"/>
      <c r="J43" s="223" t="n"/>
      <c r="K43" s="165" t="n">
        <v>3.17</v>
      </c>
      <c r="L43" s="224" t="n"/>
      <c r="M43" s="38" t="n"/>
      <c r="N43" s="39" t="n"/>
      <c r="O43" s="46" t="n">
        <v>3</v>
      </c>
      <c r="P43" s="227">
        <f>O43*F43</f>
        <v/>
      </c>
      <c r="Q43" s="217" t="n"/>
      <c r="R43" s="217" t="n"/>
      <c r="S43" s="218" t="n"/>
    </row>
    <row r="44" ht="22.5" customHeight="1" s="197">
      <c r="A44" s="37" t="n"/>
      <c r="B44" s="51" t="inlineStr">
        <is>
          <t>в т.ч. Содержание лифтов</t>
        </is>
      </c>
      <c r="C44" s="220" t="inlineStr">
        <is>
          <t>руб.</t>
        </is>
      </c>
      <c r="D44" s="217" t="n"/>
      <c r="E44" s="218" t="n"/>
      <c r="F44" s="226">
        <f>3548.2*K44</f>
        <v/>
      </c>
      <c r="G44" s="218" t="n"/>
      <c r="H44" s="222" t="n"/>
      <c r="I44" s="217" t="n"/>
      <c r="J44" s="223" t="n"/>
      <c r="K44" s="165" t="n">
        <v>0</v>
      </c>
      <c r="L44" s="224" t="n"/>
      <c r="M44" s="38" t="n"/>
      <c r="N44" s="39" t="n"/>
      <c r="O44" s="46" t="n">
        <v>3</v>
      </c>
      <c r="P44" s="227">
        <f>O44*F44</f>
        <v/>
      </c>
      <c r="Q44" s="217" t="n"/>
      <c r="R44" s="217" t="n"/>
      <c r="S44" s="218" t="n"/>
    </row>
    <row r="45" ht="22.5" customHeight="1" s="197">
      <c r="A45" s="37" t="n"/>
      <c r="B45" s="51" t="inlineStr">
        <is>
          <t>в т.ч. Содержание мусоропроводов</t>
        </is>
      </c>
      <c r="C45" s="220" t="inlineStr">
        <is>
          <t>руб.</t>
        </is>
      </c>
      <c r="D45" s="217" t="n"/>
      <c r="E45" s="218" t="n"/>
      <c r="F45" s="226">
        <f>3548.2*K45</f>
        <v/>
      </c>
      <c r="G45" s="218" t="n"/>
      <c r="H45" s="222" t="n"/>
      <c r="I45" s="217" t="n"/>
      <c r="J45" s="223" t="n"/>
      <c r="K45" s="165" t="n">
        <v>0</v>
      </c>
      <c r="L45" s="224" t="n"/>
      <c r="M45" s="38" t="n"/>
      <c r="N45" s="39" t="n"/>
      <c r="O45" s="46" t="n">
        <v>3</v>
      </c>
      <c r="P45" s="227">
        <f>O45*F45</f>
        <v/>
      </c>
      <c r="Q45" s="217" t="n"/>
      <c r="R45" s="217" t="n"/>
      <c r="S45" s="218" t="n"/>
    </row>
    <row r="46" ht="33.75" customHeight="1" s="197">
      <c r="A46" s="37" t="n"/>
      <c r="B46" s="51" t="inlineStr">
        <is>
          <t>в т.ч. Уборка придомовой территории</t>
        </is>
      </c>
      <c r="C46" s="220" t="inlineStr">
        <is>
          <t>руб.</t>
        </is>
      </c>
      <c r="D46" s="217" t="n"/>
      <c r="E46" s="218" t="n"/>
      <c r="F46" s="226">
        <f>3548.2*K46</f>
        <v/>
      </c>
      <c r="G46" s="218" t="n"/>
      <c r="H46" s="222" t="n"/>
      <c r="I46" s="217" t="n"/>
      <c r="J46" s="223" t="n"/>
      <c r="K46" s="165" t="n">
        <v>4.55</v>
      </c>
      <c r="L46" s="224" t="n"/>
      <c r="M46" s="38" t="n"/>
      <c r="N46" s="39" t="n"/>
      <c r="O46" s="46" t="n">
        <v>3</v>
      </c>
      <c r="P46" s="227">
        <f>O46*F46</f>
        <v/>
      </c>
      <c r="Q46" s="217" t="n"/>
      <c r="R46" s="217" t="n"/>
      <c r="S46" s="218" t="n"/>
    </row>
    <row r="47" ht="22.5" customHeight="1" s="197">
      <c r="A47" s="37" t="n"/>
      <c r="B47" s="51" t="inlineStr">
        <is>
          <t>в т.ч. Содержание мест общего пользования</t>
        </is>
      </c>
      <c r="C47" s="220" t="inlineStr">
        <is>
          <t>руб.</t>
        </is>
      </c>
      <c r="D47" s="217" t="n"/>
      <c r="E47" s="218" t="n"/>
      <c r="F47" s="226">
        <f>3548.2*K47</f>
        <v/>
      </c>
      <c r="G47" s="218" t="n"/>
      <c r="H47" s="222" t="n"/>
      <c r="I47" s="217" t="n"/>
      <c r="J47" s="223" t="n"/>
      <c r="K47" s="165" t="n">
        <v>3.53</v>
      </c>
      <c r="L47" s="224" t="n"/>
      <c r="M47" s="38" t="n"/>
      <c r="N47" s="39" t="n"/>
      <c r="O47" s="46" t="n">
        <v>3</v>
      </c>
      <c r="P47" s="227">
        <f>O47*F47</f>
        <v/>
      </c>
      <c r="Q47" s="217" t="n"/>
      <c r="R47" s="217" t="n"/>
      <c r="S47" s="218" t="n"/>
    </row>
    <row r="48" ht="75.75" customHeight="1" s="197">
      <c r="A48" s="37" t="n"/>
      <c r="B48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8" s="220" t="inlineStr">
        <is>
          <t>руб.</t>
        </is>
      </c>
      <c r="D48" s="217" t="n"/>
      <c r="E48" s="218" t="n"/>
      <c r="F48" s="226">
        <f>3548.2*K48</f>
        <v/>
      </c>
      <c r="G48" s="218" t="n"/>
      <c r="H48" s="222" t="n"/>
      <c r="I48" s="217" t="n"/>
      <c r="J48" s="223" t="n"/>
      <c r="K48" s="166" t="n">
        <v>7.64</v>
      </c>
      <c r="L48" s="202" t="n"/>
      <c r="M48" s="38" t="n"/>
      <c r="N48" s="39" t="n"/>
      <c r="O48" s="46" t="n">
        <v>3</v>
      </c>
      <c r="P48" s="227">
        <f>O48*F48</f>
        <v/>
      </c>
      <c r="Q48" s="217" t="n"/>
      <c r="R48" s="217" t="n"/>
      <c r="S48" s="218" t="n"/>
    </row>
    <row r="49">
      <c r="A49" s="37" t="n"/>
      <c r="B49" s="51" t="inlineStr">
        <is>
          <t>в т.ч. Дератизация</t>
        </is>
      </c>
      <c r="C49" s="220" t="inlineStr">
        <is>
          <t>руб.</t>
        </is>
      </c>
      <c r="D49" s="217" t="n"/>
      <c r="E49" s="218" t="n"/>
      <c r="F49" s="226">
        <f>3548.2*K49</f>
        <v/>
      </c>
      <c r="G49" s="218" t="n"/>
      <c r="H49" s="145" t="n"/>
      <c r="I49" s="217" t="n"/>
      <c r="J49" s="217" t="n"/>
      <c r="K49" s="165" t="n">
        <v>0.23</v>
      </c>
      <c r="L49" s="224" t="n"/>
      <c r="M49" s="42" t="n"/>
      <c r="N49" s="39" t="n"/>
      <c r="O49" s="46" t="n">
        <v>3</v>
      </c>
      <c r="P49" s="227">
        <f>O49*F49</f>
        <v/>
      </c>
      <c r="Q49" s="217" t="n"/>
      <c r="R49" s="217" t="n"/>
      <c r="S49" s="218" t="n"/>
    </row>
    <row r="50" ht="33.75" customHeight="1" s="197">
      <c r="A50" s="37" t="n"/>
      <c r="B50" s="51" t="inlineStr">
        <is>
          <t>в т.ч. Очистка вентканалов и дымоходов</t>
        </is>
      </c>
      <c r="C50" s="220" t="inlineStr">
        <is>
          <t>руб.</t>
        </is>
      </c>
      <c r="D50" s="217" t="n"/>
      <c r="E50" s="218" t="n"/>
      <c r="F50" s="226">
        <f>3548.2*K50</f>
        <v/>
      </c>
      <c r="G50" s="218" t="n"/>
      <c r="H50" s="222" t="n"/>
      <c r="I50" s="217" t="n"/>
      <c r="J50" s="223" t="n"/>
      <c r="K50" s="165" t="n">
        <v>0.32</v>
      </c>
      <c r="L50" s="224" t="n"/>
      <c r="M50" s="42" t="n"/>
      <c r="N50" s="39" t="n"/>
      <c r="O50" s="46" t="n">
        <v>3</v>
      </c>
      <c r="P50" s="227">
        <f>O50*F50</f>
        <v/>
      </c>
      <c r="Q50" s="217" t="n"/>
      <c r="R50" s="217" t="n"/>
      <c r="S50" s="218" t="n"/>
    </row>
    <row r="51" ht="33.75" customHeight="1" s="197">
      <c r="A51" s="176" t="n"/>
      <c r="B51" s="55" t="inlineStr">
        <is>
          <t>в т.ч. Противопожарные мероприятия</t>
        </is>
      </c>
      <c r="C51" s="220" t="inlineStr">
        <is>
          <t>руб.</t>
        </is>
      </c>
      <c r="D51" s="217" t="n"/>
      <c r="E51" s="218" t="n"/>
      <c r="F51" s="226">
        <f>3548.2*K51</f>
        <v/>
      </c>
      <c r="G51" s="218" t="n"/>
      <c r="H51" s="222" t="n"/>
      <c r="I51" s="217" t="n"/>
      <c r="J51" s="223" t="n"/>
      <c r="K51" s="165" t="n">
        <v>0.18</v>
      </c>
      <c r="L51" s="224" t="n"/>
      <c r="M51" s="42" t="n"/>
      <c r="N51" s="39" t="n"/>
      <c r="O51" s="42" t="n">
        <v>3</v>
      </c>
      <c r="P51" s="227">
        <f>O51*F51</f>
        <v/>
      </c>
      <c r="Q51" s="217" t="n"/>
      <c r="R51" s="217" t="n"/>
      <c r="S51" s="218" t="n"/>
    </row>
    <row r="52" ht="16.5" customHeight="1" s="197">
      <c r="A52" s="37" t="n"/>
      <c r="B52" s="228" t="inlineStr">
        <is>
          <t xml:space="preserve">Дополнительные услуги: </t>
        </is>
      </c>
      <c r="S52" s="204" t="n"/>
    </row>
    <row r="53" ht="22.5" customHeight="1" s="197">
      <c r="A53" s="37" t="n"/>
      <c r="B53" s="51" t="inlineStr">
        <is>
          <t>в т.ч. Ремонт межпанельных швов</t>
        </is>
      </c>
      <c r="C53" s="220" t="inlineStr">
        <is>
          <t>руб.</t>
        </is>
      </c>
      <c r="D53" s="217" t="n"/>
      <c r="E53" s="218" t="n"/>
      <c r="F53" s="220">
        <f>K53*3548.2</f>
        <v/>
      </c>
      <c r="G53" s="218" t="n"/>
      <c r="H53" s="229" t="n"/>
      <c r="I53" s="200" t="n"/>
      <c r="J53" s="230" t="n"/>
      <c r="K53" s="46" t="n">
        <v>2</v>
      </c>
      <c r="L53" s="202" t="n"/>
      <c r="M53" s="46" t="n"/>
      <c r="N53" s="39" t="n"/>
      <c r="O53" s="46" t="n">
        <v>3</v>
      </c>
      <c r="P53" s="227">
        <f>O53*F53</f>
        <v/>
      </c>
      <c r="Q53" s="217" t="n"/>
      <c r="R53" s="217" t="n"/>
      <c r="S53" s="218" t="n"/>
    </row>
    <row r="54" ht="22.5" customHeight="1" s="197">
      <c r="A54" s="41" t="n"/>
      <c r="B54" s="55" t="inlineStr">
        <is>
          <t>в т.ч. Техническое обслуживание ВДГО</t>
        </is>
      </c>
      <c r="C54" s="220" t="inlineStr">
        <is>
          <t>руб.</t>
        </is>
      </c>
      <c r="D54" s="217" t="n"/>
      <c r="E54" s="218" t="n"/>
      <c r="F54" s="220">
        <f>K54*3548.2</f>
        <v/>
      </c>
      <c r="G54" s="218" t="n"/>
      <c r="H54" s="148" t="n"/>
      <c r="I54" s="231" t="n"/>
      <c r="J54" s="224" t="n"/>
      <c r="K54" s="149" t="n">
        <v>0.9399999999999999</v>
      </c>
      <c r="L54" s="231" t="n"/>
      <c r="M54" s="224" t="n"/>
      <c r="N54" s="56" t="n"/>
      <c r="O54" s="42" t="n">
        <v>3</v>
      </c>
      <c r="P54" s="227">
        <f>O54*F54</f>
        <v/>
      </c>
      <c r="Q54" s="217" t="n"/>
      <c r="R54" s="217" t="n"/>
      <c r="S54" s="218" t="n"/>
    </row>
    <row r="55" ht="22.5" customHeight="1" s="197">
      <c r="A55" s="148" t="n"/>
      <c r="B55" s="55" t="inlineStr">
        <is>
          <t>в т.ч. диагностика ВДГО</t>
        </is>
      </c>
      <c r="C55" s="220" t="inlineStr">
        <is>
          <t>руб.</t>
        </is>
      </c>
      <c r="D55" s="217" t="n"/>
      <c r="E55" s="218" t="n"/>
      <c r="F55" s="220">
        <f>K55*3548.2</f>
        <v/>
      </c>
      <c r="G55" s="218" t="n"/>
      <c r="H55" s="184" t="n"/>
      <c r="I55" s="231" t="n"/>
      <c r="J55" s="224" t="n"/>
      <c r="K55" s="184" t="n">
        <v>0.12</v>
      </c>
      <c r="L55" s="224" t="n"/>
      <c r="M55" s="53" t="n"/>
      <c r="N55" s="54" t="n"/>
      <c r="O55" s="42" t="n">
        <v>3</v>
      </c>
      <c r="P55" s="227">
        <f>O55*F55</f>
        <v/>
      </c>
      <c r="Q55" s="217" t="n"/>
      <c r="R55" s="217" t="n"/>
      <c r="S55" s="218" t="n"/>
    </row>
    <row r="56" ht="22.5" customHeight="1" s="197">
      <c r="A56" s="148" t="n"/>
      <c r="B56" s="55" t="inlineStr">
        <is>
          <t>в т.ч. обслуживание ИТП</t>
        </is>
      </c>
      <c r="C56" s="220" t="inlineStr">
        <is>
          <t>руб.</t>
        </is>
      </c>
      <c r="D56" s="217" t="n"/>
      <c r="E56" s="218" t="n"/>
      <c r="F56" s="220">
        <f>K56*3548.2</f>
        <v/>
      </c>
      <c r="G56" s="218" t="n"/>
      <c r="H56" s="184" t="n"/>
      <c r="I56" s="231" t="n"/>
      <c r="J56" s="224" t="n"/>
      <c r="K56" s="184" t="n">
        <v>0</v>
      </c>
      <c r="L56" s="224" t="n"/>
      <c r="M56" s="148" t="n"/>
      <c r="N56" s="40" t="n"/>
      <c r="O56" s="42" t="n">
        <v>3</v>
      </c>
      <c r="P56" s="227">
        <f>O56*F56</f>
        <v/>
      </c>
      <c r="Q56" s="217" t="n"/>
      <c r="R56" s="217" t="n"/>
      <c r="S56" s="218" t="n"/>
    </row>
    <row r="57" ht="22.5" customHeight="1" s="197">
      <c r="A57" s="148" t="n"/>
      <c r="B57" s="55" t="inlineStr">
        <is>
          <t>в т.ч. Обслуживание домофона</t>
        </is>
      </c>
      <c r="C57" s="220" t="inlineStr">
        <is>
          <t>руб.</t>
        </is>
      </c>
      <c r="D57" s="217" t="n"/>
      <c r="E57" s="218" t="n"/>
      <c r="F57" s="220">
        <f>K57*3548.2</f>
        <v/>
      </c>
      <c r="G57" s="218" t="n"/>
      <c r="H57" s="184" t="n"/>
      <c r="I57" s="231" t="n"/>
      <c r="J57" s="224" t="n"/>
      <c r="K57" s="184" t="n">
        <v>0</v>
      </c>
      <c r="L57" s="224" t="n"/>
      <c r="M57" s="148" t="n"/>
      <c r="N57" s="40" t="n"/>
      <c r="O57" s="42" t="n">
        <v>3</v>
      </c>
      <c r="P57" s="227">
        <f>O57*F57</f>
        <v/>
      </c>
      <c r="Q57" s="217" t="n"/>
      <c r="R57" s="217" t="n"/>
      <c r="S57" s="218" t="n"/>
    </row>
    <row r="58" ht="15.75" customHeight="1" s="197">
      <c r="A58" s="89" t="inlineStr">
        <is>
          <t>ИТОГО</t>
        </is>
      </c>
      <c r="B58" s="231" t="n"/>
      <c r="C58" s="231" t="n"/>
      <c r="D58" s="231" t="n"/>
      <c r="E58" s="231" t="n"/>
      <c r="F58" s="231" t="n"/>
      <c r="G58" s="224" t="n"/>
      <c r="H58" s="90" t="inlineStr">
        <is>
          <t>-</t>
        </is>
      </c>
      <c r="I58" s="231" t="n"/>
      <c r="J58" s="224" t="n"/>
      <c r="K58" s="91" t="n"/>
      <c r="L58" s="231" t="n"/>
      <c r="M58" s="224" t="n"/>
      <c r="N58" s="29" t="inlineStr">
        <is>
          <t>-</t>
        </is>
      </c>
      <c r="O58" s="29" t="n"/>
      <c r="P58" s="92">
        <f>SUM(P53:S57)+P41+P38</f>
        <v/>
      </c>
      <c r="Q58" s="231" t="n"/>
      <c r="R58" s="231" t="n"/>
      <c r="S58" s="224" t="n"/>
    </row>
    <row r="59" ht="15.75" customHeight="1" s="197">
      <c r="A59" s="125" t="n"/>
      <c r="B59" s="125" t="n"/>
      <c r="C59" s="125" t="n"/>
      <c r="D59" s="125" t="n"/>
      <c r="E59" s="125" t="n"/>
      <c r="F59" s="125" t="n"/>
      <c r="G59" s="125" t="n"/>
      <c r="H59" s="22" t="n"/>
      <c r="I59" s="22" t="n"/>
      <c r="J59" s="22" t="n"/>
      <c r="K59" s="23" t="n"/>
      <c r="L59" s="23" t="n"/>
      <c r="M59" s="23" t="n"/>
      <c r="N59" s="22" t="n"/>
      <c r="O59" s="22" t="n"/>
      <c r="P59" s="23" t="n"/>
      <c r="Q59" s="23" t="n"/>
      <c r="R59" s="23" t="n"/>
      <c r="S59" s="23" t="n"/>
    </row>
    <row r="60" ht="37.5" customFormat="1" customHeight="1" s="19">
      <c r="A60" s="125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1" ht="37.5" customFormat="1" customHeight="1" s="19">
      <c r="A61" s="95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2" ht="67.5" customFormat="1" customHeight="1" s="19">
      <c r="A62" s="125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182768,00  руб.</t>
        </is>
      </c>
    </row>
    <row r="63" ht="15.75" customFormat="1" customHeight="1" s="19">
      <c r="A63" s="95" t="inlineStr">
        <is>
          <t xml:space="preserve">   Стоимость   работ   по   текущему   ремонту,   выполненных   за   отчетный </t>
        </is>
      </c>
    </row>
    <row r="64" ht="15.75" customFormat="1" customHeight="1" s="19">
      <c r="A64" s="96" t="inlineStr">
        <is>
          <t>период:  182768,00 руб.</t>
        </is>
      </c>
    </row>
    <row r="65" ht="37.5" customFormat="1" customHeight="1" s="19">
      <c r="A65" s="95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-44073,83     руб.</t>
        </is>
      </c>
    </row>
    <row r="66" ht="17.25" customHeight="1" s="197">
      <c r="A66" s="110" t="n"/>
      <c r="B66" s="14" t="n"/>
      <c r="C66" s="14" t="n"/>
      <c r="D66" s="14" t="n"/>
      <c r="E66" s="14" t="n"/>
      <c r="F66" s="14" t="n"/>
      <c r="G66" s="14" t="n"/>
      <c r="H66" s="14" t="n"/>
      <c r="I66" s="14" t="n"/>
      <c r="J66" s="14" t="n"/>
      <c r="K66" s="14" t="n"/>
      <c r="L66" s="14" t="n"/>
      <c r="M66" s="14" t="n"/>
      <c r="N66" s="14" t="n"/>
      <c r="O66" s="14" t="n"/>
      <c r="P66" s="14" t="n"/>
      <c r="Q66" s="14" t="n"/>
      <c r="R66" s="14" t="n"/>
      <c r="S66" s="14" t="n"/>
    </row>
    <row r="67" ht="34.5" customHeight="1" s="197">
      <c r="A67" s="83" t="inlineStr">
        <is>
          <t>№ п/п</t>
        </is>
      </c>
      <c r="B67" s="83" t="inlineStr">
        <is>
          <t>Наименование работы</t>
        </is>
      </c>
      <c r="C67" s="199" t="n"/>
      <c r="D67" s="199" t="n"/>
      <c r="E67" s="199" t="n"/>
      <c r="F67" s="202" t="n"/>
      <c r="G67" s="83" t="inlineStr">
        <is>
          <t>Основание проведения работы</t>
        </is>
      </c>
      <c r="H67" s="199" t="n"/>
      <c r="I67" s="202" t="n"/>
      <c r="J67" s="83" t="inlineStr">
        <is>
          <t>Стоимость работы по текущему ремонту общего имущества, руб.</t>
        </is>
      </c>
      <c r="K67" s="199" t="n"/>
      <c r="L67" s="202" t="n"/>
      <c r="M67" s="83" t="inlineStr">
        <is>
          <t>Объем выполненных работ с единицами измерения</t>
        </is>
      </c>
      <c r="N67" s="199" t="n"/>
      <c r="O67" s="199" t="n"/>
      <c r="P67" s="202" t="n"/>
      <c r="Q67" s="94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7" s="199" t="n"/>
      <c r="S67" s="202" t="n"/>
      <c r="T67" s="59" t="inlineStr">
        <is>
          <t>все</t>
        </is>
      </c>
    </row>
    <row r="68" ht="72" customHeight="1" s="197">
      <c r="A68" s="216" t="n"/>
      <c r="B68" s="205" t="n"/>
      <c r="C68" s="198" t="n"/>
      <c r="D68" s="198" t="n"/>
      <c r="E68" s="198" t="n"/>
      <c r="F68" s="206" t="n"/>
      <c r="G68" s="205" t="n"/>
      <c r="H68" s="198" t="n"/>
      <c r="I68" s="206" t="n"/>
      <c r="J68" s="205" t="n"/>
      <c r="K68" s="198" t="n"/>
      <c r="L68" s="206" t="n"/>
      <c r="M68" s="205" t="n"/>
      <c r="N68" s="198" t="n"/>
      <c r="O68" s="198" t="n"/>
      <c r="P68" s="206" t="n"/>
      <c r="Q68" s="205" t="n"/>
      <c r="R68" s="198" t="n"/>
      <c r="S68" s="206" t="n"/>
    </row>
    <row r="69" ht="17.25" customHeight="1" s="197">
      <c r="A69" s="88" t="n">
        <v>1</v>
      </c>
      <c r="B69" s="88" t="n">
        <v>2</v>
      </c>
      <c r="C69" s="231" t="n"/>
      <c r="D69" s="231" t="n"/>
      <c r="E69" s="231" t="n"/>
      <c r="F69" s="224" t="n"/>
      <c r="G69" s="88" t="n">
        <v>3</v>
      </c>
      <c r="H69" s="231" t="n"/>
      <c r="I69" s="224" t="n"/>
      <c r="J69" s="88" t="n">
        <v>4</v>
      </c>
      <c r="K69" s="231" t="n"/>
      <c r="L69" s="224" t="n"/>
      <c r="M69" s="31" t="n">
        <v>6</v>
      </c>
      <c r="N69" s="31" t="n"/>
      <c r="O69" s="88" t="n">
        <v>5</v>
      </c>
      <c r="P69" s="224" t="n"/>
      <c r="Q69" s="88" t="n">
        <v>6</v>
      </c>
      <c r="R69" s="231" t="n"/>
      <c r="S69" s="224" t="n"/>
    </row>
    <row r="70" ht="24" customHeight="1" s="197">
      <c r="A70" s="63" t="n">
        <v>1</v>
      </c>
      <c r="B70" s="232" t="inlineStr">
        <is>
          <t>Очистка канализационной сети внутренней</t>
        </is>
      </c>
      <c r="C70" s="231" t="n"/>
      <c r="D70" s="231" t="n"/>
      <c r="E70" s="231" t="n"/>
      <c r="F70" s="224" t="n"/>
      <c r="G70" s="64" t="inlineStr">
        <is>
          <t>аварийные работы</t>
        </is>
      </c>
      <c r="H70" s="231" t="n"/>
      <c r="I70" s="224" t="n"/>
      <c r="J70" s="63" t="n">
        <v>141447.98</v>
      </c>
      <c r="K70" s="231" t="n"/>
      <c r="L70" s="224" t="n"/>
      <c r="M70" s="63" t="n"/>
      <c r="N70" s="63" t="n"/>
      <c r="O70" s="64" t="inlineStr">
        <is>
          <t>275 пог м</t>
        </is>
      </c>
      <c r="P70" s="224" t="n"/>
      <c r="Q70" s="65" t="inlineStr">
        <is>
          <t>КС-2</t>
        </is>
      </c>
      <c r="R70" s="231" t="n"/>
      <c r="S70" s="224" t="n"/>
    </row>
    <row r="71" ht="24" customHeight="1" s="197">
      <c r="A71" s="63" t="n">
        <v>2</v>
      </c>
      <c r="B71" s="232" t="inlineStr">
        <is>
          <t>Гидравлические испыпания трубопроводов</t>
        </is>
      </c>
      <c r="C71" s="231" t="n"/>
      <c r="D71" s="231" t="n"/>
      <c r="E71" s="231" t="n"/>
      <c r="F71" s="224" t="n"/>
      <c r="G71" s="64" t="inlineStr">
        <is>
          <t>аварийные работы</t>
        </is>
      </c>
      <c r="H71" s="231" t="n"/>
      <c r="I71" s="224" t="n"/>
      <c r="J71" s="63" t="n">
        <v>33833.04</v>
      </c>
      <c r="K71" s="231" t="n"/>
      <c r="L71" s="224" t="n"/>
      <c r="M71" s="63" t="n"/>
      <c r="N71" s="63" t="n"/>
      <c r="O71" s="64" t="inlineStr">
        <is>
          <t>60 пог м</t>
        </is>
      </c>
      <c r="P71" s="224" t="n"/>
      <c r="Q71" s="65" t="inlineStr">
        <is>
          <t>КС-2</t>
        </is>
      </c>
      <c r="R71" s="231" t="n"/>
      <c r="S71" s="224" t="n"/>
    </row>
    <row r="72" ht="37.5" customHeight="1" s="197">
      <c r="A72" s="63" t="n">
        <v>3</v>
      </c>
      <c r="B72" s="232" t="inlineStr">
        <is>
          <t>Разборка трубопровода из водогазопроводных труб диаметром до 32мм</t>
        </is>
      </c>
      <c r="C72" s="231" t="n"/>
      <c r="D72" s="231" t="n"/>
      <c r="E72" s="231" t="n"/>
      <c r="F72" s="224" t="n"/>
      <c r="G72" s="64" t="inlineStr">
        <is>
          <t>плановые работы</t>
        </is>
      </c>
      <c r="H72" s="231" t="n"/>
      <c r="I72" s="224" t="n"/>
      <c r="J72" s="63" t="n">
        <v>3799.08</v>
      </c>
      <c r="K72" s="231" t="n"/>
      <c r="L72" s="224" t="n"/>
      <c r="M72" s="63" t="n"/>
      <c r="N72" s="63" t="n"/>
      <c r="O72" s="64" t="inlineStr">
        <is>
          <t>8 пог м</t>
        </is>
      </c>
      <c r="P72" s="224" t="n"/>
      <c r="Q72" s="65" t="inlineStr">
        <is>
          <t>КС-2</t>
        </is>
      </c>
      <c r="R72" s="231" t="n"/>
      <c r="S72" s="224" t="n"/>
    </row>
    <row r="73" ht="37.5" customHeight="1" s="197">
      <c r="A73" s="63" t="n">
        <v>4</v>
      </c>
      <c r="B73" s="232" t="inlineStr">
        <is>
          <t>Слив и наполнение водой системы отопления: с осмотром системы</t>
        </is>
      </c>
      <c r="C73" s="231" t="n"/>
      <c r="D73" s="231" t="n"/>
      <c r="E73" s="231" t="n"/>
      <c r="F73" s="224" t="n"/>
      <c r="G73" s="64" t="inlineStr">
        <is>
          <t>плановые работы</t>
        </is>
      </c>
      <c r="H73" s="231" t="n"/>
      <c r="I73" s="224" t="n"/>
      <c r="J73" s="63" t="n">
        <v>18693.97</v>
      </c>
      <c r="K73" s="231" t="n"/>
      <c r="L73" s="224" t="n"/>
      <c r="M73" s="63" t="n"/>
      <c r="N73" s="63" t="n"/>
      <c r="O73" s="64" t="n"/>
      <c r="P73" s="224" t="n"/>
      <c r="Q73" s="65" t="inlineStr">
        <is>
          <t>КС-2</t>
        </is>
      </c>
      <c r="R73" s="231" t="n"/>
      <c r="S73" s="224" t="n"/>
    </row>
    <row r="74">
      <c r="A74" s="63" t="n">
        <v>5</v>
      </c>
      <c r="B74" s="232" t="inlineStr">
        <is>
          <t>Ремонт запорной арматуры</t>
        </is>
      </c>
      <c r="C74" s="231" t="n"/>
      <c r="D74" s="231" t="n"/>
      <c r="E74" s="231" t="n"/>
      <c r="F74" s="224" t="n"/>
      <c r="G74" s="64" t="inlineStr">
        <is>
          <t>плановые работы</t>
        </is>
      </c>
      <c r="H74" s="231" t="n"/>
      <c r="I74" s="224" t="n"/>
      <c r="J74" s="63" t="n">
        <v>2700.35</v>
      </c>
      <c r="K74" s="231" t="n"/>
      <c r="L74" s="224" t="n"/>
      <c r="M74" s="63" t="n"/>
      <c r="N74" s="63" t="n"/>
      <c r="O74" s="64" t="inlineStr">
        <is>
          <t>5 шт.</t>
        </is>
      </c>
      <c r="P74" s="224" t="n"/>
      <c r="Q74" s="65" t="inlineStr">
        <is>
          <t>КС-2</t>
        </is>
      </c>
      <c r="R74" s="231" t="n"/>
      <c r="S74" s="224" t="n"/>
    </row>
    <row r="75">
      <c r="A75" s="63" t="n">
        <v>6</v>
      </c>
      <c r="B75" s="232" t="inlineStr">
        <is>
          <t>Замена вводного крана ХВС в кв.70</t>
        </is>
      </c>
      <c r="C75" s="231" t="n"/>
      <c r="D75" s="231" t="n"/>
      <c r="E75" s="231" t="n"/>
      <c r="F75" s="224" t="n"/>
      <c r="G75" s="64" t="inlineStr">
        <is>
          <t>плановые работы</t>
        </is>
      </c>
      <c r="H75" s="231" t="n"/>
      <c r="I75" s="224" t="n"/>
      <c r="J75" s="63" t="n">
        <v>1167.63</v>
      </c>
      <c r="K75" s="231" t="n"/>
      <c r="L75" s="224" t="n"/>
      <c r="M75" s="63" t="n"/>
      <c r="N75" s="63" t="n"/>
      <c r="O75" s="64" t="inlineStr">
        <is>
          <t>1 шт.</t>
        </is>
      </c>
      <c r="P75" s="224" t="n"/>
      <c r="Q75" s="65" t="inlineStr">
        <is>
          <t>КС-2</t>
        </is>
      </c>
      <c r="R75" s="231" t="n"/>
      <c r="S75" s="224" t="n"/>
    </row>
    <row r="76" ht="24" customHeight="1" s="197">
      <c r="A76" s="63" t="n">
        <v>7</v>
      </c>
      <c r="B76" s="232" t="inlineStr">
        <is>
          <t xml:space="preserve">Прокладка трубопровода из полиэтиленовых труб диаметром до </t>
        </is>
      </c>
      <c r="C76" s="231" t="n"/>
      <c r="D76" s="231" t="n"/>
      <c r="E76" s="231" t="n"/>
      <c r="F76" s="224" t="n"/>
      <c r="G76" s="64" t="inlineStr">
        <is>
          <t>плановые работы</t>
        </is>
      </c>
      <c r="H76" s="231" t="n"/>
      <c r="I76" s="224" t="n"/>
      <c r="J76" s="63" t="n">
        <v>20603.36</v>
      </c>
      <c r="K76" s="231" t="n"/>
      <c r="L76" s="224" t="n"/>
      <c r="M76" s="63" t="n"/>
      <c r="N76" s="63" t="n"/>
      <c r="O76" s="64" t="inlineStr">
        <is>
          <t>8 пог м</t>
        </is>
      </c>
      <c r="P76" s="224" t="n"/>
      <c r="Q76" s="65" t="inlineStr">
        <is>
          <t>КС-2</t>
        </is>
      </c>
      <c r="R76" s="231" t="n"/>
      <c r="S76" s="224" t="n"/>
    </row>
    <row r="77" ht="24" customHeight="1" s="197">
      <c r="A77" s="63" t="n">
        <v>8</v>
      </c>
      <c r="B77" s="232" t="inlineStr">
        <is>
          <t xml:space="preserve">Смена  сгонов у трубопроводов диаметромдо 25мм </t>
        </is>
      </c>
      <c r="C77" s="231" t="n"/>
      <c r="D77" s="231" t="n"/>
      <c r="E77" s="231" t="n"/>
      <c r="F77" s="224" t="n"/>
      <c r="G77" s="64" t="inlineStr">
        <is>
          <t>плановые работы</t>
        </is>
      </c>
      <c r="H77" s="231" t="n"/>
      <c r="I77" s="224" t="n"/>
      <c r="J77" s="63" t="n">
        <v>1871.48</v>
      </c>
      <c r="K77" s="231" t="n"/>
      <c r="L77" s="224" t="n"/>
      <c r="M77" s="63" t="n"/>
      <c r="N77" s="63" t="n"/>
      <c r="O77" s="64" t="inlineStr">
        <is>
          <t>1 шт.</t>
        </is>
      </c>
      <c r="P77" s="224" t="n"/>
      <c r="Q77" s="65" t="inlineStr">
        <is>
          <t>КС-2</t>
        </is>
      </c>
      <c r="R77" s="231" t="n"/>
      <c r="S77" s="224" t="n"/>
    </row>
    <row r="78" ht="24" customHeight="1" s="197">
      <c r="A78" s="63" t="n">
        <v>9</v>
      </c>
      <c r="B78" s="232" t="inlineStr">
        <is>
          <t>Смена ламп</t>
        </is>
      </c>
      <c r="C78" s="231" t="n"/>
      <c r="D78" s="231" t="n"/>
      <c r="E78" s="231" t="n"/>
      <c r="F78" s="224" t="n"/>
      <c r="G78" s="64" t="inlineStr">
        <is>
          <t>плановые работы</t>
        </is>
      </c>
      <c r="H78" s="231" t="n"/>
      <c r="I78" s="224" t="n"/>
      <c r="J78" s="63" t="n">
        <v>1426.95</v>
      </c>
      <c r="K78" s="231" t="n"/>
      <c r="L78" s="224" t="n"/>
      <c r="M78" s="63" t="n"/>
      <c r="N78" s="63" t="n"/>
      <c r="O78" s="64" t="inlineStr">
        <is>
          <t>4 шт</t>
        </is>
      </c>
      <c r="P78" s="224" t="n"/>
      <c r="Q78" s="65" t="inlineStr">
        <is>
          <t>КС-2</t>
        </is>
      </c>
      <c r="R78" s="231" t="n"/>
      <c r="S78" s="224" t="n"/>
    </row>
    <row r="79" ht="24" customHeight="1" s="197">
      <c r="A79" s="63" t="n">
        <v>10</v>
      </c>
      <c r="B79" s="232" t="inlineStr">
        <is>
          <t>Ремонт групповых щитков на лестничной клетке без ремонта автоматов</t>
        </is>
      </c>
      <c r="C79" s="231" t="n"/>
      <c r="D79" s="231" t="n"/>
      <c r="E79" s="231" t="n"/>
      <c r="F79" s="224" t="n"/>
      <c r="G79" s="64" t="inlineStr">
        <is>
          <t>плановые работы</t>
        </is>
      </c>
      <c r="H79" s="231" t="n"/>
      <c r="I79" s="224" t="n"/>
      <c r="J79" s="63" t="n">
        <v>1297.99</v>
      </c>
      <c r="K79" s="231" t="n"/>
      <c r="L79" s="224" t="n"/>
      <c r="M79" s="63" t="n"/>
      <c r="N79" s="63" t="n"/>
      <c r="O79" s="64" t="inlineStr">
        <is>
          <t>4 шт</t>
        </is>
      </c>
      <c r="P79" s="224" t="n"/>
      <c r="Q79" s="65" t="inlineStr">
        <is>
          <t>КС-2</t>
        </is>
      </c>
      <c r="R79" s="231" t="n"/>
      <c r="S79" s="224" t="n"/>
    </row>
    <row r="80" ht="17.25" customHeight="1" s="197">
      <c r="A80" s="161" t="inlineStr">
        <is>
          <t>ИТОГО</t>
        </is>
      </c>
      <c r="B80" s="231" t="n"/>
      <c r="C80" s="231" t="n"/>
      <c r="D80" s="231" t="n"/>
      <c r="E80" s="231" t="n"/>
      <c r="F80" s="224" t="n"/>
      <c r="G80" s="105" t="n"/>
      <c r="H80" s="231" t="n"/>
      <c r="I80" s="224" t="n"/>
      <c r="J80" s="100">
        <f>SUM(J70:L79)</f>
        <v/>
      </c>
      <c r="K80" s="231" t="n"/>
      <c r="L80" s="224" t="n"/>
      <c r="M80" s="32" t="inlineStr">
        <is>
          <t>-</t>
        </is>
      </c>
      <c r="N80" s="32" t="n"/>
      <c r="O80" s="100" t="n"/>
      <c r="P80" s="224" t="n"/>
      <c r="Q80" s="100" t="n"/>
      <c r="R80" s="231" t="n"/>
      <c r="S80" s="224" t="n"/>
    </row>
    <row r="81" ht="17.25" customHeight="1" s="197">
      <c r="A81" s="111" t="n"/>
      <c r="B81" s="111" t="n"/>
      <c r="C81" s="111" t="n"/>
      <c r="D81" s="111" t="n"/>
      <c r="E81" s="111" t="n"/>
      <c r="F81" s="111" t="n"/>
      <c r="G81" s="16" t="n"/>
      <c r="H81" s="16" t="n"/>
      <c r="I81" s="16" t="n"/>
      <c r="J81" s="17" t="n"/>
      <c r="K81" s="17" t="n"/>
      <c r="L81" s="17" t="n"/>
      <c r="M81" s="18" t="n"/>
      <c r="N81" s="18" t="n"/>
      <c r="O81" s="18" t="n"/>
      <c r="P81" s="18" t="n"/>
      <c r="Q81" s="18" t="n"/>
    </row>
    <row r="82" ht="36" customHeight="1" s="197">
      <c r="A82" s="95" t="inlineStr">
        <is>
          <t>3. Стоимость   услуг   по   управлению   многоквартирным   домом,   оказанных   за отчетный период:    75896,00 руб.</t>
        </is>
      </c>
    </row>
    <row r="83" ht="52.5" customHeight="1" s="197">
      <c r="A83" s="125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4" ht="17.25" customHeight="1" s="197">
      <c r="A84" s="87" t="n"/>
    </row>
    <row r="85" ht="52.5" customHeight="1" s="197">
      <c r="A85" s="36" t="inlineStr">
        <is>
          <t>№ п/п</t>
        </is>
      </c>
      <c r="B85" s="86" t="inlineStr">
        <is>
          <t>Количество направленных претензий потребителям- должникам</t>
        </is>
      </c>
      <c r="C85" s="231" t="n"/>
      <c r="D85" s="224" t="n"/>
      <c r="E85" s="86" t="inlineStr">
        <is>
          <t>Количество направленных исковых заявлений, заявлений на выдачу судебного приказа</t>
        </is>
      </c>
      <c r="F85" s="231" t="n"/>
      <c r="G85" s="231" t="n"/>
      <c r="H85" s="231" t="n"/>
      <c r="I85" s="224" t="n"/>
      <c r="J85" s="86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5" s="231" t="n"/>
      <c r="L85" s="231" t="n"/>
      <c r="M85" s="231" t="n"/>
      <c r="N85" s="231" t="n"/>
      <c r="O85" s="231" t="n"/>
      <c r="P85" s="231" t="n"/>
      <c r="Q85" s="231" t="n"/>
      <c r="R85" s="231" t="n"/>
      <c r="S85" s="224" t="n"/>
    </row>
    <row r="86" ht="17.25" customHeight="1" s="197">
      <c r="A86" s="88" t="n">
        <v>1</v>
      </c>
      <c r="B86" s="88" t="n">
        <v>2</v>
      </c>
      <c r="C86" s="231" t="n"/>
      <c r="D86" s="224" t="n"/>
      <c r="E86" s="88" t="n">
        <v>3</v>
      </c>
      <c r="F86" s="231" t="n"/>
      <c r="G86" s="231" t="n"/>
      <c r="H86" s="231" t="n"/>
      <c r="I86" s="224" t="n"/>
      <c r="J86" s="88" t="n">
        <v>4</v>
      </c>
      <c r="K86" s="231" t="n"/>
      <c r="L86" s="231" t="n"/>
      <c r="M86" s="231" t="n"/>
      <c r="N86" s="231" t="n"/>
      <c r="O86" s="231" t="n"/>
      <c r="P86" s="231" t="n"/>
      <c r="Q86" s="231" t="n"/>
      <c r="R86" s="231" t="n"/>
      <c r="S86" s="224" t="n"/>
    </row>
    <row r="87">
      <c r="A87" s="105" t="n"/>
      <c r="B87" s="63" t="n">
        <v>0</v>
      </c>
      <c r="C87" s="231" t="n"/>
      <c r="D87" s="224" t="n"/>
      <c r="E87" s="63" t="n">
        <v>0</v>
      </c>
      <c r="F87" s="231" t="n"/>
      <c r="G87" s="231" t="n"/>
      <c r="H87" s="231" t="n"/>
      <c r="I87" s="224" t="n"/>
      <c r="J87" s="63" t="n">
        <v>0</v>
      </c>
      <c r="K87" s="231" t="n"/>
      <c r="L87" s="231" t="n"/>
      <c r="M87" s="231" t="n"/>
      <c r="N87" s="231" t="n"/>
      <c r="O87" s="231" t="n"/>
      <c r="P87" s="231" t="n"/>
      <c r="Q87" s="231" t="n"/>
      <c r="R87" s="231" t="n"/>
      <c r="S87" s="224" t="n"/>
    </row>
    <row r="88">
      <c r="A88" s="16" t="n"/>
      <c r="B88" s="16" t="n"/>
      <c r="C88" s="16" t="n"/>
      <c r="D88" s="16" t="n"/>
      <c r="E88" s="16" t="n"/>
      <c r="F88" s="16" t="n"/>
      <c r="G88" s="16" t="n"/>
      <c r="H88" s="16" t="n"/>
      <c r="I88" s="16" t="n"/>
      <c r="J88" s="16" t="n"/>
      <c r="K88" s="16" t="n"/>
      <c r="L88" s="16" t="n"/>
      <c r="M88" s="16" t="n"/>
      <c r="N88" s="16" t="n"/>
      <c r="O88" s="16" t="n"/>
      <c r="P88" s="16" t="n"/>
    </row>
    <row r="89" ht="125.25" customHeight="1" s="197">
      <c r="A89" s="124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89" s="7" t="n"/>
    </row>
    <row r="90" ht="17.25" customHeight="1" s="197">
      <c r="A90" s="104" t="n"/>
    </row>
    <row r="91" ht="48.75" customHeight="1" s="197">
      <c r="A91" s="36" t="inlineStr">
        <is>
          <t>№ п/п</t>
        </is>
      </c>
      <c r="B91" s="86" t="inlineStr">
        <is>
          <t>Вид платежа</t>
        </is>
      </c>
      <c r="C91" s="231" t="n"/>
      <c r="D91" s="224" t="n"/>
      <c r="E91" s="86" t="inlineStr">
        <is>
          <t>Задолженность на начало отчетного периода, руб.</t>
        </is>
      </c>
      <c r="F91" s="231" t="n"/>
      <c r="G91" s="231" t="n"/>
      <c r="H91" s="224" t="n"/>
      <c r="I91" s="102" t="inlineStr">
        <is>
          <t>Размер начисленных средств, руб.</t>
        </is>
      </c>
      <c r="J91" s="231" t="n"/>
      <c r="K91" s="224" t="n"/>
      <c r="L91" s="86" t="inlineStr">
        <is>
          <t>Размер поступивших средств, руб.</t>
        </is>
      </c>
      <c r="M91" s="231" t="n"/>
      <c r="N91" s="231" t="n"/>
      <c r="O91" s="224" t="n"/>
      <c r="P91" s="86" t="inlineStr">
        <is>
          <t>Задолженность на 1 января периода, следующего за отчетным, руб.</t>
        </is>
      </c>
      <c r="Q91" s="231" t="n"/>
      <c r="R91" s="231" t="n"/>
      <c r="S91" s="224" t="n"/>
    </row>
    <row r="92" ht="15.75" customHeight="1" s="197">
      <c r="A92" s="101" t="n">
        <v>1</v>
      </c>
      <c r="B92" s="101" t="n">
        <v>2</v>
      </c>
      <c r="C92" s="231" t="n"/>
      <c r="D92" s="224" t="n"/>
      <c r="E92" s="101" t="n">
        <v>3</v>
      </c>
      <c r="F92" s="231" t="n"/>
      <c r="G92" s="231" t="n"/>
      <c r="H92" s="224" t="n"/>
      <c r="I92" s="101" t="n">
        <v>4</v>
      </c>
      <c r="J92" s="231" t="n"/>
      <c r="K92" s="224" t="n"/>
      <c r="L92" s="101" t="n">
        <v>5</v>
      </c>
      <c r="M92" s="231" t="n"/>
      <c r="N92" s="231" t="n"/>
      <c r="O92" s="224" t="n"/>
      <c r="P92" s="101" t="n">
        <v>6</v>
      </c>
      <c r="Q92" s="231" t="n"/>
      <c r="R92" s="231" t="n"/>
      <c r="S92" s="224" t="n"/>
    </row>
    <row r="93" ht="15.75" customHeight="1" s="197">
      <c r="A93" s="30" t="n">
        <v>1</v>
      </c>
      <c r="B93" s="89" t="inlineStr">
        <is>
          <t>Платежи собственников помещений               в многоквартирном доме</t>
        </is>
      </c>
      <c r="C93" s="231" t="n"/>
      <c r="D93" s="224" t="n"/>
      <c r="E93" s="107" t="n">
        <v>0</v>
      </c>
      <c r="F93" s="231" t="n"/>
      <c r="G93" s="231" t="n"/>
      <c r="H93" s="224" t="n"/>
      <c r="I93" s="107" t="n">
        <v>385015.29</v>
      </c>
      <c r="J93" s="231" t="n"/>
      <c r="K93" s="224" t="n"/>
      <c r="L93" s="233" t="n">
        <v>277786.03</v>
      </c>
      <c r="M93" s="231" t="n"/>
      <c r="N93" s="231" t="n"/>
      <c r="O93" s="224" t="n"/>
      <c r="P93" s="192">
        <f>I93-L93</f>
        <v/>
      </c>
      <c r="Q93" s="231" t="n"/>
      <c r="R93" s="231" t="n"/>
      <c r="S93" s="224" t="n"/>
    </row>
    <row r="94" hidden="1" ht="15.75" customHeight="1" s="197">
      <c r="A94" s="30" t="n">
        <v>2</v>
      </c>
      <c r="B94" s="89" t="inlineStr">
        <is>
          <t>Платежи нанимателей помещений               в многоквартирном доме</t>
        </is>
      </c>
      <c r="C94" s="231" t="n"/>
      <c r="D94" s="224" t="n"/>
      <c r="E94" s="107" t="n">
        <v>0</v>
      </c>
      <c r="F94" s="231" t="n"/>
      <c r="G94" s="231" t="n"/>
      <c r="H94" s="224" t="n"/>
      <c r="I94" s="107" t="n">
        <v>0</v>
      </c>
      <c r="J94" s="231" t="n"/>
      <c r="K94" s="224" t="n"/>
      <c r="L94" s="107" t="n">
        <v>0</v>
      </c>
      <c r="M94" s="231" t="n"/>
      <c r="N94" s="231" t="n"/>
      <c r="O94" s="224" t="n"/>
      <c r="P94" s="107" t="n">
        <v>0</v>
      </c>
      <c r="Q94" s="231" t="n"/>
      <c r="R94" s="231" t="n"/>
      <c r="S94" s="224" t="n"/>
    </row>
    <row r="95" ht="15.75" customHeight="1" s="197">
      <c r="A95" s="89" t="inlineStr">
        <is>
          <t>ИТОГО</t>
        </is>
      </c>
      <c r="B95" s="231" t="n"/>
      <c r="C95" s="231" t="n"/>
      <c r="D95" s="224" t="n"/>
      <c r="E95" s="105" t="n"/>
      <c r="F95" s="231" t="n"/>
      <c r="G95" s="231" t="n"/>
      <c r="H95" s="224" t="n"/>
      <c r="I95" s="106" t="n">
        <v>385015.29</v>
      </c>
      <c r="J95" s="231" t="n"/>
      <c r="K95" s="224" t="n"/>
      <c r="L95" s="234" t="n">
        <v>277786.03</v>
      </c>
      <c r="M95" s="231" t="n"/>
      <c r="N95" s="231" t="n"/>
      <c r="O95" s="224" t="n"/>
      <c r="P95" s="196">
        <f>I95-L95</f>
        <v/>
      </c>
      <c r="Q95" s="231" t="n"/>
      <c r="R95" s="231" t="n"/>
      <c r="S95" s="224" t="n"/>
    </row>
  </sheetData>
  <mergeCells count="260">
    <mergeCell ref="P57:S57"/>
    <mergeCell ref="O78:P78"/>
    <mergeCell ref="K49:L49"/>
    <mergeCell ref="C44:E44"/>
    <mergeCell ref="Q72:S72"/>
    <mergeCell ref="A23:S23"/>
    <mergeCell ref="J74:L74"/>
    <mergeCell ref="C40:E40"/>
    <mergeCell ref="Q78:S78"/>
    <mergeCell ref="P32:S36"/>
    <mergeCell ref="B71:F71"/>
    <mergeCell ref="P93:S93"/>
    <mergeCell ref="P42:S42"/>
    <mergeCell ref="C51:E51"/>
    <mergeCell ref="A63:S63"/>
    <mergeCell ref="Q80:S80"/>
    <mergeCell ref="P92:S92"/>
    <mergeCell ref="K50:L50"/>
    <mergeCell ref="G79:I79"/>
    <mergeCell ref="J75:L75"/>
    <mergeCell ref="L91:O91"/>
    <mergeCell ref="G73:I73"/>
    <mergeCell ref="B92:D92"/>
    <mergeCell ref="Q70:S70"/>
    <mergeCell ref="A83:S83"/>
    <mergeCell ref="P94:S94"/>
    <mergeCell ref="O74:P74"/>
    <mergeCell ref="C57:E57"/>
    <mergeCell ref="P44:S44"/>
    <mergeCell ref="B94:D94"/>
    <mergeCell ref="A6:S6"/>
    <mergeCell ref="A1:S1"/>
    <mergeCell ref="K42:L42"/>
    <mergeCell ref="C49:E49"/>
    <mergeCell ref="J87:S87"/>
    <mergeCell ref="P46:S46"/>
    <mergeCell ref="F56:G56"/>
    <mergeCell ref="C34:E34"/>
    <mergeCell ref="J72:L72"/>
    <mergeCell ref="C42:E42"/>
    <mergeCell ref="F43:G43"/>
    <mergeCell ref="H38:J38"/>
    <mergeCell ref="K53:L53"/>
    <mergeCell ref="A65:S65"/>
    <mergeCell ref="Q77:S77"/>
    <mergeCell ref="P39:S39"/>
    <mergeCell ref="H44:J44"/>
    <mergeCell ref="P48:S48"/>
    <mergeCell ref="H58:J58"/>
    <mergeCell ref="A3:S3"/>
    <mergeCell ref="H40:J40"/>
    <mergeCell ref="A12:S12"/>
    <mergeCell ref="F57:G57"/>
    <mergeCell ref="M67:P68"/>
    <mergeCell ref="H51:J51"/>
    <mergeCell ref="J80:L80"/>
    <mergeCell ref="P47:S47"/>
    <mergeCell ref="F54:G54"/>
    <mergeCell ref="A14:S14"/>
    <mergeCell ref="B72:F72"/>
    <mergeCell ref="E91:H91"/>
    <mergeCell ref="F34:G34"/>
    <mergeCell ref="A90:R90"/>
    <mergeCell ref="P43:S43"/>
    <mergeCell ref="J70:L70"/>
    <mergeCell ref="G69:I69"/>
    <mergeCell ref="J79:L79"/>
    <mergeCell ref="G78:I78"/>
    <mergeCell ref="N30:S31"/>
    <mergeCell ref="Q69:S69"/>
    <mergeCell ref="A4:S4"/>
    <mergeCell ref="K55:L55"/>
    <mergeCell ref="I92:K92"/>
    <mergeCell ref="C46:E46"/>
    <mergeCell ref="B70:F70"/>
    <mergeCell ref="E93:H93"/>
    <mergeCell ref="K51:L51"/>
    <mergeCell ref="F30:G30"/>
    <mergeCell ref="G80:I80"/>
    <mergeCell ref="H57:J57"/>
    <mergeCell ref="C39:E39"/>
    <mergeCell ref="F33:G33"/>
    <mergeCell ref="F45:G45"/>
    <mergeCell ref="K41:L41"/>
    <mergeCell ref="C48:E48"/>
    <mergeCell ref="F42:G42"/>
    <mergeCell ref="A24:S24"/>
    <mergeCell ref="P50:S50"/>
    <mergeCell ref="K56:L56"/>
    <mergeCell ref="C38:E38"/>
    <mergeCell ref="A60:S60"/>
    <mergeCell ref="A82:S82"/>
    <mergeCell ref="H32:J36"/>
    <mergeCell ref="K43:L43"/>
    <mergeCell ref="H42:J42"/>
    <mergeCell ref="F47:G47"/>
    <mergeCell ref="B85:D85"/>
    <mergeCell ref="E86:I86"/>
    <mergeCell ref="F46:G46"/>
    <mergeCell ref="L93:O93"/>
    <mergeCell ref="O71:P71"/>
    <mergeCell ref="A16:S16"/>
    <mergeCell ref="B74:F74"/>
    <mergeCell ref="C31:E32"/>
    <mergeCell ref="F39:G39"/>
    <mergeCell ref="G71:I71"/>
    <mergeCell ref="C33:E33"/>
    <mergeCell ref="F48:G48"/>
    <mergeCell ref="L92:O92"/>
    <mergeCell ref="A84:S84"/>
    <mergeCell ref="Q71:S71"/>
    <mergeCell ref="O73:P73"/>
    <mergeCell ref="O76:P76"/>
    <mergeCell ref="A18:S18"/>
    <mergeCell ref="B76:F76"/>
    <mergeCell ref="J69:L69"/>
    <mergeCell ref="B67:F68"/>
    <mergeCell ref="F44:G44"/>
    <mergeCell ref="C35:E35"/>
    <mergeCell ref="J78:L78"/>
    <mergeCell ref="L94:O94"/>
    <mergeCell ref="O32:O36"/>
    <mergeCell ref="A2:S2"/>
    <mergeCell ref="I91:K91"/>
    <mergeCell ref="B31:B32"/>
    <mergeCell ref="B52:S52"/>
    <mergeCell ref="Q73:S73"/>
    <mergeCell ref="C50:E50"/>
    <mergeCell ref="H46:J46"/>
    <mergeCell ref="P37:S37"/>
    <mergeCell ref="B75:F75"/>
    <mergeCell ref="C55:E55"/>
    <mergeCell ref="O77:P77"/>
    <mergeCell ref="A22:S22"/>
    <mergeCell ref="I93:K93"/>
    <mergeCell ref="F31:G32"/>
    <mergeCell ref="K45:L45"/>
    <mergeCell ref="G74:I74"/>
    <mergeCell ref="A20:S20"/>
    <mergeCell ref="B87:D87"/>
    <mergeCell ref="H45:J45"/>
    <mergeCell ref="C36:E36"/>
    <mergeCell ref="A58:G58"/>
    <mergeCell ref="P58:S58"/>
    <mergeCell ref="P55:S55"/>
    <mergeCell ref="K47:L47"/>
    <mergeCell ref="A13:S13"/>
    <mergeCell ref="G67:I68"/>
    <mergeCell ref="K44:L44"/>
    <mergeCell ref="H47:J47"/>
    <mergeCell ref="P51:S51"/>
    <mergeCell ref="F36:G36"/>
    <mergeCell ref="F50:G50"/>
    <mergeCell ref="K46:L46"/>
    <mergeCell ref="K40:L40"/>
    <mergeCell ref="O75:P75"/>
    <mergeCell ref="A15:S15"/>
    <mergeCell ref="A64:S64"/>
    <mergeCell ref="P41:S41"/>
    <mergeCell ref="I94:K94"/>
    <mergeCell ref="B73:F73"/>
    <mergeCell ref="J71:L71"/>
    <mergeCell ref="H30:L31"/>
    <mergeCell ref="E92:H92"/>
    <mergeCell ref="C37:E37"/>
    <mergeCell ref="J76:L76"/>
    <mergeCell ref="A61:S61"/>
    <mergeCell ref="Q75:S75"/>
    <mergeCell ref="P56:S56"/>
    <mergeCell ref="J77:L77"/>
    <mergeCell ref="J73:L73"/>
    <mergeCell ref="C30:E30"/>
    <mergeCell ref="H53:J53"/>
    <mergeCell ref="E94:H94"/>
    <mergeCell ref="B91:D91"/>
    <mergeCell ref="G72:I72"/>
    <mergeCell ref="O79:P79"/>
    <mergeCell ref="P49:S49"/>
    <mergeCell ref="O70:P70"/>
    <mergeCell ref="A7:S7"/>
    <mergeCell ref="I95:K95"/>
    <mergeCell ref="H50:J50"/>
    <mergeCell ref="G70:I70"/>
    <mergeCell ref="B93:D93"/>
    <mergeCell ref="H55:J55"/>
    <mergeCell ref="F49:G49"/>
    <mergeCell ref="K57:L57"/>
    <mergeCell ref="P91:S91"/>
    <mergeCell ref="A27:S27"/>
    <mergeCell ref="J86:S86"/>
    <mergeCell ref="A31:A32"/>
    <mergeCell ref="E95:H95"/>
    <mergeCell ref="H39:J39"/>
    <mergeCell ref="A67:A68"/>
    <mergeCell ref="B86:D86"/>
    <mergeCell ref="C54:E54"/>
    <mergeCell ref="H49:J49"/>
    <mergeCell ref="P53:S53"/>
    <mergeCell ref="C41:E41"/>
    <mergeCell ref="Q79:S79"/>
    <mergeCell ref="A80:F80"/>
    <mergeCell ref="A17:S17"/>
    <mergeCell ref="J67:L68"/>
    <mergeCell ref="C56:E56"/>
    <mergeCell ref="K58:M58"/>
    <mergeCell ref="F40:G40"/>
    <mergeCell ref="C43:E43"/>
    <mergeCell ref="A62:S62"/>
    <mergeCell ref="A10:S10"/>
    <mergeCell ref="K32:M36"/>
    <mergeCell ref="F55:G55"/>
    <mergeCell ref="B77:F77"/>
    <mergeCell ref="A19:S19"/>
    <mergeCell ref="P45:S45"/>
    <mergeCell ref="A28:S28"/>
    <mergeCell ref="E87:I87"/>
    <mergeCell ref="P54:S54"/>
    <mergeCell ref="F51:G51"/>
    <mergeCell ref="H37:J37"/>
    <mergeCell ref="L95:O95"/>
    <mergeCell ref="A9:S9"/>
    <mergeCell ref="Q74:S74"/>
    <mergeCell ref="P38:S38"/>
    <mergeCell ref="F41:G41"/>
    <mergeCell ref="H48:J48"/>
    <mergeCell ref="O69:P69"/>
    <mergeCell ref="F35:G35"/>
    <mergeCell ref="G76:I76"/>
    <mergeCell ref="Q76:S76"/>
    <mergeCell ref="B69:F69"/>
    <mergeCell ref="Q67:S68"/>
    <mergeCell ref="F38:G38"/>
    <mergeCell ref="B78:F78"/>
    <mergeCell ref="C53:E53"/>
    <mergeCell ref="P40:S40"/>
    <mergeCell ref="K37:M37"/>
    <mergeCell ref="G75:I75"/>
    <mergeCell ref="O80:P80"/>
    <mergeCell ref="P95:S95"/>
    <mergeCell ref="K39:L39"/>
    <mergeCell ref="K48:L48"/>
    <mergeCell ref="G77:I77"/>
    <mergeCell ref="H43:J43"/>
    <mergeCell ref="F37:G37"/>
    <mergeCell ref="H54:J54"/>
    <mergeCell ref="E85:I85"/>
    <mergeCell ref="K38:L38"/>
    <mergeCell ref="C45:E45"/>
    <mergeCell ref="H41:J41"/>
    <mergeCell ref="K54:M54"/>
    <mergeCell ref="A89:S89"/>
    <mergeCell ref="O72:P72"/>
    <mergeCell ref="A21:S21"/>
    <mergeCell ref="B79:F79"/>
    <mergeCell ref="A95:D95"/>
    <mergeCell ref="H56:J56"/>
    <mergeCell ref="A26:S26"/>
    <mergeCell ref="J85:S85"/>
    <mergeCell ref="F53:G53"/>
    <mergeCell ref="C47:E47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2" min="0" max="16383" man="1"/>
  </rowBreaks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197" min="1" max="1"/>
  </cols>
  <sheetData/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197" min="1" max="1"/>
    <col width="13" customWidth="1" style="197" min="2" max="2"/>
    <col width="13" customWidth="1" style="197" min="3" max="3"/>
    <col width="13" customWidth="1" style="197" min="4" max="4"/>
    <col width="13" customWidth="1" style="197" min="5" max="5"/>
    <col width="13" customWidth="1" style="197" min="6" max="6"/>
    <col width="13" customWidth="1" style="197" min="7" max="7"/>
    <col width="13" customWidth="1" style="197" min="8" max="8"/>
    <col width="13" customWidth="1" style="197" min="9" max="9"/>
    <col width="13" customWidth="1" style="197" min="10" max="10"/>
    <col width="13" customWidth="1" style="197" min="11" max="11"/>
    <col width="13" customWidth="1" style="197" min="12" max="12"/>
    <col width="13" customWidth="1" style="197" min="13" max="13"/>
    <col width="13" customWidth="1" style="197" min="14" max="14"/>
    <col width="13" customWidth="1" style="197" min="15" max="15"/>
    <col width="13" customWidth="1" style="197" min="16" max="16"/>
    <col width="13" customWidth="1" style="197" min="17" max="17"/>
    <col width="13" customWidth="1" style="197" min="18" max="18"/>
    <col width="13" customWidth="1" style="197" min="19" max="19"/>
    <col width="13" customWidth="1" style="197" min="20" max="20"/>
    <col width="13" customWidth="1" style="197" min="21" max="21"/>
    <col width="13" customWidth="1" style="197" min="22" max="22"/>
    <col width="13" customWidth="1" style="197" min="23" max="23"/>
    <col width="13" customWidth="1" style="197" min="24" max="24"/>
    <col width="13" customWidth="1" style="197" min="25" max="25"/>
    <col width="13" customWidth="1" style="197" min="26" max="26"/>
    <col width="13" customWidth="1" style="197" min="27" max="27"/>
    <col width="13" customWidth="1" style="197" min="28" max="28"/>
    <col width="13" customWidth="1" style="197" min="29" max="29"/>
    <col width="13" customWidth="1" style="197" min="30" max="30"/>
    <col width="13" customWidth="1" style="197" min="31" max="31"/>
    <col width="13" customWidth="1" style="197" min="32" max="32"/>
    <col width="13" customWidth="1" style="197" min="33" max="33"/>
    <col width="13" customWidth="1" style="197" min="34" max="34"/>
    <col width="13" customWidth="1" style="197" min="35" max="35"/>
    <col width="13" customWidth="1" style="197" min="36" max="36"/>
    <col width="13" customWidth="1" style="197" min="37" max="37"/>
    <col width="13" customWidth="1" style="197" min="38" max="38"/>
    <col width="13" customWidth="1" style="197" min="39" max="39"/>
    <col width="13" customWidth="1" style="197" min="40" max="40"/>
    <col width="13" customWidth="1" style="197" min="41" max="41"/>
    <col width="13" customWidth="1" style="197" min="42" max="42"/>
    <col width="13" customWidth="1" style="197" min="43" max="43"/>
    <col width="13" customWidth="1" style="197" min="44" max="44"/>
    <col width="13" customWidth="1" style="197" min="45" max="45"/>
    <col width="13" customWidth="1" style="197" min="46" max="46"/>
    <col width="13" customWidth="1" style="197" min="47" max="47"/>
    <col width="13" customWidth="1" style="197" min="48" max="48"/>
    <col width="13" customWidth="1" style="197" min="49" max="49"/>
    <col width="13" customWidth="1" style="197" min="50" max="50"/>
    <col width="13" customWidth="1" style="197" min="51" max="51"/>
    <col width="13" customWidth="1" style="197" min="52" max="52"/>
    <col width="13" customWidth="1" style="197" min="53" max="53"/>
    <col width="13" customWidth="1" style="197" min="54" max="54"/>
    <col width="13" customWidth="1" style="197" min="55" max="55"/>
    <col width="13" customWidth="1" style="197" min="56" max="56"/>
    <col width="13" customWidth="1" style="197" min="57" max="57"/>
    <col width="13" customWidth="1" style="197" min="58" max="58"/>
    <col width="13" customWidth="1" style="197" min="59" max="59"/>
    <col width="13" customWidth="1" style="197" min="60" max="60"/>
    <col width="13" customWidth="1" style="197" min="61" max="61"/>
    <col width="13" customWidth="1" style="197" min="62" max="62"/>
    <col width="13" customWidth="1" style="197" min="63" max="63"/>
    <col width="13" customWidth="1" style="197" min="64" max="64"/>
    <col width="13" customWidth="1" style="197" min="65" max="65"/>
    <col width="13" customWidth="1" style="197" min="66" max="66"/>
    <col width="13" customWidth="1" style="197" min="67" max="67"/>
    <col width="13" customWidth="1" style="197" min="68" max="68"/>
    <col width="13" customWidth="1" style="197" min="69" max="69"/>
    <col width="13" customWidth="1" style="197" min="70" max="70"/>
    <col width="13" customWidth="1" style="197" min="71" max="71"/>
    <col width="13" customWidth="1" style="197" min="72" max="72"/>
    <col width="13" customWidth="1" style="197" min="73" max="73"/>
    <col width="13" customWidth="1" style="197" min="74" max="74"/>
    <col width="13" customWidth="1" style="197" min="75" max="75"/>
    <col width="13" customWidth="1" style="197" min="76" max="76"/>
    <col width="13" customWidth="1" style="197" min="77" max="77"/>
    <col width="13" customWidth="1" style="197" min="78" max="78"/>
    <col width="13" customWidth="1" style="197" min="79" max="79"/>
    <col width="13" customWidth="1" style="197" min="80" max="80"/>
    <col width="13" customWidth="1" style="197" min="81" max="81"/>
    <col width="13" customWidth="1" style="197" min="82" max="82"/>
    <col width="13" customWidth="1" style="197" min="83" max="83"/>
    <col width="13" customWidth="1" style="197" min="84" max="84"/>
    <col width="13" customWidth="1" style="197" min="85" max="85"/>
    <col width="13" customWidth="1" style="197" min="86" max="86"/>
    <col width="13" customWidth="1" style="197" min="87" max="87"/>
    <col width="13" customWidth="1" style="197" min="88" max="88"/>
    <col width="13" customWidth="1" style="197" min="89" max="89"/>
    <col width="13" customWidth="1" style="197" min="90" max="90"/>
    <col width="13" customWidth="1" style="197" min="91" max="91"/>
    <col width="13" customWidth="1" style="197" min="92" max="92"/>
    <col width="13" customWidth="1" style="197" min="93" max="93"/>
    <col width="13" customWidth="1" style="197" min="94" max="94"/>
    <col width="13" customWidth="1" style="197" min="95" max="95"/>
    <col width="13" customWidth="1" style="197" min="96" max="96"/>
    <col width="13" customWidth="1" style="197" min="97" max="97"/>
    <col width="13" customWidth="1" style="197" min="98" max="98"/>
    <col width="13" customWidth="1" style="197" min="99" max="99"/>
    <col width="13" customWidth="1" style="197" min="100" max="100"/>
    <col width="13" customWidth="1" style="197" min="101" max="101"/>
    <col width="13" customWidth="1" style="197" min="102" max="102"/>
    <col width="13" customWidth="1" style="197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C207"/>
  <sheetViews>
    <sheetView workbookViewId="0">
      <selection activeCell="A1" sqref="A1"/>
    </sheetView>
  </sheetViews>
  <sheetFormatPr baseColWidth="8" defaultRowHeight="15"/>
  <cols>
    <col width="5.42578125" customWidth="1" style="197" min="1" max="1"/>
    <col width="13" customWidth="1" style="197" min="2" max="2"/>
    <col width="2.42578125" customWidth="1" style="197" min="3" max="3"/>
    <col width="3.42578125" customWidth="1" style="197" min="4" max="4"/>
    <col width="2.42578125" customWidth="1" style="197" min="5" max="5"/>
    <col width="10.42578125" customWidth="1" style="197" min="6" max="6"/>
    <col width="4.42578125" customWidth="1" style="197" min="7" max="7"/>
    <col width="9.42578125" customWidth="1" style="197" min="8" max="8"/>
    <col width="23.42578125" customWidth="1" style="197" min="9" max="9"/>
    <col width="12.42578125" customWidth="1" style="197" min="10" max="10"/>
    <col width="4.42578125" customWidth="1" style="197" min="11" max="11"/>
    <col width="6.42578125" customWidth="1" style="197" min="12" max="12"/>
    <col width="13" customWidth="1" style="197" min="13" max="13"/>
    <col width="2.42578125" customWidth="1" style="197" min="14" max="14"/>
    <col width="1.42578125" customWidth="1" style="197" min="15" max="15"/>
    <col width="8.42578125" customWidth="1" style="197" min="16" max="16"/>
    <col width="9.42578125" customWidth="1" style="197" min="17" max="17"/>
    <col width="10.42578125" customWidth="1" style="197" min="18" max="18"/>
    <col width="6.42578125" customWidth="1" style="197" min="19" max="19"/>
    <col width="4.42578125" customWidth="1" style="197" min="20" max="20"/>
    <col width="13" customWidth="1" style="197" min="21" max="21"/>
    <col width="1.42578125" customWidth="1" style="197" min="22" max="22"/>
    <col width="13" customWidth="1" style="197" min="23" max="23"/>
    <col width="13" customWidth="1" style="197" min="24" max="24"/>
    <col width="7.42578125" customWidth="1" style="197" min="25" max="25"/>
    <col width="1.42578125" customWidth="1" style="197" min="26" max="26"/>
    <col width="3.42578125" customWidth="1" style="197" min="27" max="27"/>
    <col width="13" customWidth="1" style="197" min="28" max="28"/>
    <col width="5.42578125" customWidth="1" style="197" min="29" max="29"/>
  </cols>
  <sheetData>
    <row r="1" ht="12.2" customHeight="1" s="197">
      <c r="A1" s="235" t="inlineStr">
        <is>
          <t>Унифицированная Форма № КС-2</t>
        </is>
      </c>
    </row>
    <row r="2" ht="12.2" customHeight="1" s="197">
      <c r="A2" s="235" t="inlineStr">
        <is>
          <t>Утверждена постановлением Госкомстата России</t>
        </is>
      </c>
    </row>
    <row r="3" ht="24.6" customHeight="1" s="197">
      <c r="A3" s="235" t="inlineStr">
        <is>
          <t>от 11.11.99 № 100</t>
        </is>
      </c>
    </row>
    <row r="4" ht="14.85" customHeight="1" s="197">
      <c r="A4" s="236" t="inlineStr"/>
      <c r="AA4" s="237" t="inlineStr">
        <is>
          <t>Код</t>
        </is>
      </c>
      <c r="AB4" s="238" t="n"/>
      <c r="AC4" s="239" t="n"/>
    </row>
    <row r="5" ht="14.85" customHeight="1" s="197">
      <c r="A5" s="240" t="inlineStr">
        <is>
          <t xml:space="preserve">Форма по ОКУД </t>
        </is>
      </c>
      <c r="AA5" s="237" t="inlineStr">
        <is>
          <t>0322005</t>
        </is>
      </c>
      <c r="AB5" s="238" t="n"/>
      <c r="AC5" s="239" t="n"/>
    </row>
    <row r="6" ht="14.85" customHeight="1" s="197">
      <c r="A6" s="236" t="inlineStr">
        <is>
          <t xml:space="preserve">Инвестор: </t>
        </is>
      </c>
      <c r="E6" s="241" t="inlineStr"/>
      <c r="F6" s="242" t="n"/>
      <c r="G6" s="242" t="n"/>
      <c r="H6" s="242" t="n"/>
      <c r="I6" s="242" t="n"/>
      <c r="J6" s="242" t="n"/>
      <c r="K6" s="242" t="n"/>
      <c r="L6" s="242" t="n"/>
      <c r="M6" s="242" t="n"/>
      <c r="N6" s="242" t="n"/>
      <c r="O6" s="242" t="n"/>
      <c r="P6" s="242" t="n"/>
      <c r="Q6" s="242" t="n"/>
      <c r="R6" s="242" t="n"/>
      <c r="S6" s="242" t="n"/>
      <c r="T6" s="242" t="n"/>
      <c r="U6" s="242" t="n"/>
      <c r="V6" s="242" t="n"/>
      <c r="W6" s="240" t="inlineStr">
        <is>
          <t xml:space="preserve">по ОКПО </t>
        </is>
      </c>
      <c r="AA6" s="243" t="inlineStr"/>
      <c r="AB6" s="244" t="n"/>
      <c r="AC6" s="245" t="n"/>
    </row>
    <row r="7" ht="14.85" customHeight="1" s="197">
      <c r="A7" s="236" t="inlineStr"/>
      <c r="E7" s="246" t="inlineStr">
        <is>
          <t>(организация, адрес, телефон, факс)</t>
        </is>
      </c>
      <c r="W7" s="236" t="inlineStr"/>
      <c r="AA7" s="247" t="inlineStr"/>
      <c r="AB7" s="242" t="n"/>
      <c r="AC7" s="248" t="n"/>
    </row>
    <row r="8" ht="14.85" customHeight="1" s="197">
      <c r="A8" s="236" t="inlineStr">
        <is>
          <t xml:space="preserve">Заказчик (Генподрядчик): </t>
        </is>
      </c>
      <c r="G8" s="241" t="inlineStr">
        <is>
          <t>Представитель МКД</t>
        </is>
      </c>
      <c r="H8" s="242" t="n"/>
      <c r="I8" s="242" t="n"/>
      <c r="J8" s="242" t="n"/>
      <c r="K8" s="242" t="n"/>
      <c r="L8" s="242" t="n"/>
      <c r="M8" s="242" t="n"/>
      <c r="N8" s="242" t="n"/>
      <c r="O8" s="242" t="n"/>
      <c r="P8" s="242" t="n"/>
      <c r="Q8" s="242" t="n"/>
      <c r="R8" s="242" t="n"/>
      <c r="S8" s="242" t="n"/>
      <c r="T8" s="242" t="n"/>
      <c r="U8" s="242" t="n"/>
      <c r="V8" s="242" t="n"/>
      <c r="W8" s="240" t="inlineStr">
        <is>
          <t xml:space="preserve">по ОКПО </t>
        </is>
      </c>
      <c r="AA8" s="243" t="inlineStr"/>
      <c r="AB8" s="244" t="n"/>
      <c r="AC8" s="245" t="n"/>
    </row>
    <row r="9" ht="14.85" customHeight="1" s="197">
      <c r="A9" s="236" t="inlineStr"/>
      <c r="G9" s="246" t="inlineStr">
        <is>
          <t>(организация, адрес, телефон, факс)</t>
        </is>
      </c>
      <c r="W9" s="236" t="inlineStr"/>
      <c r="AA9" s="247" t="inlineStr"/>
      <c r="AB9" s="242" t="n"/>
      <c r="AC9" s="248" t="n"/>
    </row>
    <row r="10" ht="14.85" customHeight="1" s="197">
      <c r="A10" s="236" t="inlineStr">
        <is>
          <t xml:space="preserve">Подрядчик (Субподрядчик): </t>
        </is>
      </c>
      <c r="G10" s="241" t="inlineStr">
        <is>
          <t>ООО УК "ЖИЛИЩНЫЕ РЕШЕНИЯ"</t>
        </is>
      </c>
      <c r="H10" s="242" t="n"/>
      <c r="I10" s="242" t="n"/>
      <c r="J10" s="242" t="n"/>
      <c r="K10" s="242" t="n"/>
      <c r="L10" s="242" t="n"/>
      <c r="M10" s="242" t="n"/>
      <c r="N10" s="242" t="n"/>
      <c r="O10" s="242" t="n"/>
      <c r="P10" s="242" t="n"/>
      <c r="Q10" s="242" t="n"/>
      <c r="R10" s="242" t="n"/>
      <c r="S10" s="242" t="n"/>
      <c r="T10" s="242" t="n"/>
      <c r="U10" s="242" t="n"/>
      <c r="V10" s="242" t="n"/>
      <c r="W10" s="240" t="inlineStr">
        <is>
          <t xml:space="preserve">по ОКПО </t>
        </is>
      </c>
      <c r="AA10" s="243" t="inlineStr"/>
      <c r="AB10" s="244" t="n"/>
      <c r="AC10" s="245" t="n"/>
    </row>
    <row r="11" ht="14.85" customHeight="1" s="197">
      <c r="A11" s="236" t="inlineStr"/>
      <c r="G11" s="246" t="inlineStr">
        <is>
          <t>(организация, адрес, телефон, факс)</t>
        </is>
      </c>
      <c r="W11" s="236" t="inlineStr"/>
      <c r="AA11" s="247" t="inlineStr"/>
      <c r="AB11" s="242" t="n"/>
      <c r="AC11" s="248" t="n"/>
    </row>
    <row r="12" ht="14.85" customHeight="1" s="197">
      <c r="A12" s="236" t="inlineStr">
        <is>
          <t xml:space="preserve">Стройка: </t>
        </is>
      </c>
      <c r="D12" s="241" t="inlineStr">
        <is>
          <t>Содержание и текущий ремонт МКД г Щелково</t>
        </is>
      </c>
      <c r="E12" s="242" t="n"/>
      <c r="F12" s="242" t="n"/>
      <c r="G12" s="242" t="n"/>
      <c r="H12" s="242" t="n"/>
      <c r="I12" s="242" t="n"/>
      <c r="J12" s="242" t="n"/>
      <c r="K12" s="242" t="n"/>
      <c r="L12" s="242" t="n"/>
      <c r="M12" s="242" t="n"/>
      <c r="N12" s="242" t="n"/>
      <c r="O12" s="242" t="n"/>
      <c r="P12" s="242" t="n"/>
      <c r="Q12" s="242" t="n"/>
      <c r="R12" s="242" t="n"/>
      <c r="S12" s="242" t="n"/>
      <c r="T12" s="242" t="n"/>
      <c r="U12" s="242" t="n"/>
      <c r="V12" s="242" t="n"/>
      <c r="W12" s="240" t="inlineStr"/>
      <c r="AA12" s="237" t="inlineStr"/>
      <c r="AB12" s="238" t="n"/>
      <c r="AC12" s="239" t="n"/>
    </row>
    <row r="13" ht="14.85" customHeight="1" s="197">
      <c r="A13" s="236" t="inlineStr">
        <is>
          <t xml:space="preserve">Объект: </t>
        </is>
      </c>
      <c r="D13" s="241" t="inlineStr">
        <is>
          <t>Содержание и текущий ремонт МКД г Щелково</t>
        </is>
      </c>
      <c r="E13" s="242" t="n"/>
      <c r="F13" s="242" t="n"/>
      <c r="G13" s="242" t="n"/>
      <c r="H13" s="242" t="n"/>
      <c r="I13" s="242" t="n"/>
      <c r="J13" s="242" t="n"/>
      <c r="K13" s="242" t="n"/>
      <c r="L13" s="242" t="n"/>
      <c r="M13" s="242" t="n"/>
      <c r="N13" s="242" t="n"/>
      <c r="O13" s="242" t="n"/>
      <c r="P13" s="242" t="n"/>
      <c r="Q13" s="242" t="n"/>
      <c r="R13" s="242" t="n"/>
      <c r="S13" s="242" t="n"/>
      <c r="T13" s="242" t="n"/>
      <c r="U13" s="242" t="n"/>
      <c r="V13" s="242" t="n"/>
      <c r="W13" s="240" t="inlineStr"/>
      <c r="AA13" s="237" t="inlineStr"/>
      <c r="AB13" s="238" t="n"/>
      <c r="AC13" s="239" t="n"/>
    </row>
    <row r="14" ht="14.85" customHeight="1" s="197">
      <c r="A14" s="240" t="inlineStr">
        <is>
          <t xml:space="preserve">Вид деятельности по ОКДП </t>
        </is>
      </c>
      <c r="AA14" s="237" t="inlineStr"/>
      <c r="AB14" s="238" t="n"/>
      <c r="AC14" s="239" t="n"/>
    </row>
    <row r="15" ht="14.85" customHeight="1" s="197">
      <c r="A15" s="240" t="inlineStr">
        <is>
          <t xml:space="preserve">Договор подряда (контракт) </t>
        </is>
      </c>
      <c r="Y15" s="249" t="inlineStr">
        <is>
          <t>номер</t>
        </is>
      </c>
      <c r="Z15" s="239" t="n"/>
      <c r="AA15" s="250" t="inlineStr"/>
      <c r="AB15" s="238" t="n"/>
      <c r="AC15" s="239" t="n"/>
    </row>
    <row r="16" ht="14.85" customHeight="1" s="197">
      <c r="A16" s="236" t="inlineStr"/>
      <c r="Y16" s="237" t="inlineStr">
        <is>
          <t>дата</t>
        </is>
      </c>
      <c r="Z16" s="239" t="n"/>
      <c r="AA16" s="250" t="inlineStr"/>
      <c r="AB16" s="250" t="inlineStr"/>
      <c r="AC16" s="250" t="inlineStr"/>
    </row>
    <row r="17" ht="14.85" customHeight="1" s="197">
      <c r="A17" s="240" t="inlineStr">
        <is>
          <t>Вид операции</t>
        </is>
      </c>
      <c r="AA17" s="237" t="inlineStr"/>
      <c r="AB17" s="238" t="n"/>
      <c r="AC17" s="239" t="n"/>
    </row>
    <row r="18" ht="12.2" customHeight="1" s="197">
      <c r="A18" s="251" t="inlineStr"/>
    </row>
    <row r="19" ht="14.85" customHeight="1" s="197">
      <c r="A19" s="240" t="inlineStr"/>
      <c r="V19" s="237" t="inlineStr">
        <is>
          <t>Отчетный период</t>
        </is>
      </c>
      <c r="W19" s="238" t="n"/>
      <c r="X19" s="238" t="n"/>
      <c r="Y19" s="238" t="n"/>
      <c r="Z19" s="238" t="n"/>
      <c r="AA19" s="238" t="n"/>
      <c r="AB19" s="238" t="n"/>
      <c r="AC19" s="239" t="n"/>
    </row>
    <row r="20" ht="14.85" customHeight="1" s="197">
      <c r="A20" s="240" t="inlineStr"/>
      <c r="N20" s="237" t="inlineStr">
        <is>
          <t>Номер документа</t>
        </is>
      </c>
      <c r="O20" s="238" t="n"/>
      <c r="P20" s="238" t="n"/>
      <c r="Q20" s="239" t="n"/>
      <c r="R20" s="237" t="inlineStr">
        <is>
          <t>Дата составления</t>
        </is>
      </c>
      <c r="S20" s="238" t="n"/>
      <c r="T20" s="239" t="n"/>
      <c r="U20" s="236" t="inlineStr"/>
      <c r="V20" s="237" t="inlineStr">
        <is>
          <t>с</t>
        </is>
      </c>
      <c r="W20" s="238" t="n"/>
      <c r="X20" s="238" t="n"/>
      <c r="Y20" s="238" t="n"/>
      <c r="Z20" s="239" t="n"/>
      <c r="AA20" s="237" t="inlineStr">
        <is>
          <t>по</t>
        </is>
      </c>
      <c r="AB20" s="238" t="n"/>
      <c r="AC20" s="239" t="n"/>
    </row>
    <row r="21" ht="14.85" customHeight="1" s="197">
      <c r="A21" s="240" t="inlineStr"/>
      <c r="N21" s="237" t="inlineStr"/>
      <c r="O21" s="238" t="n"/>
      <c r="P21" s="238" t="n"/>
      <c r="Q21" s="239" t="n"/>
      <c r="R21" s="237" t="inlineStr">
        <is>
          <t>30.11.2025</t>
        </is>
      </c>
      <c r="S21" s="238" t="n"/>
      <c r="T21" s="239" t="n"/>
      <c r="U21" s="236" t="inlineStr"/>
      <c r="V21" s="250" t="inlineStr">
        <is>
          <t>01.11.2025</t>
        </is>
      </c>
      <c r="W21" s="238" t="n"/>
      <c r="X21" s="238" t="n"/>
      <c r="Y21" s="238" t="n"/>
      <c r="Z21" s="239" t="n"/>
      <c r="AA21" s="250" t="inlineStr">
        <is>
          <t>30.11.2025</t>
        </is>
      </c>
      <c r="AB21" s="238" t="n"/>
      <c r="AC21" s="239" t="n"/>
    </row>
    <row r="22" ht="51.75" customHeight="1" s="197">
      <c r="A22" s="252" t="inlineStr">
        <is>
          <t>АКТ о приемке выполненных работ</t>
        </is>
      </c>
    </row>
    <row r="23" ht="12.2" customHeight="1" s="197">
      <c r="A23" s="251" t="inlineStr"/>
    </row>
    <row r="24" ht="12.2" customHeight="1" s="197">
      <c r="A24" s="253" t="n"/>
      <c r="L24" s="254" t="n"/>
      <c r="O24" s="253" t="n"/>
    </row>
    <row r="25" ht="12.2" customHeight="1" s="197">
      <c r="A25" s="251" t="inlineStr"/>
    </row>
    <row r="26" ht="24.6" customHeight="1" s="197">
      <c r="A26" s="250" t="inlineStr">
        <is>
          <t>Номер</t>
        </is>
      </c>
      <c r="B26" s="245" t="n"/>
      <c r="C26" s="250" t="inlineStr">
        <is>
          <t>Обоснование</t>
        </is>
      </c>
      <c r="D26" s="244" t="n"/>
      <c r="E26" s="244" t="n"/>
      <c r="F26" s="244" t="n"/>
      <c r="G26" s="245" t="n"/>
      <c r="H26" s="250" t="inlineStr">
        <is>
          <t>Наименование работ и затрат</t>
        </is>
      </c>
      <c r="I26" s="244" t="n"/>
      <c r="J26" s="245" t="n"/>
      <c r="K26" s="250" t="inlineStr">
        <is>
          <t>Единица измерения</t>
        </is>
      </c>
      <c r="L26" s="245" t="n"/>
      <c r="M26" s="250" t="inlineStr">
        <is>
          <t>Количество</t>
        </is>
      </c>
      <c r="N26" s="238" t="n"/>
      <c r="O26" s="238" t="n"/>
      <c r="P26" s="238" t="n"/>
      <c r="Q26" s="239" t="n"/>
      <c r="R26" s="250" t="inlineStr">
        <is>
          <t>Сметная стоимость, руб</t>
        </is>
      </c>
      <c r="S26" s="238" t="n"/>
      <c r="T26" s="238" t="n"/>
      <c r="U26" s="238" t="n"/>
      <c r="V26" s="238" t="n"/>
      <c r="W26" s="238" t="n"/>
      <c r="X26" s="238" t="n"/>
      <c r="Y26" s="238" t="n"/>
      <c r="Z26" s="238" t="n"/>
      <c r="AA26" s="238" t="n"/>
      <c r="AB26" s="238" t="n"/>
      <c r="AC26" s="239" t="n"/>
    </row>
    <row r="27" ht="12.2" customHeight="1" s="197">
      <c r="A27" s="255" t="n"/>
      <c r="B27" s="248" t="n"/>
      <c r="C27" s="256" t="n"/>
      <c r="G27" s="257" t="n"/>
      <c r="H27" s="256" t="n"/>
      <c r="J27" s="257" t="n"/>
      <c r="K27" s="256" t="n"/>
      <c r="L27" s="257" t="n"/>
      <c r="M27" s="250" t="inlineStr">
        <is>
          <t>на единицу измерения</t>
        </is>
      </c>
      <c r="N27" s="244" t="n"/>
      <c r="O27" s="245" t="n"/>
      <c r="P27" s="250" t="inlineStr">
        <is>
          <t>коэффициенты</t>
        </is>
      </c>
      <c r="Q27" s="250" t="inlineStr">
        <is>
          <t>всего с учетом коэффициентов</t>
        </is>
      </c>
      <c r="R27" s="250" t="inlineStr">
        <is>
          <t>на единицу измерения в базисном уровне цен</t>
        </is>
      </c>
      <c r="S27" s="250" t="inlineStr">
        <is>
          <t>индекс</t>
        </is>
      </c>
      <c r="T27" s="250" t="inlineStr">
        <is>
          <t>на единицу измерения в текущем уровне цен</t>
        </is>
      </c>
      <c r="U27" s="244" t="n"/>
      <c r="V27" s="244" t="n"/>
      <c r="W27" s="245" t="n"/>
      <c r="X27" s="250" t="inlineStr">
        <is>
          <t>коэффициенты</t>
        </is>
      </c>
      <c r="Y27" s="245" t="n"/>
      <c r="Z27" s="250" t="inlineStr">
        <is>
          <t>всего в текущем уровне цен</t>
        </is>
      </c>
      <c r="AA27" s="244" t="n"/>
      <c r="AB27" s="244" t="n"/>
      <c r="AC27" s="245" t="n"/>
    </row>
    <row r="28" ht="61.35" customHeight="1" s="197">
      <c r="A28" s="250" t="inlineStr">
        <is>
          <t>по пор.</t>
        </is>
      </c>
      <c r="B28" s="250" t="inlineStr">
        <is>
          <t>поз. по см.</t>
        </is>
      </c>
      <c r="C28" s="255" t="n"/>
      <c r="D28" s="242" t="n"/>
      <c r="E28" s="242" t="n"/>
      <c r="F28" s="242" t="n"/>
      <c r="G28" s="248" t="n"/>
      <c r="H28" s="255" t="n"/>
      <c r="I28" s="242" t="n"/>
      <c r="J28" s="248" t="n"/>
      <c r="K28" s="255" t="n"/>
      <c r="L28" s="248" t="n"/>
      <c r="M28" s="255" t="n"/>
      <c r="N28" s="242" t="n"/>
      <c r="O28" s="248" t="n"/>
      <c r="P28" s="258" t="n"/>
      <c r="Q28" s="258" t="n"/>
      <c r="R28" s="258" t="n"/>
      <c r="S28" s="258" t="n"/>
      <c r="T28" s="255" t="n"/>
      <c r="U28" s="242" t="n"/>
      <c r="V28" s="242" t="n"/>
      <c r="W28" s="248" t="n"/>
      <c r="X28" s="255" t="n"/>
      <c r="Y28" s="248" t="n"/>
      <c r="Z28" s="255" t="n"/>
      <c r="AA28" s="242" t="n"/>
      <c r="AB28" s="242" t="n"/>
      <c r="AC28" s="248" t="n"/>
    </row>
    <row r="29" ht="18.4" customHeight="1" s="197">
      <c r="A29" s="250" t="inlineStr">
        <is>
          <t>1</t>
        </is>
      </c>
      <c r="B29" s="250" t="inlineStr">
        <is>
          <t>2</t>
        </is>
      </c>
      <c r="C29" s="250" t="inlineStr">
        <is>
          <t>3</t>
        </is>
      </c>
      <c r="D29" s="238" t="n"/>
      <c r="E29" s="238" t="n"/>
      <c r="F29" s="238" t="n"/>
      <c r="G29" s="239" t="n"/>
      <c r="H29" s="250" t="inlineStr">
        <is>
          <t>4</t>
        </is>
      </c>
      <c r="I29" s="238" t="n"/>
      <c r="J29" s="239" t="n"/>
      <c r="K29" s="250" t="inlineStr">
        <is>
          <t>5</t>
        </is>
      </c>
      <c r="L29" s="239" t="n"/>
      <c r="M29" s="250" t="inlineStr">
        <is>
          <t>6</t>
        </is>
      </c>
      <c r="N29" s="238" t="n"/>
      <c r="O29" s="239" t="n"/>
      <c r="P29" s="250" t="inlineStr">
        <is>
          <t>7</t>
        </is>
      </c>
      <c r="Q29" s="250" t="inlineStr">
        <is>
          <t>8</t>
        </is>
      </c>
      <c r="R29" s="250" t="inlineStr">
        <is>
          <t>9</t>
        </is>
      </c>
      <c r="S29" s="250" t="inlineStr">
        <is>
          <t>10</t>
        </is>
      </c>
      <c r="T29" s="250" t="inlineStr">
        <is>
          <t>11</t>
        </is>
      </c>
      <c r="U29" s="238" t="n"/>
      <c r="V29" s="238" t="n"/>
      <c r="W29" s="239" t="n"/>
      <c r="X29" s="250" t="inlineStr">
        <is>
          <t>12</t>
        </is>
      </c>
      <c r="Y29" s="239" t="n"/>
      <c r="Z29" s="250" t="inlineStr">
        <is>
          <t>13</t>
        </is>
      </c>
      <c r="AA29" s="238" t="n"/>
      <c r="AB29" s="238" t="n"/>
      <c r="AC29" s="239" t="n"/>
    </row>
    <row r="31" ht="12.2" customHeight="1" s="197">
      <c r="A31" s="259" t="inlineStr">
        <is>
          <t>молодежная 8</t>
        </is>
      </c>
      <c r="B31" s="242" t="n"/>
      <c r="C31" s="242" t="n"/>
      <c r="D31" s="242" t="n"/>
      <c r="E31" s="242" t="n"/>
      <c r="F31" s="242" t="n"/>
      <c r="G31" s="242" t="n"/>
      <c r="H31" s="242" t="n"/>
      <c r="I31" s="242" t="n"/>
      <c r="J31" s="242" t="n"/>
      <c r="K31" s="242" t="n"/>
      <c r="L31" s="242" t="n"/>
      <c r="M31" s="242" t="n"/>
      <c r="N31" s="242" t="n"/>
      <c r="O31" s="242" t="n"/>
      <c r="P31" s="242" t="n"/>
      <c r="Q31" s="242" t="n"/>
      <c r="R31" s="242" t="n"/>
      <c r="S31" s="242" t="n"/>
      <c r="T31" s="242" t="n"/>
      <c r="U31" s="242" t="n"/>
      <c r="V31" s="242" t="n"/>
      <c r="W31" s="242" t="n"/>
      <c r="X31" s="242" t="n"/>
      <c r="Y31" s="242" t="n"/>
      <c r="Z31" s="242" t="n"/>
      <c r="AA31" s="242" t="n"/>
      <c r="AB31" s="242" t="n"/>
      <c r="AC31" s="242" t="n"/>
    </row>
    <row r="33" ht="12.2" customHeight="1" s="197">
      <c r="A33" s="259" t="inlineStr">
        <is>
          <t>сантехнические работы</t>
        </is>
      </c>
      <c r="B33" s="242" t="n"/>
      <c r="C33" s="242" t="n"/>
      <c r="D33" s="242" t="n"/>
      <c r="E33" s="242" t="n"/>
      <c r="F33" s="242" t="n"/>
      <c r="G33" s="242" t="n"/>
      <c r="H33" s="242" t="n"/>
      <c r="I33" s="242" t="n"/>
      <c r="J33" s="242" t="n"/>
      <c r="K33" s="242" t="n"/>
      <c r="L33" s="242" t="n"/>
      <c r="M33" s="242" t="n"/>
      <c r="N33" s="242" t="n"/>
      <c r="O33" s="242" t="n"/>
      <c r="P33" s="242" t="n"/>
      <c r="Q33" s="242" t="n"/>
      <c r="R33" s="242" t="n"/>
      <c r="S33" s="242" t="n"/>
      <c r="T33" s="242" t="n"/>
      <c r="U33" s="242" t="n"/>
      <c r="V33" s="242" t="n"/>
      <c r="W33" s="242" t="n"/>
      <c r="X33" s="242" t="n"/>
      <c r="Y33" s="242" t="n"/>
      <c r="Z33" s="242" t="n"/>
      <c r="AA33" s="242" t="n"/>
      <c r="AB33" s="242" t="n"/>
      <c r="AC33" s="242" t="n"/>
    </row>
    <row r="34" ht="12.2" customHeight="1" s="197">
      <c r="A34" s="251" t="inlineStr">
        <is>
          <t>1</t>
        </is>
      </c>
      <c r="B34" s="260" t="inlineStr">
        <is>
          <t>1</t>
        </is>
      </c>
      <c r="C34" s="260" t="inlineStr">
        <is>
          <t>ГЭСНр 65-01-010-01</t>
        </is>
      </c>
      <c r="H34" s="260" t="inlineStr">
        <is>
          <t>Очистка канализационной сети: внутренней</t>
        </is>
      </c>
      <c r="K34" s="260" t="inlineStr">
        <is>
          <t>100 м</t>
        </is>
      </c>
      <c r="M34" s="261" t="n">
        <v>0.9</v>
      </c>
      <c r="P34" s="235" t="inlineStr"/>
      <c r="Q34" s="262" t="n">
        <v>0.9</v>
      </c>
      <c r="R34" s="235" t="inlineStr"/>
      <c r="S34" s="235" t="inlineStr"/>
      <c r="T34" s="235" t="inlineStr"/>
      <c r="X34" s="235" t="inlineStr"/>
      <c r="Z34" s="235" t="inlineStr"/>
    </row>
    <row r="35" ht="12.2" customHeight="1" s="197">
      <c r="A35" s="251" t="inlineStr"/>
      <c r="B35" s="251" t="inlineStr"/>
      <c r="C35" s="251" t="inlineStr">
        <is>
          <t xml:space="preserve">             1</t>
        </is>
      </c>
      <c r="H35" s="251" t="inlineStr">
        <is>
          <t>ОТ(ЗТ)</t>
        </is>
      </c>
      <c r="K35" s="251" t="inlineStr">
        <is>
          <t>чел.-ч</t>
        </is>
      </c>
      <c r="M35" s="235" t="inlineStr"/>
      <c r="P35" s="235" t="inlineStr"/>
      <c r="Q35" s="263" t="n">
        <v>26.586</v>
      </c>
      <c r="R35" s="235" t="inlineStr"/>
      <c r="S35" s="235" t="inlineStr"/>
      <c r="T35" s="235" t="inlineStr"/>
      <c r="X35" s="235" t="inlineStr"/>
      <c r="Z35" s="262" t="n">
        <v>12055.69</v>
      </c>
    </row>
    <row r="36" ht="12.2" customHeight="1" s="197">
      <c r="A36" s="251" t="inlineStr"/>
      <c r="B36" s="251" t="inlineStr"/>
      <c r="C36" s="251" t="inlineStr">
        <is>
          <t>1-100-25</t>
        </is>
      </c>
      <c r="H36" s="251" t="inlineStr">
        <is>
          <t>Средний разряд работы 2,5</t>
        </is>
      </c>
      <c r="K36" s="251" t="inlineStr">
        <is>
          <t>чел.-ч</t>
        </is>
      </c>
      <c r="M36" s="264" t="n">
        <v>29.54</v>
      </c>
      <c r="P36" s="235" t="inlineStr"/>
      <c r="Q36" s="263" t="n">
        <v>26.586</v>
      </c>
      <c r="R36" s="235" t="inlineStr"/>
      <c r="S36" s="235" t="inlineStr"/>
      <c r="T36" s="264" t="n">
        <v>453.46</v>
      </c>
      <c r="X36" s="235" t="inlineStr"/>
      <c r="Z36" s="264" t="n">
        <v>12055.69</v>
      </c>
    </row>
    <row r="37" ht="12.2" customHeight="1" s="197">
      <c r="A37" s="251" t="inlineStr"/>
      <c r="B37" s="251" t="inlineStr"/>
      <c r="C37" s="251" t="inlineStr">
        <is>
          <t xml:space="preserve">             2</t>
        </is>
      </c>
      <c r="H37" s="251" t="inlineStr">
        <is>
          <t>ЭМ</t>
        </is>
      </c>
      <c r="K37" s="251" t="inlineStr"/>
      <c r="M37" s="235" t="inlineStr"/>
      <c r="P37" s="235" t="inlineStr"/>
      <c r="Q37" s="235" t="inlineStr"/>
      <c r="R37" s="235" t="inlineStr"/>
      <c r="S37" s="235" t="inlineStr"/>
      <c r="T37" s="235" t="inlineStr"/>
      <c r="X37" s="235" t="inlineStr"/>
      <c r="Z37" s="262" t="n">
        <v>5.77</v>
      </c>
    </row>
    <row r="38" ht="12.2" customHeight="1" s="197">
      <c r="A38" s="265" t="inlineStr"/>
      <c r="B38" s="265" t="inlineStr"/>
      <c r="C38" s="265" t="inlineStr"/>
      <c r="H38" s="265" t="inlineStr">
        <is>
          <t>ОТм(ЗТм)</t>
        </is>
      </c>
      <c r="K38" s="265" t="inlineStr">
        <is>
          <t>чел.-ч</t>
        </is>
      </c>
      <c r="M38" s="266" t="inlineStr"/>
      <c r="P38" s="266" t="inlineStr"/>
      <c r="Q38" s="267" t="n">
        <v>0.008999999999999999</v>
      </c>
      <c r="R38" s="266" t="inlineStr"/>
      <c r="S38" s="266" t="inlineStr"/>
      <c r="T38" s="266" t="inlineStr"/>
      <c r="X38" s="266" t="inlineStr"/>
      <c r="Z38" s="262" t="n">
        <v>4.8</v>
      </c>
    </row>
    <row r="39" ht="12.2" customHeight="1" s="197">
      <c r="A39" s="251" t="inlineStr"/>
      <c r="B39" s="251" t="inlineStr"/>
      <c r="C39" s="251" t="inlineStr">
        <is>
          <t>91.14.02-001</t>
        </is>
      </c>
      <c r="H39" s="251" t="inlineStr">
        <is>
          <t>Автомобили бортовые, грузоподъемность до 5 т</t>
        </is>
      </c>
      <c r="K39" s="251" t="inlineStr">
        <is>
          <t>маш.-ч</t>
        </is>
      </c>
      <c r="M39" s="264" t="n">
        <v>0.01</v>
      </c>
      <c r="P39" s="235" t="inlineStr"/>
      <c r="Q39" s="263" t="n">
        <v>0.008999999999999999</v>
      </c>
      <c r="R39" s="235" t="inlineStr"/>
      <c r="S39" s="235" t="inlineStr"/>
      <c r="T39" s="264" t="n">
        <v>640.84</v>
      </c>
      <c r="X39" s="235" t="inlineStr"/>
      <c r="Z39" s="264" t="n">
        <v>5.77</v>
      </c>
    </row>
    <row r="40" ht="12.2" customHeight="1" s="197">
      <c r="A40" s="251" t="inlineStr"/>
      <c r="B40" s="251" t="inlineStr"/>
      <c r="C40" s="251" t="inlineStr">
        <is>
          <t>4-100-040</t>
        </is>
      </c>
      <c r="H40" s="251" t="inlineStr">
        <is>
          <t>ОТм(ЗТм) Средний разряд машинистов 4,0</t>
        </is>
      </c>
      <c r="K40" s="251" t="inlineStr">
        <is>
          <t>чел.-ч</t>
        </is>
      </c>
      <c r="M40" s="264" t="n">
        <v>0.01</v>
      </c>
      <c r="P40" s="235" t="inlineStr"/>
      <c r="Q40" s="263" t="n">
        <v>0.008999999999999999</v>
      </c>
      <c r="R40" s="235" t="inlineStr"/>
      <c r="S40" s="235" t="inlineStr"/>
      <c r="T40" s="264" t="n">
        <v>533.01</v>
      </c>
      <c r="X40" s="235" t="inlineStr"/>
      <c r="Z40" s="264" t="n">
        <v>4.8</v>
      </c>
    </row>
    <row r="41" ht="12.2" customHeight="1" s="197">
      <c r="A41" s="251" t="inlineStr"/>
      <c r="B41" s="251" t="inlineStr"/>
      <c r="C41" s="251" t="inlineStr">
        <is>
          <t xml:space="preserve">             4</t>
        </is>
      </c>
      <c r="H41" s="251" t="inlineStr">
        <is>
          <t>М</t>
        </is>
      </c>
      <c r="K41" s="251" t="inlineStr"/>
      <c r="M41" s="235" t="inlineStr"/>
      <c r="P41" s="235" t="inlineStr"/>
      <c r="Q41" s="235" t="inlineStr"/>
      <c r="R41" s="235" t="inlineStr"/>
      <c r="S41" s="235" t="inlineStr"/>
      <c r="T41" s="235" t="inlineStr"/>
      <c r="X41" s="235" t="inlineStr"/>
      <c r="Z41" s="262" t="n">
        <v>1315.36</v>
      </c>
    </row>
    <row r="42" ht="12.2" customHeight="1" s="197">
      <c r="A42" s="251" t="inlineStr"/>
      <c r="B42" s="251" t="inlineStr"/>
      <c r="C42" s="251" t="inlineStr">
        <is>
          <t>01.7.03.01-0001</t>
        </is>
      </c>
      <c r="H42" s="251" t="inlineStr">
        <is>
          <t>Вода</t>
        </is>
      </c>
      <c r="K42" s="251" t="inlineStr">
        <is>
          <t>м3</t>
        </is>
      </c>
      <c r="M42" s="261" t="n">
        <v>7.8</v>
      </c>
      <c r="P42" s="235" t="inlineStr"/>
      <c r="Q42" s="264" t="n">
        <v>7.02</v>
      </c>
      <c r="R42" s="264" t="n">
        <v>35.71</v>
      </c>
      <c r="S42" s="264" t="n">
        <v>0.89</v>
      </c>
      <c r="T42" s="264" t="n">
        <v>31.78</v>
      </c>
      <c r="X42" s="235" t="inlineStr"/>
      <c r="Z42" s="264" t="n">
        <v>223.1</v>
      </c>
    </row>
    <row r="43" ht="48.95" customHeight="1" s="197">
      <c r="A43" s="251" t="inlineStr"/>
      <c r="B43" s="251" t="inlineStr"/>
      <c r="C43" s="251" t="inlineStr">
        <is>
          <t>01.7.15.03-0014</t>
        </is>
      </c>
      <c r="H43" s="251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43" s="251" t="inlineStr">
        <is>
          <t>т</t>
        </is>
      </c>
      <c r="M43" s="263" t="n">
        <v>0.005</v>
      </c>
      <c r="P43" s="235" t="inlineStr"/>
      <c r="Q43" s="268" t="n">
        <v>0.0045</v>
      </c>
      <c r="R43" s="264" t="n">
        <v>145801.49</v>
      </c>
      <c r="S43" s="264" t="n">
        <v>1.11</v>
      </c>
      <c r="T43" s="264" t="n">
        <v>161839.65</v>
      </c>
      <c r="X43" s="235" t="inlineStr"/>
      <c r="Z43" s="264" t="n">
        <v>728.28</v>
      </c>
    </row>
    <row r="44" ht="24.6" customHeight="1" s="197">
      <c r="A44" s="251" t="inlineStr"/>
      <c r="B44" s="251" t="inlineStr"/>
      <c r="C44" s="251" t="inlineStr">
        <is>
          <t>01.7.19.04-0031</t>
        </is>
      </c>
      <c r="H44" s="251" t="inlineStr">
        <is>
          <t>Прокладки резиновые (пластина техническая прессованная)</t>
        </is>
      </c>
      <c r="K44" s="251" t="inlineStr">
        <is>
          <t>кг</t>
        </is>
      </c>
      <c r="M44" s="269" t="n">
        <v>2</v>
      </c>
      <c r="P44" s="235" t="inlineStr"/>
      <c r="Q44" s="264" t="n">
        <v>1.8</v>
      </c>
      <c r="R44" s="264" t="n">
        <v>138.5</v>
      </c>
      <c r="S44" s="264" t="n">
        <v>1.46</v>
      </c>
      <c r="T44" s="264" t="n">
        <v>202.21</v>
      </c>
      <c r="X44" s="235" t="inlineStr"/>
      <c r="Z44" s="264" t="n">
        <v>363.98</v>
      </c>
    </row>
    <row r="45" ht="12.2" customHeight="1" s="197">
      <c r="A45" s="251" t="inlineStr"/>
      <c r="B45" s="251" t="inlineStr"/>
      <c r="C45" s="251" t="inlineStr"/>
      <c r="H45" s="270" t="inlineStr">
        <is>
          <t>Итого прямые затраты</t>
        </is>
      </c>
      <c r="I45" s="244" t="n"/>
      <c r="J45" s="244" t="n"/>
      <c r="K45" s="271" t="inlineStr"/>
      <c r="L45" s="244" t="n"/>
      <c r="M45" s="271" t="inlineStr"/>
      <c r="N45" s="244" t="n"/>
      <c r="O45" s="244" t="n"/>
      <c r="P45" s="271" t="inlineStr"/>
      <c r="Q45" s="271" t="inlineStr"/>
      <c r="R45" s="271" t="inlineStr"/>
      <c r="S45" s="271" t="inlineStr"/>
      <c r="T45" s="271" t="inlineStr"/>
      <c r="U45" s="244" t="n"/>
      <c r="V45" s="244" t="n"/>
      <c r="W45" s="244" t="n"/>
      <c r="X45" s="271" t="inlineStr"/>
      <c r="Y45" s="244" t="n"/>
      <c r="Z45" s="272" t="n">
        <v>13381.62</v>
      </c>
      <c r="AA45" s="244" t="n"/>
      <c r="AB45" s="244" t="n"/>
      <c r="AC45" s="244" t="n"/>
    </row>
    <row r="46" ht="12.2" customHeight="1" s="197">
      <c r="C46" s="251" t="inlineStr"/>
      <c r="H46" s="251" t="inlineStr">
        <is>
          <t>ФОТ</t>
        </is>
      </c>
      <c r="K46" s="251" t="inlineStr"/>
      <c r="M46" s="235" t="inlineStr"/>
      <c r="P46" s="235" t="inlineStr"/>
      <c r="Q46" s="235" t="inlineStr"/>
      <c r="R46" s="251" t="inlineStr"/>
      <c r="S46" s="251" t="inlineStr"/>
      <c r="T46" s="251" t="inlineStr"/>
      <c r="X46" s="251" t="inlineStr"/>
      <c r="Z46" s="264" t="n">
        <v>12060.49</v>
      </c>
    </row>
    <row r="47" ht="36.75" customHeight="1" s="197">
      <c r="C47" s="251" t="inlineStr">
        <is>
          <t>812/пр_2020_прил._т._п.99.2_гр.3</t>
        </is>
      </c>
      <c r="H47" s="251" t="inlineStr">
        <is>
          <t>НР (Внутренние санитарно-технические работы: смена труб, санприборов, запорной арматуры и другое)</t>
        </is>
      </c>
      <c r="K47" s="251" t="inlineStr">
        <is>
          <t>%</t>
        </is>
      </c>
      <c r="M47" s="269" t="n">
        <v>103</v>
      </c>
      <c r="P47" s="235" t="inlineStr"/>
      <c r="Q47" s="264" t="n">
        <v>103</v>
      </c>
      <c r="R47" s="251" t="inlineStr"/>
      <c r="S47" s="251" t="inlineStr"/>
      <c r="T47" s="251" t="inlineStr"/>
      <c r="X47" s="251" t="inlineStr"/>
      <c r="Z47" s="264" t="n">
        <v>12422.3</v>
      </c>
    </row>
    <row r="48" ht="36.75" customHeight="1" s="197">
      <c r="C48" s="251" t="inlineStr">
        <is>
          <t>774/пр_2020_прил._т._п.99.2_гр.3</t>
        </is>
      </c>
      <c r="H48" s="251" t="inlineStr">
        <is>
          <t>СП (Внутренние санитарно-технические работы: смена труб, санприборов, запорной арматуры и другое)</t>
        </is>
      </c>
      <c r="K48" s="251" t="inlineStr">
        <is>
          <t>%</t>
        </is>
      </c>
      <c r="M48" s="269" t="n">
        <v>52</v>
      </c>
      <c r="P48" s="235" t="inlineStr"/>
      <c r="Q48" s="264" t="n">
        <v>52</v>
      </c>
      <c r="R48" s="251" t="inlineStr"/>
      <c r="S48" s="251" t="inlineStr"/>
      <c r="T48" s="251" t="inlineStr"/>
      <c r="X48" s="251" t="inlineStr"/>
      <c r="Z48" s="264" t="n">
        <v>6271.45</v>
      </c>
    </row>
    <row r="49">
      <c r="A49" s="273" t="n"/>
      <c r="B49" s="273" t="n"/>
      <c r="C49" s="273" t="n"/>
      <c r="D49" s="273" t="n"/>
      <c r="E49" s="273" t="n"/>
      <c r="F49" s="273" t="n"/>
      <c r="G49" s="273" t="n"/>
      <c r="H49" s="273" t="n"/>
      <c r="I49" s="273" t="n"/>
      <c r="J49" s="273" t="n"/>
      <c r="K49" s="273" t="n"/>
      <c r="L49" s="273" t="n"/>
      <c r="M49" s="273" t="n"/>
      <c r="N49" s="273" t="n"/>
      <c r="O49" s="273" t="n"/>
      <c r="P49" s="273" t="n"/>
      <c r="Q49" s="273" t="n"/>
      <c r="R49" s="273" t="n"/>
      <c r="S49" s="273" t="n"/>
      <c r="T49" s="273" t="n"/>
      <c r="U49" s="273" t="n"/>
      <c r="V49" s="273" t="n"/>
      <c r="W49" s="273" t="n"/>
      <c r="X49" s="273" t="n"/>
      <c r="Y49" s="273" t="n"/>
      <c r="Z49" s="273" t="n"/>
      <c r="AA49" s="273" t="n"/>
      <c r="AB49" s="273" t="n"/>
      <c r="AC49" s="273" t="n"/>
    </row>
    <row r="50" ht="12.2" customHeight="1" s="197">
      <c r="H50" s="260" t="inlineStr">
        <is>
          <t>Всего по позиции</t>
        </is>
      </c>
      <c r="S50" s="251" t="inlineStr"/>
      <c r="T50" s="262" t="n">
        <v>35639.3</v>
      </c>
      <c r="X50" s="251" t="inlineStr"/>
      <c r="Z50" s="262" t="n">
        <v>32075.37</v>
      </c>
    </row>
    <row r="51" ht="24.6" customHeight="1" s="197">
      <c r="A51" s="251" t="inlineStr">
        <is>
          <t>2</t>
        </is>
      </c>
      <c r="B51" s="260" t="inlineStr">
        <is>
          <t>2</t>
        </is>
      </c>
      <c r="C51" s="260" t="inlineStr">
        <is>
          <t>ГЭСНр 65-02-012-02</t>
        </is>
      </c>
      <c r="H51" s="260" t="inlineStr">
        <is>
          <t>Слив и наполнение водой системы отопления: с осмотром системы</t>
        </is>
      </c>
      <c r="K51" s="260" t="inlineStr">
        <is>
          <t>1000 м3</t>
        </is>
      </c>
      <c r="M51" s="269" t="n">
        <v>1</v>
      </c>
      <c r="P51" s="235" t="inlineStr"/>
      <c r="Q51" s="262" t="n">
        <v>1</v>
      </c>
      <c r="R51" s="235" t="inlineStr"/>
      <c r="S51" s="235" t="inlineStr"/>
      <c r="T51" s="235" t="inlineStr"/>
      <c r="X51" s="235" t="inlineStr"/>
      <c r="Z51" s="235" t="inlineStr"/>
    </row>
    <row r="52" ht="12.2" customHeight="1" s="197">
      <c r="A52" s="251" t="inlineStr"/>
      <c r="B52" s="251" t="inlineStr"/>
      <c r="C52" s="251" t="inlineStr">
        <is>
          <t xml:space="preserve">             1</t>
        </is>
      </c>
      <c r="H52" s="251" t="inlineStr">
        <is>
          <t>ОТ(ЗТ)</t>
        </is>
      </c>
      <c r="K52" s="251" t="inlineStr">
        <is>
          <t>чел.-ч</t>
        </is>
      </c>
      <c r="M52" s="235" t="inlineStr"/>
      <c r="P52" s="235" t="inlineStr"/>
      <c r="Q52" s="264" t="n">
        <v>1.27</v>
      </c>
      <c r="R52" s="235" t="inlineStr"/>
      <c r="S52" s="235" t="inlineStr"/>
      <c r="T52" s="235" t="inlineStr"/>
      <c r="X52" s="235" t="inlineStr"/>
      <c r="Z52" s="262" t="n">
        <v>601.15</v>
      </c>
    </row>
    <row r="53" ht="12.2" customHeight="1" s="197">
      <c r="A53" s="251" t="inlineStr"/>
      <c r="B53" s="251" t="inlineStr"/>
      <c r="C53" s="251" t="inlineStr">
        <is>
          <t>1-100-30</t>
        </is>
      </c>
      <c r="H53" s="251" t="inlineStr">
        <is>
          <t>Средний разряд работы 3,0</t>
        </is>
      </c>
      <c r="K53" s="251" t="inlineStr">
        <is>
          <t>чел.-ч</t>
        </is>
      </c>
      <c r="M53" s="264" t="n">
        <v>1.27</v>
      </c>
      <c r="P53" s="235" t="inlineStr"/>
      <c r="Q53" s="264" t="n">
        <v>1.27</v>
      </c>
      <c r="R53" s="235" t="inlineStr"/>
      <c r="S53" s="235" t="inlineStr"/>
      <c r="T53" s="264" t="n">
        <v>473.35</v>
      </c>
      <c r="X53" s="235" t="inlineStr"/>
      <c r="Z53" s="264" t="n">
        <v>601.15</v>
      </c>
    </row>
    <row r="54" ht="12.2" customHeight="1" s="197">
      <c r="A54" s="251" t="inlineStr"/>
      <c r="B54" s="251" t="inlineStr"/>
      <c r="C54" s="251" t="inlineStr"/>
      <c r="H54" s="270" t="inlineStr">
        <is>
          <t>Итого прямые затраты</t>
        </is>
      </c>
      <c r="I54" s="244" t="n"/>
      <c r="J54" s="244" t="n"/>
      <c r="K54" s="271" t="inlineStr"/>
      <c r="L54" s="244" t="n"/>
      <c r="M54" s="271" t="inlineStr"/>
      <c r="N54" s="244" t="n"/>
      <c r="O54" s="244" t="n"/>
      <c r="P54" s="271" t="inlineStr"/>
      <c r="Q54" s="271" t="inlineStr"/>
      <c r="R54" s="271" t="inlineStr"/>
      <c r="S54" s="271" t="inlineStr"/>
      <c r="T54" s="271" t="inlineStr"/>
      <c r="U54" s="244" t="n"/>
      <c r="V54" s="244" t="n"/>
      <c r="W54" s="244" t="n"/>
      <c r="X54" s="271" t="inlineStr"/>
      <c r="Y54" s="244" t="n"/>
      <c r="Z54" s="272" t="n">
        <v>601.15</v>
      </c>
      <c r="AA54" s="244" t="n"/>
      <c r="AB54" s="244" t="n"/>
      <c r="AC54" s="244" t="n"/>
    </row>
    <row r="55" ht="12.2" customHeight="1" s="197">
      <c r="C55" s="251" t="inlineStr"/>
      <c r="H55" s="251" t="inlineStr">
        <is>
          <t>ФОТ</t>
        </is>
      </c>
      <c r="K55" s="251" t="inlineStr"/>
      <c r="M55" s="235" t="inlineStr"/>
      <c r="P55" s="235" t="inlineStr"/>
      <c r="Q55" s="235" t="inlineStr"/>
      <c r="R55" s="251" t="inlineStr"/>
      <c r="S55" s="251" t="inlineStr"/>
      <c r="T55" s="251" t="inlineStr"/>
      <c r="X55" s="251" t="inlineStr"/>
      <c r="Z55" s="264" t="n">
        <v>601.15</v>
      </c>
    </row>
    <row r="56" ht="36.75" customHeight="1" s="197">
      <c r="C56" s="251" t="inlineStr">
        <is>
          <t>812/пр_2020_прил._т._п.99.2_гр.3</t>
        </is>
      </c>
      <c r="H56" s="251" t="inlineStr">
        <is>
          <t>НР (Внутренние санитарно-технические работы: смена труб, санприборов, запорной арматуры и другое)</t>
        </is>
      </c>
      <c r="K56" s="251" t="inlineStr">
        <is>
          <t>%</t>
        </is>
      </c>
      <c r="M56" s="269" t="n">
        <v>103</v>
      </c>
      <c r="P56" s="235" t="inlineStr"/>
      <c r="Q56" s="264" t="n">
        <v>103</v>
      </c>
      <c r="R56" s="251" t="inlineStr"/>
      <c r="S56" s="251" t="inlineStr"/>
      <c r="T56" s="251" t="inlineStr"/>
      <c r="X56" s="251" t="inlineStr"/>
      <c r="Z56" s="264" t="n">
        <v>619.1799999999999</v>
      </c>
    </row>
    <row r="57" ht="36.75" customHeight="1" s="197">
      <c r="C57" s="251" t="inlineStr">
        <is>
          <t>774/пр_2020_прил._т._п.99.2_гр.3</t>
        </is>
      </c>
      <c r="H57" s="251" t="inlineStr">
        <is>
          <t>СП (Внутренние санитарно-технические работы: смена труб, санприборов, запорной арматуры и другое)</t>
        </is>
      </c>
      <c r="K57" s="251" t="inlineStr">
        <is>
          <t>%</t>
        </is>
      </c>
      <c r="M57" s="269" t="n">
        <v>52</v>
      </c>
      <c r="P57" s="235" t="inlineStr"/>
      <c r="Q57" s="264" t="n">
        <v>52</v>
      </c>
      <c r="R57" s="251" t="inlineStr"/>
      <c r="S57" s="251" t="inlineStr"/>
      <c r="T57" s="251" t="inlineStr"/>
      <c r="X57" s="251" t="inlineStr"/>
      <c r="Z57" s="264" t="n">
        <v>312.6</v>
      </c>
    </row>
    <row r="58">
      <c r="A58" s="273" t="n"/>
      <c r="B58" s="273" t="n"/>
      <c r="C58" s="273" t="n"/>
      <c r="D58" s="273" t="n"/>
      <c r="E58" s="273" t="n"/>
      <c r="F58" s="273" t="n"/>
      <c r="G58" s="273" t="n"/>
      <c r="H58" s="273" t="n"/>
      <c r="I58" s="273" t="n"/>
      <c r="J58" s="273" t="n"/>
      <c r="K58" s="273" t="n"/>
      <c r="L58" s="273" t="n"/>
      <c r="M58" s="273" t="n"/>
      <c r="N58" s="273" t="n"/>
      <c r="O58" s="273" t="n"/>
      <c r="P58" s="273" t="n"/>
      <c r="Q58" s="273" t="n"/>
      <c r="R58" s="273" t="n"/>
      <c r="S58" s="273" t="n"/>
      <c r="T58" s="273" t="n"/>
      <c r="U58" s="273" t="n"/>
      <c r="V58" s="273" t="n"/>
      <c r="W58" s="273" t="n"/>
      <c r="X58" s="273" t="n"/>
      <c r="Y58" s="273" t="n"/>
      <c r="Z58" s="273" t="n"/>
      <c r="AA58" s="273" t="n"/>
      <c r="AB58" s="273" t="n"/>
      <c r="AC58" s="273" t="n"/>
    </row>
    <row r="59" ht="12.2" customHeight="1" s="197">
      <c r="H59" s="260" t="inlineStr">
        <is>
          <t>Всего по позиции</t>
        </is>
      </c>
      <c r="S59" s="251" t="inlineStr"/>
      <c r="T59" s="262" t="n">
        <v>1532.93</v>
      </c>
      <c r="X59" s="251" t="inlineStr"/>
      <c r="Z59" s="262" t="n">
        <v>1532.93</v>
      </c>
    </row>
    <row r="60" ht="12.2" customHeight="1" s="197">
      <c r="A60" s="251" t="inlineStr">
        <is>
          <t>3</t>
        </is>
      </c>
      <c r="B60" s="260" t="inlineStr">
        <is>
          <t>3</t>
        </is>
      </c>
      <c r="C60" s="260" t="inlineStr">
        <is>
          <t>ГЭСНр 65-02-021-04</t>
        </is>
      </c>
      <c r="H60" s="260" t="inlineStr">
        <is>
          <t>Притирка вентилей диаметром: до 20 мм</t>
        </is>
      </c>
      <c r="K60" s="260" t="inlineStr">
        <is>
          <t>100 шт</t>
        </is>
      </c>
      <c r="M60" s="264" t="n">
        <v>0.05</v>
      </c>
      <c r="P60" s="235" t="inlineStr"/>
      <c r="Q60" s="262" t="n">
        <v>0.05</v>
      </c>
      <c r="R60" s="235" t="inlineStr"/>
      <c r="S60" s="235" t="inlineStr"/>
      <c r="T60" s="235" t="inlineStr"/>
      <c r="X60" s="235" t="inlineStr"/>
      <c r="Z60" s="235" t="inlineStr"/>
    </row>
    <row r="61" ht="12.2" customHeight="1" s="197">
      <c r="A61" s="251" t="inlineStr"/>
      <c r="B61" s="251" t="inlineStr"/>
      <c r="C61" s="251" t="inlineStr">
        <is>
          <t xml:space="preserve">             1</t>
        </is>
      </c>
      <c r="H61" s="251" t="inlineStr">
        <is>
          <t>ОТ(ЗТ)</t>
        </is>
      </c>
      <c r="K61" s="251" t="inlineStr">
        <is>
          <t>чел.-ч</t>
        </is>
      </c>
      <c r="M61" s="235" t="inlineStr"/>
      <c r="P61" s="235" t="inlineStr"/>
      <c r="Q61" s="268" t="n">
        <v>0.6304999999999999</v>
      </c>
      <c r="R61" s="235" t="inlineStr"/>
      <c r="S61" s="235" t="inlineStr"/>
      <c r="T61" s="235" t="inlineStr"/>
      <c r="X61" s="235" t="inlineStr"/>
      <c r="Z61" s="262" t="n">
        <v>336.06</v>
      </c>
    </row>
    <row r="62" ht="12.2" customHeight="1" s="197">
      <c r="A62" s="251" t="inlineStr"/>
      <c r="B62" s="251" t="inlineStr"/>
      <c r="C62" s="251" t="inlineStr">
        <is>
          <t>1-100-40</t>
        </is>
      </c>
      <c r="H62" s="251" t="inlineStr">
        <is>
          <t>Средний разряд работы 4,0</t>
        </is>
      </c>
      <c r="K62" s="251" t="inlineStr">
        <is>
          <t>чел.-ч</t>
        </is>
      </c>
      <c r="M62" s="264" t="n">
        <v>12.61</v>
      </c>
      <c r="P62" s="235" t="inlineStr"/>
      <c r="Q62" s="268" t="n">
        <v>0.6304999999999999</v>
      </c>
      <c r="R62" s="235" t="inlineStr"/>
      <c r="S62" s="235" t="inlineStr"/>
      <c r="T62" s="264" t="n">
        <v>533.01</v>
      </c>
      <c r="X62" s="235" t="inlineStr"/>
      <c r="Z62" s="264" t="n">
        <v>336.06</v>
      </c>
    </row>
    <row r="63" ht="12.2" customHeight="1" s="197">
      <c r="A63" s="251" t="inlineStr"/>
      <c r="B63" s="251" t="inlineStr"/>
      <c r="C63" s="251" t="inlineStr"/>
      <c r="H63" s="270" t="inlineStr">
        <is>
          <t>Итого прямые затраты</t>
        </is>
      </c>
      <c r="I63" s="244" t="n"/>
      <c r="J63" s="244" t="n"/>
      <c r="K63" s="271" t="inlineStr"/>
      <c r="L63" s="244" t="n"/>
      <c r="M63" s="271" t="inlineStr"/>
      <c r="N63" s="244" t="n"/>
      <c r="O63" s="244" t="n"/>
      <c r="P63" s="271" t="inlineStr"/>
      <c r="Q63" s="271" t="inlineStr"/>
      <c r="R63" s="271" t="inlineStr"/>
      <c r="S63" s="271" t="inlineStr"/>
      <c r="T63" s="271" t="inlineStr"/>
      <c r="U63" s="244" t="n"/>
      <c r="V63" s="244" t="n"/>
      <c r="W63" s="244" t="n"/>
      <c r="X63" s="271" t="inlineStr"/>
      <c r="Y63" s="244" t="n"/>
      <c r="Z63" s="272" t="n">
        <v>336.06</v>
      </c>
      <c r="AA63" s="244" t="n"/>
      <c r="AB63" s="244" t="n"/>
      <c r="AC63" s="244" t="n"/>
    </row>
    <row r="64" ht="12.2" customHeight="1" s="197">
      <c r="C64" s="251" t="inlineStr"/>
      <c r="H64" s="251" t="inlineStr">
        <is>
          <t>ФОТ</t>
        </is>
      </c>
      <c r="K64" s="251" t="inlineStr"/>
      <c r="M64" s="235" t="inlineStr"/>
      <c r="P64" s="235" t="inlineStr"/>
      <c r="Q64" s="235" t="inlineStr"/>
      <c r="R64" s="251" t="inlineStr"/>
      <c r="S64" s="251" t="inlineStr"/>
      <c r="T64" s="251" t="inlineStr"/>
      <c r="X64" s="251" t="inlineStr"/>
      <c r="Z64" s="264" t="n">
        <v>336.06</v>
      </c>
    </row>
    <row r="65" ht="36.75" customHeight="1" s="197">
      <c r="C65" s="251" t="inlineStr">
        <is>
          <t>812/пр_2020_прил._т._п.99.2_гр.3</t>
        </is>
      </c>
      <c r="H65" s="251" t="inlineStr">
        <is>
          <t>НР (Внутренние санитарно-технические работы: смена труб, санприборов, запорной арматуры и другое)</t>
        </is>
      </c>
      <c r="K65" s="251" t="inlineStr">
        <is>
          <t>%</t>
        </is>
      </c>
      <c r="M65" s="269" t="n">
        <v>103</v>
      </c>
      <c r="P65" s="235" t="inlineStr"/>
      <c r="Q65" s="264" t="n">
        <v>103</v>
      </c>
      <c r="R65" s="251" t="inlineStr"/>
      <c r="S65" s="251" t="inlineStr"/>
      <c r="T65" s="251" t="inlineStr"/>
      <c r="X65" s="251" t="inlineStr"/>
      <c r="Z65" s="264" t="n">
        <v>346.14</v>
      </c>
    </row>
    <row r="66" ht="36.75" customHeight="1" s="197">
      <c r="C66" s="251" t="inlineStr">
        <is>
          <t>774/пр_2020_прил._т._п.99.2_гр.3</t>
        </is>
      </c>
      <c r="H66" s="251" t="inlineStr">
        <is>
          <t>СП (Внутренние санитарно-технические работы: смена труб, санприборов, запорной арматуры и другое)</t>
        </is>
      </c>
      <c r="K66" s="251" t="inlineStr">
        <is>
          <t>%</t>
        </is>
      </c>
      <c r="M66" s="269" t="n">
        <v>52</v>
      </c>
      <c r="P66" s="235" t="inlineStr"/>
      <c r="Q66" s="264" t="n">
        <v>52</v>
      </c>
      <c r="R66" s="251" t="inlineStr"/>
      <c r="S66" s="251" t="inlineStr"/>
      <c r="T66" s="251" t="inlineStr"/>
      <c r="X66" s="251" t="inlineStr"/>
      <c r="Z66" s="264" t="n">
        <v>174.75</v>
      </c>
    </row>
    <row r="67">
      <c r="A67" s="273" t="n"/>
      <c r="B67" s="273" t="n"/>
      <c r="C67" s="273" t="n"/>
      <c r="D67" s="273" t="n"/>
      <c r="E67" s="273" t="n"/>
      <c r="F67" s="273" t="n"/>
      <c r="G67" s="273" t="n"/>
      <c r="H67" s="273" t="n"/>
      <c r="I67" s="273" t="n"/>
      <c r="J67" s="273" t="n"/>
      <c r="K67" s="273" t="n"/>
      <c r="L67" s="273" t="n"/>
      <c r="M67" s="273" t="n"/>
      <c r="N67" s="273" t="n"/>
      <c r="O67" s="273" t="n"/>
      <c r="P67" s="273" t="n"/>
      <c r="Q67" s="273" t="n"/>
      <c r="R67" s="273" t="n"/>
      <c r="S67" s="273" t="n"/>
      <c r="T67" s="273" t="n"/>
      <c r="U67" s="273" t="n"/>
      <c r="V67" s="273" t="n"/>
      <c r="W67" s="273" t="n"/>
      <c r="X67" s="273" t="n"/>
      <c r="Y67" s="273" t="n"/>
      <c r="Z67" s="273" t="n"/>
      <c r="AA67" s="273" t="n"/>
      <c r="AB67" s="273" t="n"/>
      <c r="AC67" s="273" t="n"/>
    </row>
    <row r="68" ht="12.2" customHeight="1" s="197">
      <c r="H68" s="260" t="inlineStr">
        <is>
          <t>Всего по позиции</t>
        </is>
      </c>
      <c r="S68" s="251" t="inlineStr"/>
      <c r="T68" s="262" t="n">
        <v>17139</v>
      </c>
      <c r="X68" s="251" t="inlineStr"/>
      <c r="Z68" s="262" t="n">
        <v>856.95</v>
      </c>
    </row>
    <row r="69" ht="24.6" customHeight="1" s="197">
      <c r="A69" s="251" t="inlineStr">
        <is>
          <t>4</t>
        </is>
      </c>
      <c r="B69" s="260" t="inlineStr">
        <is>
          <t>4</t>
        </is>
      </c>
      <c r="C69" s="260" t="inlineStr">
        <is>
          <t>ГЭСНр 65-02-021-05</t>
        </is>
      </c>
      <c r="H69" s="260" t="inlineStr">
        <is>
          <t>Притирка вентилей диаметром: свыше 20 до 32 мм</t>
        </is>
      </c>
      <c r="K69" s="260" t="inlineStr">
        <is>
          <t>100 шт</t>
        </is>
      </c>
      <c r="M69" s="264" t="n">
        <v>0.05</v>
      </c>
      <c r="P69" s="235" t="inlineStr"/>
      <c r="Q69" s="262" t="n">
        <v>0.05</v>
      </c>
      <c r="R69" s="235" t="inlineStr"/>
      <c r="S69" s="235" t="inlineStr"/>
      <c r="T69" s="235" t="inlineStr"/>
      <c r="X69" s="235" t="inlineStr"/>
      <c r="Z69" s="235" t="inlineStr"/>
    </row>
    <row r="70" ht="12.2" customHeight="1" s="197">
      <c r="A70" s="251" t="inlineStr"/>
      <c r="B70" s="251" t="inlineStr"/>
      <c r="C70" s="251" t="inlineStr">
        <is>
          <t xml:space="preserve">             1</t>
        </is>
      </c>
      <c r="H70" s="251" t="inlineStr">
        <is>
          <t>ОТ(ЗТ)</t>
        </is>
      </c>
      <c r="K70" s="251" t="inlineStr">
        <is>
          <t>чел.-ч</t>
        </is>
      </c>
      <c r="M70" s="235" t="inlineStr"/>
      <c r="P70" s="235" t="inlineStr"/>
      <c r="Q70" s="263" t="n">
        <v>0.998</v>
      </c>
      <c r="R70" s="235" t="inlineStr"/>
      <c r="S70" s="235" t="inlineStr"/>
      <c r="T70" s="235" t="inlineStr"/>
      <c r="X70" s="235" t="inlineStr"/>
      <c r="Z70" s="262" t="n">
        <v>531.9400000000001</v>
      </c>
    </row>
    <row r="71" ht="12.2" customHeight="1" s="197">
      <c r="A71" s="251" t="inlineStr"/>
      <c r="B71" s="251" t="inlineStr"/>
      <c r="C71" s="251" t="inlineStr">
        <is>
          <t>1-100-40</t>
        </is>
      </c>
      <c r="H71" s="251" t="inlineStr">
        <is>
          <t>Средний разряд работы 4,0</t>
        </is>
      </c>
      <c r="K71" s="251" t="inlineStr">
        <is>
          <t>чел.-ч</t>
        </is>
      </c>
      <c r="M71" s="264" t="n">
        <v>19.96</v>
      </c>
      <c r="P71" s="235" t="inlineStr"/>
      <c r="Q71" s="263" t="n">
        <v>0.998</v>
      </c>
      <c r="R71" s="235" t="inlineStr"/>
      <c r="S71" s="235" t="inlineStr"/>
      <c r="T71" s="264" t="n">
        <v>533.01</v>
      </c>
      <c r="X71" s="235" t="inlineStr"/>
      <c r="Z71" s="264" t="n">
        <v>531.9400000000001</v>
      </c>
    </row>
    <row r="72" ht="12.2" customHeight="1" s="197">
      <c r="A72" s="251" t="inlineStr"/>
      <c r="B72" s="251" t="inlineStr"/>
      <c r="C72" s="251" t="inlineStr"/>
      <c r="H72" s="270" t="inlineStr">
        <is>
          <t>Итого прямые затраты</t>
        </is>
      </c>
      <c r="I72" s="244" t="n"/>
      <c r="J72" s="244" t="n"/>
      <c r="K72" s="271" t="inlineStr"/>
      <c r="L72" s="244" t="n"/>
      <c r="M72" s="271" t="inlineStr"/>
      <c r="N72" s="244" t="n"/>
      <c r="O72" s="244" t="n"/>
      <c r="P72" s="271" t="inlineStr"/>
      <c r="Q72" s="271" t="inlineStr"/>
      <c r="R72" s="271" t="inlineStr"/>
      <c r="S72" s="271" t="inlineStr"/>
      <c r="T72" s="271" t="inlineStr"/>
      <c r="U72" s="244" t="n"/>
      <c r="V72" s="244" t="n"/>
      <c r="W72" s="244" t="n"/>
      <c r="X72" s="271" t="inlineStr"/>
      <c r="Y72" s="244" t="n"/>
      <c r="Z72" s="272" t="n">
        <v>531.9400000000001</v>
      </c>
      <c r="AA72" s="244" t="n"/>
      <c r="AB72" s="244" t="n"/>
      <c r="AC72" s="244" t="n"/>
    </row>
    <row r="73" ht="12.2" customHeight="1" s="197">
      <c r="C73" s="251" t="inlineStr"/>
      <c r="H73" s="251" t="inlineStr">
        <is>
          <t>ФОТ</t>
        </is>
      </c>
      <c r="K73" s="251" t="inlineStr"/>
      <c r="M73" s="235" t="inlineStr"/>
      <c r="P73" s="235" t="inlineStr"/>
      <c r="Q73" s="235" t="inlineStr"/>
      <c r="R73" s="251" t="inlineStr"/>
      <c r="S73" s="251" t="inlineStr"/>
      <c r="T73" s="251" t="inlineStr"/>
      <c r="X73" s="251" t="inlineStr"/>
      <c r="Z73" s="264" t="n">
        <v>531.9400000000001</v>
      </c>
    </row>
    <row r="74" ht="36.75" customHeight="1" s="197">
      <c r="C74" s="251" t="inlineStr">
        <is>
          <t>812/пр_2020_прил._т._п.99.2_гр.3</t>
        </is>
      </c>
      <c r="H74" s="251" t="inlineStr">
        <is>
          <t>НР (Внутренние санитарно-технические работы: смена труб, санприборов, запорной арматуры и другое)</t>
        </is>
      </c>
      <c r="K74" s="251" t="inlineStr">
        <is>
          <t>%</t>
        </is>
      </c>
      <c r="M74" s="269" t="n">
        <v>103</v>
      </c>
      <c r="P74" s="235" t="inlineStr"/>
      <c r="Q74" s="264" t="n">
        <v>103</v>
      </c>
      <c r="R74" s="251" t="inlineStr"/>
      <c r="S74" s="251" t="inlineStr"/>
      <c r="T74" s="251" t="inlineStr"/>
      <c r="X74" s="251" t="inlineStr"/>
      <c r="Z74" s="264" t="n">
        <v>547.9</v>
      </c>
    </row>
    <row r="75" ht="36.75" customHeight="1" s="197">
      <c r="C75" s="251" t="inlineStr">
        <is>
          <t>774/пр_2020_прил._т._п.99.2_гр.3</t>
        </is>
      </c>
      <c r="H75" s="251" t="inlineStr">
        <is>
          <t>СП (Внутренние санитарно-технические работы: смена труб, санприборов, запорной арматуры и другое)</t>
        </is>
      </c>
      <c r="K75" s="251" t="inlineStr">
        <is>
          <t>%</t>
        </is>
      </c>
      <c r="M75" s="269" t="n">
        <v>52</v>
      </c>
      <c r="P75" s="235" t="inlineStr"/>
      <c r="Q75" s="264" t="n">
        <v>52</v>
      </c>
      <c r="R75" s="251" t="inlineStr"/>
      <c r="S75" s="251" t="inlineStr"/>
      <c r="T75" s="251" t="inlineStr"/>
      <c r="X75" s="251" t="inlineStr"/>
      <c r="Z75" s="264" t="n">
        <v>276.61</v>
      </c>
    </row>
    <row r="76">
      <c r="A76" s="273" t="n"/>
      <c r="B76" s="273" t="n"/>
      <c r="C76" s="273" t="n"/>
      <c r="D76" s="273" t="n"/>
      <c r="E76" s="273" t="n"/>
      <c r="F76" s="273" t="n"/>
      <c r="G76" s="273" t="n"/>
      <c r="H76" s="273" t="n"/>
      <c r="I76" s="273" t="n"/>
      <c r="J76" s="273" t="n"/>
      <c r="K76" s="273" t="n"/>
      <c r="L76" s="273" t="n"/>
      <c r="M76" s="273" t="n"/>
      <c r="N76" s="273" t="n"/>
      <c r="O76" s="273" t="n"/>
      <c r="P76" s="273" t="n"/>
      <c r="Q76" s="273" t="n"/>
      <c r="R76" s="273" t="n"/>
      <c r="S76" s="273" t="n"/>
      <c r="T76" s="273" t="n"/>
      <c r="U76" s="273" t="n"/>
      <c r="V76" s="273" t="n"/>
      <c r="W76" s="273" t="n"/>
      <c r="X76" s="273" t="n"/>
      <c r="Y76" s="273" t="n"/>
      <c r="Z76" s="273" t="n"/>
      <c r="AA76" s="273" t="n"/>
      <c r="AB76" s="273" t="n"/>
      <c r="AC76" s="273" t="n"/>
    </row>
    <row r="77" ht="12.2" customHeight="1" s="197">
      <c r="H77" s="260" t="inlineStr">
        <is>
          <t>Всего по позиции</t>
        </is>
      </c>
      <c r="S77" s="251" t="inlineStr"/>
      <c r="T77" s="262" t="n">
        <v>27129</v>
      </c>
      <c r="X77" s="251" t="inlineStr"/>
      <c r="Z77" s="262" t="n">
        <v>1356.45</v>
      </c>
    </row>
    <row r="78" ht="24.6" customHeight="1" s="197">
      <c r="A78" s="251" t="inlineStr">
        <is>
          <t>5</t>
        </is>
      </c>
      <c r="B78" s="260" t="inlineStr">
        <is>
          <t>4</t>
        </is>
      </c>
      <c r="C78" s="260" t="inlineStr">
        <is>
          <t>ГЭСНр 65-01-005-01</t>
        </is>
      </c>
      <c r="H78" s="260" t="inlineStr">
        <is>
          <t>Смена вентилей и клапанов обратных муфтовых диаметром: до 20 мм</t>
        </is>
      </c>
      <c r="K78" s="260" t="inlineStr">
        <is>
          <t>100 шт</t>
        </is>
      </c>
      <c r="M78" s="264" t="n">
        <v>0.01</v>
      </c>
      <c r="P78" s="235" t="inlineStr"/>
      <c r="Q78" s="262" t="n">
        <v>0.01</v>
      </c>
      <c r="R78" s="235" t="inlineStr"/>
      <c r="S78" s="235" t="inlineStr"/>
      <c r="T78" s="235" t="inlineStr"/>
      <c r="X78" s="235" t="inlineStr"/>
      <c r="Z78" s="235" t="inlineStr"/>
    </row>
    <row r="79" ht="12.2" customHeight="1" s="197">
      <c r="A79" s="251" t="inlineStr"/>
      <c r="B79" s="251" t="inlineStr"/>
      <c r="C79" s="251" t="inlineStr">
        <is>
          <t xml:space="preserve">             1</t>
        </is>
      </c>
      <c r="H79" s="251" t="inlineStr">
        <is>
          <t>ОТ(ЗТ)</t>
        </is>
      </c>
      <c r="K79" s="251" t="inlineStr">
        <is>
          <t>чел.-ч</t>
        </is>
      </c>
      <c r="M79" s="235" t="inlineStr"/>
      <c r="P79" s="235" t="inlineStr"/>
      <c r="Q79" s="263" t="n">
        <v>0.5580000000000001</v>
      </c>
      <c r="R79" s="235" t="inlineStr"/>
      <c r="S79" s="235" t="inlineStr"/>
      <c r="T79" s="235" t="inlineStr"/>
      <c r="X79" s="235" t="inlineStr"/>
      <c r="Z79" s="262" t="n">
        <v>280.77</v>
      </c>
    </row>
    <row r="80" ht="12.2" customHeight="1" s="197">
      <c r="A80" s="251" t="inlineStr"/>
      <c r="B80" s="251" t="inlineStr"/>
      <c r="C80" s="251" t="inlineStr">
        <is>
          <t>1-100-35</t>
        </is>
      </c>
      <c r="H80" s="251" t="inlineStr">
        <is>
          <t>Средний разряд работы 3,5</t>
        </is>
      </c>
      <c r="K80" s="251" t="inlineStr">
        <is>
          <t>чел.-ч</t>
        </is>
      </c>
      <c r="M80" s="261" t="n">
        <v>55.8</v>
      </c>
      <c r="P80" s="235" t="inlineStr"/>
      <c r="Q80" s="263" t="n">
        <v>0.5580000000000001</v>
      </c>
      <c r="R80" s="235" t="inlineStr"/>
      <c r="S80" s="235" t="inlineStr"/>
      <c r="T80" s="264" t="n">
        <v>503.18</v>
      </c>
      <c r="X80" s="235" t="inlineStr"/>
      <c r="Z80" s="264" t="n">
        <v>280.77</v>
      </c>
    </row>
    <row r="81" ht="12.2" customHeight="1" s="197">
      <c r="A81" s="251" t="inlineStr"/>
      <c r="B81" s="251" t="inlineStr"/>
      <c r="C81" s="251" t="inlineStr">
        <is>
          <t xml:space="preserve">             2</t>
        </is>
      </c>
      <c r="H81" s="251" t="inlineStr">
        <is>
          <t>ЭМ</t>
        </is>
      </c>
      <c r="K81" s="251" t="inlineStr"/>
      <c r="M81" s="235" t="inlineStr"/>
      <c r="P81" s="235" t="inlineStr"/>
      <c r="Q81" s="235" t="inlineStr"/>
      <c r="R81" s="235" t="inlineStr"/>
      <c r="S81" s="235" t="inlineStr"/>
      <c r="T81" s="235" t="inlineStr"/>
      <c r="X81" s="235" t="inlineStr"/>
      <c r="Z81" s="262" t="n">
        <v>0.32</v>
      </c>
    </row>
    <row r="82" ht="12.2" customHeight="1" s="197">
      <c r="A82" s="265" t="inlineStr"/>
      <c r="B82" s="265" t="inlineStr"/>
      <c r="C82" s="265" t="inlineStr"/>
      <c r="H82" s="265" t="inlineStr">
        <is>
          <t>ОТм(ЗТм)</t>
        </is>
      </c>
      <c r="K82" s="265" t="inlineStr">
        <is>
          <t>чел.-ч</t>
        </is>
      </c>
      <c r="M82" s="266" t="inlineStr"/>
      <c r="P82" s="266" t="inlineStr"/>
      <c r="Q82" s="274" t="n">
        <v>0.0005</v>
      </c>
      <c r="R82" s="266" t="inlineStr"/>
      <c r="S82" s="266" t="inlineStr"/>
      <c r="T82" s="266" t="inlineStr"/>
      <c r="X82" s="266" t="inlineStr"/>
      <c r="Z82" s="262" t="n">
        <v>0.27</v>
      </c>
    </row>
    <row r="83" ht="12.2" customHeight="1" s="197">
      <c r="A83" s="251" t="inlineStr"/>
      <c r="B83" s="251" t="inlineStr"/>
      <c r="C83" s="251" t="inlineStr">
        <is>
          <t>91.14.02-001</t>
        </is>
      </c>
      <c r="H83" s="251" t="inlineStr">
        <is>
          <t>Автомобили бортовые, грузоподъемность до 5 т</t>
        </is>
      </c>
      <c r="K83" s="251" t="inlineStr">
        <is>
          <t>маш.-ч</t>
        </is>
      </c>
      <c r="M83" s="264" t="n">
        <v>0.05</v>
      </c>
      <c r="P83" s="235" t="inlineStr"/>
      <c r="Q83" s="268" t="n">
        <v>0.0005</v>
      </c>
      <c r="R83" s="235" t="inlineStr"/>
      <c r="S83" s="235" t="inlineStr"/>
      <c r="T83" s="264" t="n">
        <v>640.84</v>
      </c>
      <c r="X83" s="235" t="inlineStr"/>
      <c r="Z83" s="264" t="n">
        <v>0.32</v>
      </c>
    </row>
    <row r="84" ht="12.2" customHeight="1" s="197">
      <c r="A84" s="251" t="inlineStr"/>
      <c r="B84" s="251" t="inlineStr"/>
      <c r="C84" s="251" t="inlineStr">
        <is>
          <t>4-100-040</t>
        </is>
      </c>
      <c r="H84" s="251" t="inlineStr">
        <is>
          <t>ОТм(ЗТм) Средний разряд машинистов 4,0</t>
        </is>
      </c>
      <c r="K84" s="251" t="inlineStr">
        <is>
          <t>чел.-ч</t>
        </is>
      </c>
      <c r="M84" s="264" t="n">
        <v>0.05</v>
      </c>
      <c r="P84" s="235" t="inlineStr"/>
      <c r="Q84" s="268" t="n">
        <v>0.0005</v>
      </c>
      <c r="R84" s="235" t="inlineStr"/>
      <c r="S84" s="235" t="inlineStr"/>
      <c r="T84" s="264" t="n">
        <v>533.01</v>
      </c>
      <c r="X84" s="235" t="inlineStr"/>
      <c r="Z84" s="264" t="n">
        <v>0.27</v>
      </c>
    </row>
    <row r="85" ht="12.2" customHeight="1" s="197">
      <c r="A85" s="251" t="inlineStr"/>
      <c r="B85" s="251" t="inlineStr"/>
      <c r="C85" s="251" t="inlineStr">
        <is>
          <t xml:space="preserve">             4</t>
        </is>
      </c>
      <c r="H85" s="251" t="inlineStr">
        <is>
          <t>М</t>
        </is>
      </c>
      <c r="K85" s="251" t="inlineStr"/>
      <c r="M85" s="235" t="inlineStr"/>
      <c r="P85" s="235" t="inlineStr"/>
      <c r="Q85" s="235" t="inlineStr"/>
      <c r="R85" s="235" t="inlineStr"/>
      <c r="S85" s="235" t="inlineStr"/>
      <c r="T85" s="235" t="inlineStr"/>
      <c r="X85" s="235" t="inlineStr"/>
      <c r="Z85" s="262" t="n">
        <v>3.31</v>
      </c>
    </row>
    <row r="86" ht="12.2" customHeight="1" s="197">
      <c r="A86" s="251" t="inlineStr"/>
      <c r="B86" s="251" t="inlineStr"/>
      <c r="C86" s="251" t="inlineStr">
        <is>
          <t>01.7.07.29-0101</t>
        </is>
      </c>
      <c r="H86" s="251" t="inlineStr">
        <is>
          <t>Очес льняной</t>
        </is>
      </c>
      <c r="K86" s="251" t="inlineStr">
        <is>
          <t>кг</t>
        </is>
      </c>
      <c r="M86" s="261" t="n">
        <v>0.7</v>
      </c>
      <c r="P86" s="235" t="inlineStr"/>
      <c r="Q86" s="263" t="n">
        <v>0.007</v>
      </c>
      <c r="R86" s="264" t="n">
        <v>128.4</v>
      </c>
      <c r="S86" s="264" t="n">
        <v>1.31</v>
      </c>
      <c r="T86" s="264" t="n">
        <v>168.2</v>
      </c>
      <c r="X86" s="235" t="inlineStr"/>
      <c r="Z86" s="264" t="n">
        <v>1.18</v>
      </c>
    </row>
    <row r="87" ht="24.6" customHeight="1" s="197">
      <c r="A87" s="251" t="inlineStr"/>
      <c r="B87" s="251" t="inlineStr"/>
      <c r="C87" s="251" t="inlineStr">
        <is>
          <t>14.4.02.04-0142</t>
        </is>
      </c>
      <c r="H87" s="251" t="inlineStr">
        <is>
          <t>Краска масляная МА-0115, мумия, сурик железный</t>
        </is>
      </c>
      <c r="K87" s="251" t="inlineStr">
        <is>
          <t>кг</t>
        </is>
      </c>
      <c r="M87" s="261" t="n">
        <v>1.4</v>
      </c>
      <c r="P87" s="235" t="inlineStr"/>
      <c r="Q87" s="263" t="n">
        <v>0.014</v>
      </c>
      <c r="R87" s="264" t="n">
        <v>79.88</v>
      </c>
      <c r="S87" s="264" t="n">
        <v>1.44</v>
      </c>
      <c r="T87" s="264" t="n">
        <v>115.03</v>
      </c>
      <c r="X87" s="235" t="inlineStr"/>
      <c r="Z87" s="264" t="n">
        <v>1.61</v>
      </c>
    </row>
    <row r="88" ht="36.75" customHeight="1" s="197">
      <c r="A88" s="251" t="inlineStr"/>
      <c r="B88" s="251" t="inlineStr"/>
      <c r="C88" s="251" t="inlineStr">
        <is>
          <t>14.5.05.01-0012</t>
        </is>
      </c>
      <c r="H88" s="251" t="inlineStr">
        <is>
          <t>Олифа комбинированная для разведения масляных густотертых красок и для внешних работ по деревянным поверхностям</t>
        </is>
      </c>
      <c r="K88" s="251" t="inlineStr">
        <is>
          <t>т</t>
        </is>
      </c>
      <c r="M88" s="268" t="n">
        <v>0.0007</v>
      </c>
      <c r="P88" s="235" t="inlineStr"/>
      <c r="Q88" s="275" t="n">
        <v>7e-06</v>
      </c>
      <c r="R88" s="264" t="n">
        <v>60697.21</v>
      </c>
      <c r="S88" s="264" t="n">
        <v>1.22</v>
      </c>
      <c r="T88" s="264" t="n">
        <v>74050.60000000001</v>
      </c>
      <c r="X88" s="235" t="inlineStr"/>
      <c r="Z88" s="264" t="n">
        <v>0.52</v>
      </c>
    </row>
    <row r="89" ht="12.2" customHeight="1" s="197">
      <c r="A89" s="251" t="inlineStr"/>
      <c r="B89" s="251" t="inlineStr"/>
      <c r="C89" s="251" t="inlineStr">
        <is>
          <t>18.1.10.01</t>
        </is>
      </c>
      <c r="H89" s="251" t="inlineStr">
        <is>
          <t>Арматура муфтовая</t>
        </is>
      </c>
      <c r="K89" s="251" t="inlineStr">
        <is>
          <t>шт</t>
        </is>
      </c>
      <c r="M89" s="269" t="n">
        <v>100</v>
      </c>
      <c r="P89" s="235" t="inlineStr"/>
      <c r="Q89" s="264" t="n">
        <v>1</v>
      </c>
      <c r="R89" s="235" t="inlineStr"/>
      <c r="S89" s="235" t="inlineStr"/>
      <c r="T89" s="235" t="inlineStr"/>
      <c r="X89" s="235" t="inlineStr"/>
      <c r="Z89" s="235" t="inlineStr"/>
    </row>
    <row r="90" ht="24.6" customHeight="1" s="197">
      <c r="A90" s="251" t="inlineStr"/>
      <c r="B90" s="251" t="inlineStr"/>
      <c r="C90" s="251" t="inlineStr">
        <is>
          <t>999-9899</t>
        </is>
      </c>
      <c r="H90" s="251" t="inlineStr">
        <is>
          <t>Строительный мусор и масса возвратных материалов</t>
        </is>
      </c>
      <c r="K90" s="251" t="inlineStr">
        <is>
          <t>т</t>
        </is>
      </c>
      <c r="M90" s="264" t="n">
        <v>0.04</v>
      </c>
      <c r="P90" s="235" t="inlineStr"/>
      <c r="Q90" s="268" t="n">
        <v>0.0004</v>
      </c>
      <c r="R90" s="235" t="inlineStr"/>
      <c r="S90" s="235" t="inlineStr"/>
      <c r="T90" s="235" t="inlineStr"/>
      <c r="X90" s="235" t="inlineStr"/>
      <c r="Z90" s="235" t="inlineStr"/>
    </row>
    <row r="91" ht="12.2" customHeight="1" s="197">
      <c r="A91" s="251" t="inlineStr"/>
      <c r="B91" s="251" t="inlineStr"/>
      <c r="C91" s="251" t="inlineStr"/>
      <c r="H91" s="270" t="inlineStr">
        <is>
          <t>Итого прямые затраты</t>
        </is>
      </c>
      <c r="I91" s="244" t="n"/>
      <c r="J91" s="244" t="n"/>
      <c r="K91" s="271" t="inlineStr"/>
      <c r="L91" s="244" t="n"/>
      <c r="M91" s="271" t="inlineStr"/>
      <c r="N91" s="244" t="n"/>
      <c r="O91" s="244" t="n"/>
      <c r="P91" s="271" t="inlineStr"/>
      <c r="Q91" s="271" t="inlineStr"/>
      <c r="R91" s="271" t="inlineStr"/>
      <c r="S91" s="271" t="inlineStr"/>
      <c r="T91" s="271" t="inlineStr"/>
      <c r="U91" s="244" t="n"/>
      <c r="V91" s="244" t="n"/>
      <c r="W91" s="244" t="n"/>
      <c r="X91" s="271" t="inlineStr"/>
      <c r="Y91" s="244" t="n"/>
      <c r="Z91" s="272" t="n">
        <v>284.67</v>
      </c>
      <c r="AA91" s="244" t="n"/>
      <c r="AB91" s="244" t="n"/>
      <c r="AC91" s="244" t="n"/>
    </row>
    <row r="92" ht="12.2" customHeight="1" s="197">
      <c r="C92" s="251" t="inlineStr"/>
      <c r="H92" s="251" t="inlineStr">
        <is>
          <t>ФОТ</t>
        </is>
      </c>
      <c r="K92" s="251" t="inlineStr"/>
      <c r="M92" s="235" t="inlineStr"/>
      <c r="P92" s="235" t="inlineStr"/>
      <c r="Q92" s="235" t="inlineStr"/>
      <c r="R92" s="251" t="inlineStr"/>
      <c r="S92" s="251" t="inlineStr"/>
      <c r="T92" s="251" t="inlineStr"/>
      <c r="X92" s="251" t="inlineStr"/>
      <c r="Z92" s="264" t="n">
        <v>281.04</v>
      </c>
    </row>
    <row r="93" ht="36.75" customHeight="1" s="197">
      <c r="C93" s="251" t="inlineStr">
        <is>
          <t>812/пр_2020_прил._т._п.99.2_гр.3</t>
        </is>
      </c>
      <c r="H93" s="251" t="inlineStr">
        <is>
          <t>НР (Внутренние санитарно-технические работы: смена труб, санприборов, запорной арматуры и другое)</t>
        </is>
      </c>
      <c r="K93" s="251" t="inlineStr">
        <is>
          <t>%</t>
        </is>
      </c>
      <c r="M93" s="269" t="n">
        <v>103</v>
      </c>
      <c r="P93" s="235" t="inlineStr"/>
      <c r="Q93" s="264" t="n">
        <v>103</v>
      </c>
      <c r="R93" s="251" t="inlineStr"/>
      <c r="S93" s="251" t="inlineStr"/>
      <c r="T93" s="251" t="inlineStr"/>
      <c r="X93" s="251" t="inlineStr"/>
      <c r="Z93" s="264" t="n">
        <v>289.47</v>
      </c>
    </row>
    <row r="94" ht="36.75" customHeight="1" s="197">
      <c r="C94" s="251" t="inlineStr">
        <is>
          <t>774/пр_2020_прил._т._п.99.2_гр.3</t>
        </is>
      </c>
      <c r="H94" s="251" t="inlineStr">
        <is>
          <t>СП (Внутренние санитарно-технические работы: смена труб, санприборов, запорной арматуры и другое)</t>
        </is>
      </c>
      <c r="K94" s="251" t="inlineStr">
        <is>
          <t>%</t>
        </is>
      </c>
      <c r="M94" s="269" t="n">
        <v>52</v>
      </c>
      <c r="P94" s="235" t="inlineStr"/>
      <c r="Q94" s="264" t="n">
        <v>52</v>
      </c>
      <c r="R94" s="251" t="inlineStr"/>
      <c r="S94" s="251" t="inlineStr"/>
      <c r="T94" s="251" t="inlineStr"/>
      <c r="X94" s="251" t="inlineStr"/>
      <c r="Z94" s="264" t="n">
        <v>146.14</v>
      </c>
    </row>
    <row r="95">
      <c r="A95" s="273" t="n"/>
      <c r="B95" s="273" t="n"/>
      <c r="C95" s="273" t="n"/>
      <c r="D95" s="273" t="n"/>
      <c r="E95" s="273" t="n"/>
      <c r="F95" s="273" t="n"/>
      <c r="G95" s="273" t="n"/>
      <c r="H95" s="273" t="n"/>
      <c r="I95" s="273" t="n"/>
      <c r="J95" s="273" t="n"/>
      <c r="K95" s="273" t="n"/>
      <c r="L95" s="273" t="n"/>
      <c r="M95" s="273" t="n"/>
      <c r="N95" s="273" t="n"/>
      <c r="O95" s="273" t="n"/>
      <c r="P95" s="273" t="n"/>
      <c r="Q95" s="273" t="n"/>
      <c r="R95" s="273" t="n"/>
      <c r="S95" s="273" t="n"/>
      <c r="T95" s="273" t="n"/>
      <c r="U95" s="273" t="n"/>
      <c r="V95" s="273" t="n"/>
      <c r="W95" s="273" t="n"/>
      <c r="X95" s="273" t="n"/>
      <c r="Y95" s="273" t="n"/>
      <c r="Z95" s="273" t="n"/>
      <c r="AA95" s="273" t="n"/>
      <c r="AB95" s="273" t="n"/>
      <c r="AC95" s="273" t="n"/>
    </row>
    <row r="96" ht="12.2" customHeight="1" s="197">
      <c r="H96" s="260" t="inlineStr">
        <is>
          <t>Всего по позиции</t>
        </is>
      </c>
      <c r="S96" s="251" t="inlineStr"/>
      <c r="T96" s="262" t="n">
        <v>72028</v>
      </c>
      <c r="X96" s="251" t="inlineStr"/>
      <c r="Z96" s="262" t="n">
        <v>720.28</v>
      </c>
    </row>
    <row r="97" ht="36.75" customHeight="1" s="197">
      <c r="A97" s="251" t="inlineStr">
        <is>
          <t>6</t>
        </is>
      </c>
      <c r="B97" s="260" t="inlineStr">
        <is>
          <t>4</t>
        </is>
      </c>
      <c r="C97" s="260" t="inlineStr">
        <is>
          <t>18.1.09.06-0041</t>
        </is>
      </c>
      <c r="H97" s="260" t="inlineStr">
        <is>
          <t>Кран шаровой латунный 11Б41п3, присоединение к трубопроводу муфтовое, номинальное давление 1,6 МПа, номинальный диаметр 15 мм</t>
        </is>
      </c>
      <c r="K97" s="260" t="inlineStr">
        <is>
          <t>шт</t>
        </is>
      </c>
      <c r="M97" s="269" t="n">
        <v>1</v>
      </c>
      <c r="P97" s="235" t="inlineStr"/>
      <c r="Q97" s="262" t="n">
        <v>1</v>
      </c>
      <c r="R97" s="264" t="n">
        <v>158.92</v>
      </c>
      <c r="S97" s="264" t="n">
        <v>1.49</v>
      </c>
      <c r="T97" s="264" t="n">
        <v>236.79</v>
      </c>
      <c r="X97" s="235" t="inlineStr"/>
      <c r="Z97" s="264" t="n">
        <v>236.79</v>
      </c>
    </row>
    <row r="98" ht="12.2" customHeight="1" s="197">
      <c r="C98" s="251" t="inlineStr"/>
      <c r="H98" s="251" t="inlineStr"/>
      <c r="K98" s="251" t="inlineStr"/>
      <c r="M98" s="235" t="inlineStr"/>
      <c r="P98" s="235" t="inlineStr"/>
      <c r="Q98" s="235" t="inlineStr"/>
      <c r="R98" s="251" t="inlineStr"/>
      <c r="S98" s="251" t="inlineStr"/>
      <c r="T98" s="251" t="inlineStr"/>
      <c r="X98" s="251" t="inlineStr"/>
      <c r="Z98" s="235" t="inlineStr"/>
    </row>
    <row r="99">
      <c r="A99" s="273" t="n"/>
      <c r="B99" s="273" t="n"/>
      <c r="C99" s="273" t="n"/>
      <c r="D99" s="273" t="n"/>
      <c r="E99" s="273" t="n"/>
      <c r="F99" s="273" t="n"/>
      <c r="G99" s="273" t="n"/>
      <c r="H99" s="273" t="n"/>
      <c r="I99" s="273" t="n"/>
      <c r="J99" s="273" t="n"/>
      <c r="K99" s="273" t="n"/>
      <c r="L99" s="273" t="n"/>
      <c r="M99" s="273" t="n"/>
      <c r="N99" s="273" t="n"/>
      <c r="O99" s="273" t="n"/>
      <c r="P99" s="273" t="n"/>
      <c r="Q99" s="273" t="n"/>
      <c r="R99" s="273" t="n"/>
      <c r="S99" s="273" t="n"/>
      <c r="T99" s="273" t="n"/>
      <c r="U99" s="273" t="n"/>
      <c r="V99" s="273" t="n"/>
      <c r="W99" s="273" t="n"/>
      <c r="X99" s="273" t="n"/>
      <c r="Y99" s="273" t="n"/>
      <c r="Z99" s="273" t="n"/>
      <c r="AA99" s="273" t="n"/>
      <c r="AB99" s="273" t="n"/>
      <c r="AC99" s="273" t="n"/>
    </row>
    <row r="100" ht="12.2" customHeight="1" s="197">
      <c r="H100" s="260" t="inlineStr">
        <is>
          <t>Всего по позиции</t>
        </is>
      </c>
      <c r="S100" s="251" t="inlineStr"/>
      <c r="T100" s="262" t="n">
        <v>236.79</v>
      </c>
      <c r="X100" s="251" t="inlineStr"/>
      <c r="Z100" s="262" t="n">
        <v>236.79</v>
      </c>
    </row>
    <row r="101" ht="12.2" customHeight="1" s="197">
      <c r="C101" s="276" t="inlineStr"/>
      <c r="H101" s="276" t="inlineStr">
        <is>
          <t>Итого по подразделу</t>
        </is>
      </c>
      <c r="Q101" s="276" t="inlineStr"/>
      <c r="R101" s="276" t="inlineStr"/>
      <c r="Z101" s="277" t="n">
        <v>36778.77</v>
      </c>
    </row>
    <row r="103" ht="12.2" customHeight="1" s="197">
      <c r="A103" s="259" t="inlineStr">
        <is>
          <t>электромонтажные работы</t>
        </is>
      </c>
      <c r="B103" s="242" t="n"/>
      <c r="C103" s="242" t="n"/>
      <c r="D103" s="242" t="n"/>
      <c r="E103" s="242" t="n"/>
      <c r="F103" s="242" t="n"/>
      <c r="G103" s="242" t="n"/>
      <c r="H103" s="242" t="n"/>
      <c r="I103" s="242" t="n"/>
      <c r="J103" s="242" t="n"/>
      <c r="K103" s="242" t="n"/>
      <c r="L103" s="242" t="n"/>
      <c r="M103" s="242" t="n"/>
      <c r="N103" s="242" t="n"/>
      <c r="O103" s="242" t="n"/>
      <c r="P103" s="242" t="n"/>
      <c r="Q103" s="242" t="n"/>
      <c r="R103" s="242" t="n"/>
      <c r="S103" s="242" t="n"/>
      <c r="T103" s="242" t="n"/>
      <c r="U103" s="242" t="n"/>
      <c r="V103" s="242" t="n"/>
      <c r="W103" s="242" t="n"/>
      <c r="X103" s="242" t="n"/>
      <c r="Y103" s="242" t="n"/>
      <c r="Z103" s="242" t="n"/>
      <c r="AA103" s="242" t="n"/>
      <c r="AB103" s="242" t="n"/>
      <c r="AC103" s="242" t="n"/>
    </row>
    <row r="104" ht="12.2" customHeight="1" s="197">
      <c r="A104" s="251" t="inlineStr">
        <is>
          <t>7</t>
        </is>
      </c>
      <c r="B104" s="260" t="inlineStr">
        <is>
          <t>5</t>
        </is>
      </c>
      <c r="C104" s="260" t="inlineStr">
        <is>
          <t>ГЭСНр 67-01-005-01</t>
        </is>
      </c>
      <c r="H104" s="260" t="inlineStr">
        <is>
          <t>Смена ламп: накаливания</t>
        </is>
      </c>
      <c r="K104" s="260" t="inlineStr">
        <is>
          <t>100 шт</t>
        </is>
      </c>
      <c r="M104" s="264" t="n">
        <v>0.02</v>
      </c>
      <c r="P104" s="235" t="inlineStr"/>
      <c r="Q104" s="262" t="n">
        <v>0.02</v>
      </c>
      <c r="R104" s="235" t="inlineStr"/>
      <c r="S104" s="235" t="inlineStr"/>
      <c r="T104" s="235" t="inlineStr"/>
      <c r="X104" s="235" t="inlineStr"/>
      <c r="Z104" s="235" t="inlineStr"/>
    </row>
    <row r="105" ht="12.2" customHeight="1" s="197">
      <c r="A105" s="251" t="inlineStr"/>
      <c r="B105" s="251" t="inlineStr"/>
      <c r="C105" s="251" t="inlineStr">
        <is>
          <t xml:space="preserve">             1</t>
        </is>
      </c>
      <c r="H105" s="251" t="inlineStr">
        <is>
          <t>ОТ(ЗТ)</t>
        </is>
      </c>
      <c r="K105" s="251" t="inlineStr">
        <is>
          <t>чел.-ч</t>
        </is>
      </c>
      <c r="M105" s="235" t="inlineStr"/>
      <c r="P105" s="235" t="inlineStr"/>
      <c r="Q105" s="263" t="n">
        <v>0.142</v>
      </c>
      <c r="R105" s="235" t="inlineStr"/>
      <c r="S105" s="235" t="inlineStr"/>
      <c r="T105" s="235" t="inlineStr"/>
      <c r="X105" s="235" t="inlineStr"/>
      <c r="Z105" s="262" t="n">
        <v>67.22</v>
      </c>
    </row>
    <row r="106" ht="12.2" customHeight="1" s="197">
      <c r="A106" s="251" t="inlineStr"/>
      <c r="B106" s="251" t="inlineStr"/>
      <c r="C106" s="251" t="inlineStr">
        <is>
          <t>1-100-30</t>
        </is>
      </c>
      <c r="H106" s="251" t="inlineStr">
        <is>
          <t>0</t>
        </is>
      </c>
      <c r="K106" s="251" t="inlineStr">
        <is>
          <t>чел.-ч</t>
        </is>
      </c>
      <c r="M106" s="261" t="n">
        <v>7.1</v>
      </c>
      <c r="P106" s="235" t="inlineStr"/>
      <c r="Q106" s="263" t="n">
        <v>0.142</v>
      </c>
      <c r="R106" s="235" t="inlineStr"/>
      <c r="S106" s="235" t="inlineStr"/>
      <c r="T106" s="264" t="n">
        <v>473.35</v>
      </c>
      <c r="X106" s="235" t="inlineStr"/>
      <c r="Z106" s="264" t="n">
        <v>67.22</v>
      </c>
    </row>
    <row r="107" ht="12.2" customHeight="1" s="197">
      <c r="A107" s="251" t="inlineStr"/>
      <c r="B107" s="251" t="inlineStr"/>
      <c r="C107" s="251" t="inlineStr">
        <is>
          <t xml:space="preserve">             4</t>
        </is>
      </c>
      <c r="H107" s="251" t="inlineStr">
        <is>
          <t>М</t>
        </is>
      </c>
      <c r="K107" s="251" t="inlineStr"/>
      <c r="M107" s="235" t="inlineStr"/>
      <c r="P107" s="235" t="inlineStr"/>
      <c r="Q107" s="235" t="inlineStr"/>
      <c r="R107" s="235" t="inlineStr"/>
      <c r="S107" s="235" t="inlineStr"/>
      <c r="T107" s="235" t="inlineStr"/>
      <c r="X107" s="235" t="inlineStr"/>
      <c r="Z107" s="262" t="n">
        <v>0</v>
      </c>
    </row>
    <row r="108" ht="12.2" customHeight="1" s="197">
      <c r="A108" s="251" t="inlineStr"/>
      <c r="B108" s="251" t="inlineStr"/>
      <c r="C108" s="251" t="inlineStr">
        <is>
          <t>20.3.02.10</t>
        </is>
      </c>
      <c r="H108" s="251" t="inlineStr">
        <is>
          <t>Лампы накаливания</t>
        </is>
      </c>
      <c r="K108" s="251" t="inlineStr">
        <is>
          <t>шт</t>
        </is>
      </c>
      <c r="M108" s="269" t="n">
        <v>100</v>
      </c>
      <c r="P108" s="235" t="inlineStr"/>
      <c r="Q108" s="264" t="n">
        <v>2</v>
      </c>
      <c r="R108" s="235" t="inlineStr"/>
      <c r="S108" s="235" t="inlineStr"/>
      <c r="T108" s="235" t="inlineStr"/>
      <c r="X108" s="235" t="inlineStr"/>
      <c r="Z108" s="235" t="inlineStr"/>
    </row>
    <row r="109" ht="12.2" customHeight="1" s="197">
      <c r="A109" s="251" t="inlineStr"/>
      <c r="B109" s="251" t="inlineStr"/>
      <c r="C109" s="251" t="inlineStr"/>
      <c r="H109" s="270" t="inlineStr">
        <is>
          <t>Итого прямые затраты</t>
        </is>
      </c>
      <c r="I109" s="244" t="n"/>
      <c r="J109" s="244" t="n"/>
      <c r="K109" s="271" t="inlineStr"/>
      <c r="L109" s="244" t="n"/>
      <c r="M109" s="271" t="inlineStr"/>
      <c r="N109" s="244" t="n"/>
      <c r="O109" s="244" t="n"/>
      <c r="P109" s="271" t="inlineStr"/>
      <c r="Q109" s="271" t="inlineStr"/>
      <c r="R109" s="271" t="inlineStr"/>
      <c r="S109" s="271" t="inlineStr"/>
      <c r="T109" s="271" t="inlineStr"/>
      <c r="U109" s="244" t="n"/>
      <c r="V109" s="244" t="n"/>
      <c r="W109" s="244" t="n"/>
      <c r="X109" s="271" t="inlineStr"/>
      <c r="Y109" s="244" t="n"/>
      <c r="Z109" s="272" t="n">
        <v>67.22</v>
      </c>
      <c r="AA109" s="244" t="n"/>
      <c r="AB109" s="244" t="n"/>
      <c r="AC109" s="244" t="n"/>
    </row>
    <row r="110" ht="12.2" customHeight="1" s="197">
      <c r="C110" s="251" t="inlineStr"/>
      <c r="H110" s="251" t="inlineStr">
        <is>
          <t>ФОТ</t>
        </is>
      </c>
      <c r="K110" s="251" t="inlineStr"/>
      <c r="M110" s="235" t="inlineStr"/>
      <c r="P110" s="235" t="inlineStr"/>
      <c r="Q110" s="235" t="inlineStr"/>
      <c r="R110" s="251" t="inlineStr"/>
      <c r="S110" s="251" t="inlineStr"/>
      <c r="T110" s="251" t="inlineStr"/>
      <c r="X110" s="251" t="inlineStr"/>
      <c r="Z110" s="264" t="n">
        <v>67.22</v>
      </c>
    </row>
    <row r="111" ht="24.6" customHeight="1" s="197">
      <c r="C111" s="251" t="inlineStr">
        <is>
          <t>812/пр_2020_прил._т._п.101_гр.3</t>
        </is>
      </c>
      <c r="H111" s="251" t="inlineStr">
        <is>
          <t>НР (Электромонтажные работы)</t>
        </is>
      </c>
      <c r="K111" s="251" t="inlineStr">
        <is>
          <t>%</t>
        </is>
      </c>
      <c r="M111" s="269" t="n">
        <v>91</v>
      </c>
      <c r="P111" s="235" t="inlineStr"/>
      <c r="Q111" s="264" t="n">
        <v>91</v>
      </c>
      <c r="R111" s="251" t="inlineStr"/>
      <c r="S111" s="251" t="inlineStr"/>
      <c r="T111" s="251" t="inlineStr"/>
      <c r="X111" s="251" t="inlineStr"/>
      <c r="Z111" s="264" t="n">
        <v>61.17</v>
      </c>
    </row>
    <row r="112" ht="24.6" customHeight="1" s="197">
      <c r="C112" s="251" t="inlineStr">
        <is>
          <t>774/пр_2020_прил._т._п.101_гр.3</t>
        </is>
      </c>
      <c r="H112" s="251" t="inlineStr">
        <is>
          <t>СП (Электромонтажные работы)</t>
        </is>
      </c>
      <c r="K112" s="251" t="inlineStr">
        <is>
          <t>%</t>
        </is>
      </c>
      <c r="M112" s="269" t="n">
        <v>48</v>
      </c>
      <c r="P112" s="235" t="inlineStr"/>
      <c r="Q112" s="264" t="n">
        <v>48</v>
      </c>
      <c r="R112" s="251" t="inlineStr"/>
      <c r="S112" s="251" t="inlineStr"/>
      <c r="T112" s="251" t="inlineStr"/>
      <c r="X112" s="251" t="inlineStr"/>
      <c r="Z112" s="264" t="n">
        <v>32.27</v>
      </c>
    </row>
    <row r="113">
      <c r="A113" s="273" t="n"/>
      <c r="B113" s="273" t="n"/>
      <c r="C113" s="273" t="n"/>
      <c r="D113" s="273" t="n"/>
      <c r="E113" s="273" t="n"/>
      <c r="F113" s="273" t="n"/>
      <c r="G113" s="273" t="n"/>
      <c r="H113" s="273" t="n"/>
      <c r="I113" s="273" t="n"/>
      <c r="J113" s="273" t="n"/>
      <c r="K113" s="273" t="n"/>
      <c r="L113" s="273" t="n"/>
      <c r="M113" s="273" t="n"/>
      <c r="N113" s="273" t="n"/>
      <c r="O113" s="273" t="n"/>
      <c r="P113" s="273" t="n"/>
      <c r="Q113" s="273" t="n"/>
      <c r="R113" s="273" t="n"/>
      <c r="S113" s="273" t="n"/>
      <c r="T113" s="273" t="n"/>
      <c r="U113" s="273" t="n"/>
      <c r="V113" s="273" t="n"/>
      <c r="W113" s="273" t="n"/>
      <c r="X113" s="273" t="n"/>
      <c r="Y113" s="273" t="n"/>
      <c r="Z113" s="273" t="n"/>
      <c r="AA113" s="273" t="n"/>
      <c r="AB113" s="273" t="n"/>
      <c r="AC113" s="273" t="n"/>
    </row>
    <row r="114" ht="12.2" customHeight="1" s="197">
      <c r="H114" s="260" t="inlineStr">
        <is>
          <t>Всего по позиции</t>
        </is>
      </c>
      <c r="S114" s="251" t="inlineStr"/>
      <c r="T114" s="262" t="n">
        <v>8033</v>
      </c>
      <c r="X114" s="251" t="inlineStr"/>
      <c r="Z114" s="262" t="n">
        <v>160.66</v>
      </c>
    </row>
    <row r="115" ht="24.6" customHeight="1" s="197">
      <c r="A115" s="251" t="inlineStr">
        <is>
          <t>8</t>
        </is>
      </c>
      <c r="B115" s="260" t="inlineStr">
        <is>
          <t>6</t>
        </is>
      </c>
      <c r="C115" s="260" t="inlineStr">
        <is>
          <t>20.3.02.12-0006</t>
        </is>
      </c>
      <c r="H115" s="260" t="inlineStr">
        <is>
          <t>Лампа энергосберегающая с цоколем E27, мощность 9 Вт прим</t>
        </is>
      </c>
      <c r="K115" s="260" t="inlineStr">
        <is>
          <t>шт</t>
        </is>
      </c>
      <c r="M115" s="269" t="n">
        <v>2</v>
      </c>
      <c r="P115" s="235" t="inlineStr"/>
      <c r="Q115" s="262" t="n">
        <v>2</v>
      </c>
      <c r="R115" s="264" t="n">
        <v>9.890000000000001</v>
      </c>
      <c r="S115" s="264" t="n">
        <v>1.41</v>
      </c>
      <c r="T115" s="264" t="n">
        <v>13.94</v>
      </c>
      <c r="X115" s="235" t="inlineStr"/>
      <c r="Z115" s="264" t="n">
        <v>27.88</v>
      </c>
    </row>
    <row r="116" ht="12.2" customHeight="1" s="197">
      <c r="C116" s="251" t="inlineStr"/>
      <c r="H116" s="251" t="inlineStr"/>
      <c r="K116" s="251" t="inlineStr"/>
      <c r="M116" s="235" t="inlineStr"/>
      <c r="P116" s="235" t="inlineStr"/>
      <c r="Q116" s="235" t="inlineStr"/>
      <c r="R116" s="251" t="inlineStr"/>
      <c r="S116" s="251" t="inlineStr"/>
      <c r="T116" s="251" t="inlineStr"/>
      <c r="X116" s="251" t="inlineStr"/>
      <c r="Z116" s="235" t="inlineStr"/>
    </row>
    <row r="117">
      <c r="A117" s="273" t="n"/>
      <c r="B117" s="273" t="n"/>
      <c r="C117" s="273" t="n"/>
      <c r="D117" s="273" t="n"/>
      <c r="E117" s="273" t="n"/>
      <c r="F117" s="273" t="n"/>
      <c r="G117" s="273" t="n"/>
      <c r="H117" s="273" t="n"/>
      <c r="I117" s="273" t="n"/>
      <c r="J117" s="273" t="n"/>
      <c r="K117" s="273" t="n"/>
      <c r="L117" s="273" t="n"/>
      <c r="M117" s="273" t="n"/>
      <c r="N117" s="273" t="n"/>
      <c r="O117" s="273" t="n"/>
      <c r="P117" s="273" t="n"/>
      <c r="Q117" s="273" t="n"/>
      <c r="R117" s="273" t="n"/>
      <c r="S117" s="273" t="n"/>
      <c r="T117" s="273" t="n"/>
      <c r="U117" s="273" t="n"/>
      <c r="V117" s="273" t="n"/>
      <c r="W117" s="273" t="n"/>
      <c r="X117" s="273" t="n"/>
      <c r="Y117" s="273" t="n"/>
      <c r="Z117" s="273" t="n"/>
      <c r="AA117" s="273" t="n"/>
      <c r="AB117" s="273" t="n"/>
      <c r="AC117" s="273" t="n"/>
    </row>
    <row r="118" ht="12.2" customHeight="1" s="197">
      <c r="H118" s="260" t="inlineStr">
        <is>
          <t>Всего по позиции</t>
        </is>
      </c>
      <c r="S118" s="251" t="inlineStr"/>
      <c r="T118" s="262" t="n">
        <v>13.94</v>
      </c>
      <c r="X118" s="251" t="inlineStr"/>
      <c r="Z118" s="262" t="n">
        <v>27.88</v>
      </c>
    </row>
    <row r="119" ht="12.2" customHeight="1" s="197">
      <c r="C119" s="276" t="inlineStr"/>
      <c r="H119" s="276" t="inlineStr">
        <is>
          <t>Итого по подразделу</t>
        </is>
      </c>
      <c r="Q119" s="276" t="inlineStr"/>
      <c r="R119" s="276" t="inlineStr"/>
      <c r="Z119" s="277" t="n">
        <v>188.54</v>
      </c>
    </row>
    <row r="120">
      <c r="A120" s="273" t="n"/>
      <c r="B120" s="273" t="n"/>
      <c r="C120" s="273" t="n"/>
      <c r="D120" s="273" t="n"/>
      <c r="E120" s="273" t="n"/>
      <c r="F120" s="273" t="n"/>
      <c r="G120" s="273" t="n"/>
      <c r="H120" s="273" t="n"/>
      <c r="I120" s="273" t="n"/>
      <c r="J120" s="273" t="n"/>
      <c r="K120" s="273" t="n"/>
      <c r="L120" s="273" t="n"/>
      <c r="M120" s="273" t="n"/>
      <c r="N120" s="273" t="n"/>
      <c r="O120" s="273" t="n"/>
      <c r="P120" s="273" t="n"/>
      <c r="Q120" s="273" t="n"/>
      <c r="R120" s="273" t="n"/>
      <c r="S120" s="273" t="n"/>
      <c r="T120" s="273" t="n"/>
      <c r="U120" s="273" t="n"/>
      <c r="V120" s="273" t="n"/>
      <c r="W120" s="273" t="n"/>
      <c r="X120" s="273" t="n"/>
      <c r="Y120" s="273" t="n"/>
      <c r="Z120" s="273" t="n"/>
      <c r="AA120" s="273" t="n"/>
      <c r="AB120" s="273" t="n"/>
      <c r="AC120" s="273" t="n"/>
    </row>
    <row r="121" ht="12.2" customHeight="1" s="197">
      <c r="C121" s="251" t="inlineStr"/>
      <c r="H121" s="251" t="inlineStr">
        <is>
          <t>Итого прямые затраты по разделу "молодежная 8"</t>
        </is>
      </c>
      <c r="Q121" s="251" t="inlineStr"/>
      <c r="R121" s="251" t="inlineStr"/>
      <c r="Z121" s="264" t="n">
        <v>15467.33</v>
      </c>
    </row>
    <row r="122" ht="12.2" customHeight="1" s="197">
      <c r="C122" s="265" t="inlineStr"/>
      <c r="H122" s="265" t="inlineStr">
        <is>
          <t xml:space="preserve">   в том числе:</t>
        </is>
      </c>
      <c r="Q122" s="265" t="inlineStr"/>
      <c r="R122" s="265" t="inlineStr"/>
      <c r="Z122" s="266" t="inlineStr"/>
    </row>
    <row r="123" ht="12.2" customHeight="1" s="197">
      <c r="C123" s="251" t="inlineStr"/>
      <c r="H123" s="251" t="inlineStr">
        <is>
          <t xml:space="preserve">   оплата труда (ОТ)</t>
        </is>
      </c>
      <c r="Q123" s="251" t="inlineStr"/>
      <c r="R123" s="251" t="inlineStr"/>
      <c r="Z123" s="264" t="n">
        <v>13872.83</v>
      </c>
    </row>
    <row r="124" ht="12.2" customHeight="1" s="197">
      <c r="C124" s="251" t="inlineStr"/>
      <c r="H124" s="251" t="inlineStr">
        <is>
          <t xml:space="preserve">   эксплуатация машин и механизмов</t>
        </is>
      </c>
      <c r="Q124" s="251" t="inlineStr"/>
      <c r="R124" s="251" t="inlineStr"/>
      <c r="Z124" s="264" t="n">
        <v>6.09</v>
      </c>
    </row>
    <row r="125" ht="12.2" customHeight="1" s="197">
      <c r="C125" s="251" t="inlineStr"/>
      <c r="H125" s="251" t="inlineStr">
        <is>
          <t xml:space="preserve">   оплата труда машинистов (ОТм)            </t>
        </is>
      </c>
      <c r="Q125" s="251" t="inlineStr"/>
      <c r="R125" s="251" t="inlineStr"/>
      <c r="Z125" s="264" t="n">
        <v>5.07</v>
      </c>
    </row>
    <row r="126" ht="12.2" customHeight="1" s="197">
      <c r="C126" s="251" t="inlineStr"/>
      <c r="H126" s="251" t="inlineStr">
        <is>
          <t xml:space="preserve">   материальные ресурсы</t>
        </is>
      </c>
      <c r="Q126" s="251" t="inlineStr"/>
      <c r="R126" s="251" t="inlineStr"/>
      <c r="Z126" s="264" t="n">
        <v>1583.34</v>
      </c>
    </row>
    <row r="127" ht="12.2" customHeight="1" s="197">
      <c r="C127" s="251" t="inlineStr"/>
      <c r="H127" s="251" t="inlineStr">
        <is>
          <t xml:space="preserve">   перевозка</t>
        </is>
      </c>
      <c r="Q127" s="251" t="inlineStr"/>
      <c r="R127" s="251" t="inlineStr"/>
      <c r="Z127" s="264" t="n">
        <v>0</v>
      </c>
    </row>
    <row r="128" ht="12.2" customHeight="1" s="197">
      <c r="C128" s="251" t="inlineStr"/>
      <c r="H128" s="251" t="inlineStr">
        <is>
          <t>Итого ФОТ (справочно)</t>
        </is>
      </c>
      <c r="Q128" s="251" t="inlineStr"/>
      <c r="R128" s="251" t="inlineStr"/>
      <c r="Z128" s="264" t="n">
        <v>13877.9</v>
      </c>
    </row>
    <row r="129" ht="12.2" customHeight="1" s="197">
      <c r="C129" s="251" t="inlineStr"/>
      <c r="H129" s="251" t="inlineStr">
        <is>
          <t>Итого накладные расходы</t>
        </is>
      </c>
      <c r="Q129" s="251" t="inlineStr"/>
      <c r="R129" s="251" t="inlineStr"/>
      <c r="Z129" s="264" t="n">
        <v>14286.16</v>
      </c>
    </row>
    <row r="130" ht="12.2" customHeight="1" s="197">
      <c r="C130" s="251" t="inlineStr"/>
      <c r="H130" s="251" t="inlineStr">
        <is>
          <t>Итого сметная прибыль</t>
        </is>
      </c>
      <c r="Q130" s="251" t="inlineStr"/>
      <c r="R130" s="251" t="inlineStr"/>
      <c r="Z130" s="264" t="n">
        <v>7213.82</v>
      </c>
    </row>
    <row r="131" ht="12.2" customHeight="1" s="197">
      <c r="C131" s="251" t="inlineStr"/>
      <c r="H131" s="251" t="inlineStr">
        <is>
          <t>Итого оборудование</t>
        </is>
      </c>
      <c r="Q131" s="251" t="inlineStr"/>
      <c r="R131" s="251" t="inlineStr"/>
      <c r="Z131" s="264" t="n">
        <v>0</v>
      </c>
    </row>
    <row r="132" ht="12.2" customHeight="1" s="197">
      <c r="C132" s="251" t="inlineStr"/>
      <c r="H132" s="251" t="inlineStr">
        <is>
          <t>Итого прочие затраты</t>
        </is>
      </c>
      <c r="Q132" s="251" t="inlineStr"/>
      <c r="R132" s="251" t="inlineStr"/>
      <c r="Z132" s="264" t="n">
        <v>0</v>
      </c>
    </row>
    <row r="133" ht="12.2" customHeight="1" s="197">
      <c r="C133" s="260" t="inlineStr"/>
      <c r="H133" s="260" t="inlineStr">
        <is>
          <t>Итого по разделу "молодежная 8"</t>
        </is>
      </c>
      <c r="Q133" s="260" t="inlineStr"/>
      <c r="R133" s="260" t="inlineStr"/>
      <c r="Z133" s="262" t="n">
        <v>36967.31</v>
      </c>
    </row>
    <row r="134" ht="12.2" customHeight="1" s="197">
      <c r="C134" s="265" t="inlineStr"/>
      <c r="H134" s="265" t="inlineStr">
        <is>
          <t xml:space="preserve">   в том числе:</t>
        </is>
      </c>
      <c r="Q134" s="265" t="inlineStr"/>
      <c r="R134" s="265" t="inlineStr"/>
      <c r="Z134" s="266" t="inlineStr"/>
    </row>
    <row r="135" ht="12.2" customHeight="1" s="197">
      <c r="C135" s="251" t="inlineStr"/>
      <c r="H135" s="251" t="inlineStr">
        <is>
          <t xml:space="preserve">   материальные ресурсы, отсутствующие в ФРСН </t>
        </is>
      </c>
      <c r="Q135" s="251" t="inlineStr"/>
      <c r="R135" s="251" t="inlineStr"/>
      <c r="Z135" s="264" t="n">
        <v>0</v>
      </c>
    </row>
    <row r="136" ht="12.2" customHeight="1" s="197">
      <c r="C136" s="251" t="inlineStr"/>
      <c r="H136" s="251" t="inlineStr">
        <is>
          <t xml:space="preserve">   оборудование, отсутствующее в ФРСН </t>
        </is>
      </c>
      <c r="Q136" s="251" t="inlineStr"/>
      <c r="R136" s="251" t="inlineStr"/>
      <c r="Z136" s="264" t="n">
        <v>0</v>
      </c>
    </row>
    <row r="137" ht="12.2" customHeight="1" s="197">
      <c r="C137" s="251" t="inlineStr"/>
      <c r="H137" s="251" t="inlineStr">
        <is>
          <t xml:space="preserve">   затраты труда рабочих</t>
        </is>
      </c>
      <c r="Q137" s="235" t="inlineStr">
        <is>
          <t>30,1845</t>
        </is>
      </c>
      <c r="R137" s="251" t="inlineStr"/>
      <c r="Z137" s="235" t="inlineStr"/>
    </row>
    <row r="138" ht="12.2" customHeight="1" s="197">
      <c r="C138" s="251" t="inlineStr"/>
      <c r="H138" s="251" t="inlineStr">
        <is>
          <t xml:space="preserve">   затраты труда машинистов</t>
        </is>
      </c>
      <c r="Q138" s="235" t="inlineStr">
        <is>
          <t>0,0095</t>
        </is>
      </c>
      <c r="R138" s="251" t="inlineStr"/>
      <c r="Z138" s="235" t="inlineStr"/>
    </row>
    <row r="139">
      <c r="A139" s="278" t="n"/>
      <c r="B139" s="278" t="n"/>
      <c r="C139" s="278" t="n"/>
      <c r="D139" s="278" t="n"/>
      <c r="E139" s="278" t="n"/>
      <c r="F139" s="278" t="n"/>
      <c r="G139" s="278" t="n"/>
      <c r="H139" s="278" t="n"/>
      <c r="I139" s="278" t="n"/>
      <c r="J139" s="278" t="n"/>
      <c r="K139" s="278" t="n"/>
      <c r="L139" s="278" t="n"/>
      <c r="M139" s="278" t="n"/>
      <c r="N139" s="278" t="n"/>
      <c r="O139" s="278" t="n"/>
      <c r="P139" s="278" t="n"/>
      <c r="Q139" s="278" t="n"/>
      <c r="R139" s="278" t="n"/>
      <c r="S139" s="278" t="n"/>
      <c r="T139" s="278" t="n"/>
      <c r="U139" s="278" t="n"/>
      <c r="V139" s="278" t="n"/>
      <c r="W139" s="278" t="n"/>
      <c r="X139" s="278" t="n"/>
      <c r="Y139" s="278" t="n"/>
      <c r="Z139" s="278" t="n"/>
      <c r="AA139" s="278" t="n"/>
      <c r="AB139" s="278" t="n"/>
      <c r="AC139" s="278" t="n"/>
    </row>
    <row r="140" ht="12.2" customHeight="1" s="197">
      <c r="C140" s="260" t="inlineStr"/>
      <c r="H140" s="260" t="inlineStr">
        <is>
          <t>ВСЕГО строительные работы</t>
        </is>
      </c>
      <c r="Q140" s="260" t="inlineStr"/>
      <c r="R140" s="260" t="inlineStr"/>
      <c r="Z140" s="262" t="n">
        <v>36967.31</v>
      </c>
    </row>
    <row r="141" ht="12.2" customHeight="1" s="197">
      <c r="C141" s="265" t="inlineStr"/>
      <c r="H141" s="265" t="inlineStr">
        <is>
          <t xml:space="preserve">   в том числе:</t>
        </is>
      </c>
      <c r="Q141" s="265" t="inlineStr"/>
      <c r="R141" s="265" t="inlineStr"/>
      <c r="Z141" s="266" t="inlineStr"/>
    </row>
    <row r="142" ht="12.2" customHeight="1" s="197">
      <c r="C142" s="251" t="inlineStr"/>
      <c r="H142" s="251" t="inlineStr">
        <is>
          <t xml:space="preserve">   всего прямые затраты</t>
        </is>
      </c>
      <c r="Q142" s="251" t="inlineStr"/>
      <c r="R142" s="251" t="inlineStr"/>
      <c r="Z142" s="264" t="n">
        <v>15467.33</v>
      </c>
    </row>
    <row r="143" ht="12.2" customHeight="1" s="197">
      <c r="C143" s="265" t="inlineStr"/>
      <c r="H143" s="265" t="inlineStr">
        <is>
          <t xml:space="preserve">      в том числе:</t>
        </is>
      </c>
      <c r="Q143" s="265" t="inlineStr"/>
      <c r="R143" s="265" t="inlineStr"/>
      <c r="Z143" s="266" t="inlineStr"/>
    </row>
    <row r="144" ht="12.2" customHeight="1" s="197">
      <c r="C144" s="251" t="inlineStr"/>
      <c r="H144" s="251" t="inlineStr">
        <is>
          <t xml:space="preserve">      оплата труда (ОТ)</t>
        </is>
      </c>
      <c r="Q144" s="251" t="inlineStr"/>
      <c r="R144" s="251" t="inlineStr"/>
      <c r="Z144" s="264" t="n">
        <v>13872.83</v>
      </c>
    </row>
    <row r="145" ht="12.2" customHeight="1" s="197">
      <c r="C145" s="251" t="inlineStr"/>
      <c r="H145" s="251" t="inlineStr">
        <is>
          <t xml:space="preserve">      эксплуатация машин и механизмов</t>
        </is>
      </c>
      <c r="Q145" s="251" t="inlineStr"/>
      <c r="R145" s="251" t="inlineStr"/>
      <c r="Z145" s="264" t="n">
        <v>6.09</v>
      </c>
    </row>
    <row r="146" ht="12.2" customHeight="1" s="197">
      <c r="C146" s="251" t="inlineStr"/>
      <c r="H146" s="251" t="inlineStr">
        <is>
          <t xml:space="preserve">      оплата труда машинистов (ОТм)            </t>
        </is>
      </c>
      <c r="Q146" s="251" t="inlineStr"/>
      <c r="R146" s="251" t="inlineStr"/>
      <c r="Z146" s="264" t="n">
        <v>5.07</v>
      </c>
    </row>
    <row r="147" ht="12.2" customHeight="1" s="197">
      <c r="C147" s="251" t="inlineStr"/>
      <c r="H147" s="251" t="inlineStr">
        <is>
          <t xml:space="preserve">      материальные ресурсы</t>
        </is>
      </c>
      <c r="Q147" s="251" t="inlineStr"/>
      <c r="R147" s="251" t="inlineStr"/>
      <c r="Z147" s="264" t="n">
        <v>1583.34</v>
      </c>
    </row>
    <row r="148" ht="12.2" customHeight="1" s="197">
      <c r="C148" s="251" t="inlineStr"/>
      <c r="H148" s="251" t="inlineStr">
        <is>
          <t xml:space="preserve">      перевозка</t>
        </is>
      </c>
      <c r="Q148" s="251" t="inlineStr"/>
      <c r="R148" s="251" t="inlineStr"/>
      <c r="Z148" s="264" t="n">
        <v>0</v>
      </c>
    </row>
    <row r="149" ht="12.2" customHeight="1" s="197">
      <c r="C149" s="251" t="inlineStr"/>
      <c r="H149" s="251" t="inlineStr">
        <is>
          <t xml:space="preserve">   всего ФОТ</t>
        </is>
      </c>
      <c r="Q149" s="251" t="inlineStr"/>
      <c r="R149" s="251" t="inlineStr"/>
      <c r="Z149" s="264" t="n">
        <v>13877.9</v>
      </c>
    </row>
    <row r="150" ht="12.2" customHeight="1" s="197">
      <c r="C150" s="251" t="inlineStr"/>
      <c r="H150" s="251" t="inlineStr">
        <is>
          <t xml:space="preserve">   всего накладные расходы</t>
        </is>
      </c>
      <c r="Q150" s="251" t="inlineStr"/>
      <c r="R150" s="251" t="inlineStr"/>
      <c r="Z150" s="264" t="n">
        <v>14286.16</v>
      </c>
    </row>
    <row r="151" ht="12.2" customHeight="1" s="197">
      <c r="C151" s="251" t="inlineStr"/>
      <c r="H151" s="251" t="inlineStr">
        <is>
          <t xml:space="preserve">   всего сметная прибыль</t>
        </is>
      </c>
      <c r="Q151" s="251" t="inlineStr"/>
      <c r="R151" s="251" t="inlineStr"/>
      <c r="Z151" s="264" t="n">
        <v>7213.82</v>
      </c>
    </row>
    <row r="152" ht="12.2" customHeight="1" s="197">
      <c r="C152" s="260" t="inlineStr"/>
      <c r="H152" s="260" t="inlineStr">
        <is>
          <t>ВСЕГО монтажные работы</t>
        </is>
      </c>
      <c r="Q152" s="260" t="inlineStr"/>
      <c r="R152" s="260" t="inlineStr"/>
      <c r="Z152" s="262" t="n">
        <v>0</v>
      </c>
    </row>
    <row r="153" ht="12.2" customHeight="1" s="197">
      <c r="C153" s="265" t="inlineStr"/>
      <c r="H153" s="265" t="inlineStr">
        <is>
          <t xml:space="preserve">   в том числе:</t>
        </is>
      </c>
      <c r="Q153" s="265" t="inlineStr"/>
      <c r="R153" s="265" t="inlineStr"/>
      <c r="Z153" s="266" t="inlineStr"/>
    </row>
    <row r="154" ht="12.2" customHeight="1" s="197">
      <c r="C154" s="251" t="inlineStr"/>
      <c r="H154" s="251" t="inlineStr">
        <is>
          <t xml:space="preserve">   всего прямые затраты</t>
        </is>
      </c>
      <c r="Q154" s="251" t="inlineStr"/>
      <c r="R154" s="251" t="inlineStr"/>
      <c r="Z154" s="264" t="n">
        <v>0</v>
      </c>
    </row>
    <row r="155" ht="12.2" customHeight="1" s="197">
      <c r="C155" s="265" t="inlineStr"/>
      <c r="H155" s="265" t="inlineStr">
        <is>
          <t xml:space="preserve">      в том числе:</t>
        </is>
      </c>
      <c r="Q155" s="265" t="inlineStr"/>
      <c r="R155" s="265" t="inlineStr"/>
      <c r="Z155" s="266" t="inlineStr"/>
    </row>
    <row r="156" ht="12.2" customHeight="1" s="197">
      <c r="C156" s="251" t="inlineStr"/>
      <c r="H156" s="251" t="inlineStr">
        <is>
          <t xml:space="preserve">      оплата труда (ОТ)</t>
        </is>
      </c>
      <c r="Q156" s="251" t="inlineStr"/>
      <c r="R156" s="251" t="inlineStr"/>
      <c r="Z156" s="264" t="n">
        <v>0</v>
      </c>
    </row>
    <row r="157" ht="12.2" customHeight="1" s="197">
      <c r="C157" s="251" t="inlineStr"/>
      <c r="H157" s="251" t="inlineStr">
        <is>
          <t xml:space="preserve">      эксплуатация машин и механизмов</t>
        </is>
      </c>
      <c r="Q157" s="251" t="inlineStr"/>
      <c r="R157" s="251" t="inlineStr"/>
      <c r="Z157" s="264" t="n">
        <v>0</v>
      </c>
    </row>
    <row r="158" ht="12.2" customHeight="1" s="197">
      <c r="C158" s="251" t="inlineStr"/>
      <c r="H158" s="251" t="inlineStr">
        <is>
          <t xml:space="preserve">      оплата труда машинистов (ОТм)            </t>
        </is>
      </c>
      <c r="Q158" s="251" t="inlineStr"/>
      <c r="R158" s="251" t="inlineStr"/>
      <c r="Z158" s="264" t="n">
        <v>0</v>
      </c>
    </row>
    <row r="159" ht="12.2" customHeight="1" s="197">
      <c r="C159" s="251" t="inlineStr"/>
      <c r="H159" s="251" t="inlineStr">
        <is>
          <t xml:space="preserve">      материальные ресурсы</t>
        </is>
      </c>
      <c r="Q159" s="251" t="inlineStr"/>
      <c r="R159" s="251" t="inlineStr"/>
      <c r="Z159" s="264" t="n">
        <v>0</v>
      </c>
    </row>
    <row r="160" ht="12.2" customHeight="1" s="197">
      <c r="C160" s="251" t="inlineStr"/>
      <c r="H160" s="251" t="inlineStr">
        <is>
          <t xml:space="preserve">      перевозка</t>
        </is>
      </c>
      <c r="Q160" s="251" t="inlineStr"/>
      <c r="R160" s="251" t="inlineStr"/>
      <c r="Z160" s="264" t="n">
        <v>0</v>
      </c>
    </row>
    <row r="161" ht="12.2" customHeight="1" s="197">
      <c r="C161" s="251" t="inlineStr"/>
      <c r="H161" s="251" t="inlineStr">
        <is>
          <t xml:space="preserve">   всего ФОТ</t>
        </is>
      </c>
      <c r="Q161" s="251" t="inlineStr"/>
      <c r="R161" s="251" t="inlineStr"/>
      <c r="Z161" s="264" t="n">
        <v>0</v>
      </c>
    </row>
    <row r="162" ht="12.2" customHeight="1" s="197">
      <c r="C162" s="251" t="inlineStr"/>
      <c r="H162" s="251" t="inlineStr">
        <is>
          <t xml:space="preserve">   всего накладные расходы</t>
        </is>
      </c>
      <c r="Q162" s="251" t="inlineStr"/>
      <c r="R162" s="251" t="inlineStr"/>
      <c r="Z162" s="264" t="n">
        <v>0</v>
      </c>
    </row>
    <row r="163" ht="12.2" customHeight="1" s="197">
      <c r="C163" s="251" t="inlineStr"/>
      <c r="H163" s="251" t="inlineStr">
        <is>
          <t xml:space="preserve">   всего сметная прибыль</t>
        </is>
      </c>
      <c r="Q163" s="251" t="inlineStr"/>
      <c r="R163" s="251" t="inlineStr"/>
      <c r="Z163" s="264" t="n">
        <v>0</v>
      </c>
    </row>
    <row r="164" ht="12.2" customHeight="1" s="197">
      <c r="C164" s="260" t="inlineStr"/>
      <c r="H164" s="260" t="inlineStr">
        <is>
          <t>ВСЕГО оборудование</t>
        </is>
      </c>
      <c r="Q164" s="260" t="inlineStr"/>
      <c r="R164" s="260" t="inlineStr"/>
      <c r="Z164" s="262" t="n">
        <v>0</v>
      </c>
    </row>
    <row r="165" ht="12.2" customHeight="1" s="197">
      <c r="C165" s="260" t="inlineStr"/>
      <c r="H165" s="260" t="inlineStr">
        <is>
          <t>ВСЕГО прочие затраты</t>
        </is>
      </c>
      <c r="Q165" s="260" t="inlineStr"/>
      <c r="R165" s="260" t="inlineStr"/>
      <c r="Z165" s="262" t="n">
        <v>0</v>
      </c>
    </row>
    <row r="166" ht="12.2" customHeight="1" s="197">
      <c r="C166" s="265" t="inlineStr"/>
      <c r="H166" s="265" t="inlineStr">
        <is>
          <t xml:space="preserve">   в том числе:</t>
        </is>
      </c>
      <c r="Q166" s="265" t="inlineStr"/>
      <c r="R166" s="265" t="inlineStr"/>
      <c r="Z166" s="266" t="inlineStr"/>
    </row>
    <row r="167" ht="12.2" customHeight="1" s="197">
      <c r="C167" s="251" t="inlineStr"/>
      <c r="H167" s="251" t="inlineStr">
        <is>
          <t xml:space="preserve">   прочие затраты</t>
        </is>
      </c>
      <c r="Q167" s="251" t="inlineStr"/>
      <c r="R167" s="251" t="inlineStr"/>
      <c r="Z167" s="264" t="n">
        <v>0</v>
      </c>
    </row>
    <row r="168" ht="12.2" customHeight="1" s="197">
      <c r="C168" s="251" t="inlineStr"/>
      <c r="H168" s="251" t="inlineStr">
        <is>
          <t xml:space="preserve">   прочие работы</t>
        </is>
      </c>
      <c r="Q168" s="251" t="inlineStr"/>
      <c r="R168" s="251" t="inlineStr"/>
      <c r="Z168" s="264" t="n">
        <v>0</v>
      </c>
    </row>
    <row r="169" ht="12.2" customHeight="1" s="197">
      <c r="C169" s="265" t="inlineStr"/>
      <c r="H169" s="265" t="inlineStr">
        <is>
          <t xml:space="preserve">   в том числе:</t>
        </is>
      </c>
      <c r="Q169" s="265" t="inlineStr"/>
      <c r="R169" s="265" t="inlineStr"/>
      <c r="Z169" s="266" t="inlineStr"/>
    </row>
    <row r="170" ht="12.2" customHeight="1" s="197">
      <c r="C170" s="251" t="inlineStr"/>
      <c r="H170" s="251" t="inlineStr">
        <is>
          <t xml:space="preserve">   всего прямые затраты</t>
        </is>
      </c>
      <c r="Q170" s="251" t="inlineStr"/>
      <c r="R170" s="251" t="inlineStr"/>
      <c r="Z170" s="264" t="n">
        <v>0</v>
      </c>
    </row>
    <row r="171" ht="12.2" customHeight="1" s="197">
      <c r="C171" s="265" t="inlineStr"/>
      <c r="H171" s="265" t="inlineStr">
        <is>
          <t xml:space="preserve">      в том числе:</t>
        </is>
      </c>
      <c r="Q171" s="265" t="inlineStr"/>
      <c r="R171" s="265" t="inlineStr"/>
      <c r="Z171" s="266" t="inlineStr"/>
    </row>
    <row r="172" ht="12.2" customHeight="1" s="197">
      <c r="C172" s="251" t="inlineStr"/>
      <c r="H172" s="251" t="inlineStr">
        <is>
          <t xml:space="preserve">      оплата труда (ОТ)</t>
        </is>
      </c>
      <c r="Q172" s="251" t="inlineStr"/>
      <c r="R172" s="251" t="inlineStr"/>
      <c r="Z172" s="264" t="n">
        <v>0</v>
      </c>
    </row>
    <row r="173" ht="12.2" customHeight="1" s="197">
      <c r="C173" s="251" t="inlineStr"/>
      <c r="H173" s="251" t="inlineStr">
        <is>
          <t xml:space="preserve">      эксплуатация машин и механизмов</t>
        </is>
      </c>
      <c r="Q173" s="251" t="inlineStr"/>
      <c r="R173" s="251" t="inlineStr"/>
      <c r="Z173" s="264" t="n">
        <v>0</v>
      </c>
    </row>
    <row r="174" ht="12.2" customHeight="1" s="197">
      <c r="C174" s="251" t="inlineStr"/>
      <c r="H174" s="251" t="inlineStr">
        <is>
          <t xml:space="preserve">      оплата труда машинистов (ОТм)            </t>
        </is>
      </c>
      <c r="Q174" s="251" t="inlineStr"/>
      <c r="R174" s="251" t="inlineStr"/>
      <c r="Z174" s="264" t="n">
        <v>0</v>
      </c>
    </row>
    <row r="175" ht="12.2" customHeight="1" s="197">
      <c r="C175" s="251" t="inlineStr"/>
      <c r="H175" s="251" t="inlineStr">
        <is>
          <t xml:space="preserve">      материальные ресурсы</t>
        </is>
      </c>
      <c r="Q175" s="251" t="inlineStr"/>
      <c r="R175" s="251" t="inlineStr"/>
      <c r="Z175" s="264" t="n">
        <v>0</v>
      </c>
    </row>
    <row r="176" ht="12.2" customHeight="1" s="197">
      <c r="C176" s="251" t="inlineStr"/>
      <c r="H176" s="251" t="inlineStr">
        <is>
          <t xml:space="preserve">      перевозка</t>
        </is>
      </c>
      <c r="Q176" s="251" t="inlineStr"/>
      <c r="R176" s="251" t="inlineStr"/>
      <c r="Z176" s="264" t="n">
        <v>0</v>
      </c>
    </row>
    <row r="177" ht="12.2" customHeight="1" s="197">
      <c r="C177" s="251" t="inlineStr"/>
      <c r="H177" s="251" t="inlineStr">
        <is>
          <t xml:space="preserve">   всего ФОТ</t>
        </is>
      </c>
      <c r="Q177" s="251" t="inlineStr"/>
      <c r="R177" s="251" t="inlineStr"/>
      <c r="Z177" s="264" t="n">
        <v>0</v>
      </c>
    </row>
    <row r="178" ht="12.2" customHeight="1" s="197">
      <c r="C178" s="251" t="inlineStr"/>
      <c r="H178" s="251" t="inlineStr">
        <is>
          <t xml:space="preserve">   всего накладные расходы</t>
        </is>
      </c>
      <c r="Q178" s="251" t="inlineStr"/>
      <c r="R178" s="251" t="inlineStr"/>
      <c r="Z178" s="264" t="n">
        <v>0</v>
      </c>
    </row>
    <row r="179" ht="12.2" customHeight="1" s="197">
      <c r="C179" s="251" t="inlineStr"/>
      <c r="H179" s="251" t="inlineStr">
        <is>
          <t xml:space="preserve">   всего сметная прибыль</t>
        </is>
      </c>
      <c r="Q179" s="251" t="inlineStr"/>
      <c r="R179" s="251" t="inlineStr"/>
      <c r="Z179" s="264" t="n">
        <v>0</v>
      </c>
    </row>
    <row r="180" ht="12.2" customHeight="1" s="197">
      <c r="C180" s="260" t="inlineStr"/>
      <c r="H180" s="260" t="inlineStr">
        <is>
          <t>ВСЕГО по акту</t>
        </is>
      </c>
      <c r="Q180" s="260" t="inlineStr"/>
      <c r="R180" s="260" t="inlineStr"/>
      <c r="Z180" s="262" t="n">
        <v>36967.31</v>
      </c>
    </row>
    <row r="181" ht="12.2" customHeight="1" s="197">
      <c r="C181" s="265" t="inlineStr"/>
      <c r="H181" s="265" t="inlineStr">
        <is>
          <t xml:space="preserve">   в том числе:</t>
        </is>
      </c>
      <c r="Q181" s="265" t="inlineStr"/>
      <c r="R181" s="265" t="inlineStr"/>
      <c r="Z181" s="266" t="inlineStr"/>
    </row>
    <row r="182" ht="12.2" customHeight="1" s="197">
      <c r="C182" s="251" t="inlineStr"/>
      <c r="H182" s="251" t="inlineStr">
        <is>
          <t xml:space="preserve">   Всего прямые затраты по акту</t>
        </is>
      </c>
      <c r="Q182" s="251" t="inlineStr"/>
      <c r="R182" s="251" t="inlineStr"/>
      <c r="Z182" s="264" t="n">
        <v>15467.33</v>
      </c>
    </row>
    <row r="183" ht="12.2" customHeight="1" s="197">
      <c r="C183" s="265" t="inlineStr"/>
      <c r="H183" s="265" t="inlineStr">
        <is>
          <t xml:space="preserve">      в том числе:</t>
        </is>
      </c>
      <c r="Q183" s="265" t="inlineStr"/>
      <c r="R183" s="265" t="inlineStr"/>
      <c r="Z183" s="266" t="inlineStr"/>
    </row>
    <row r="184" ht="12.2" customHeight="1" s="197">
      <c r="C184" s="251" t="inlineStr"/>
      <c r="H184" s="251" t="inlineStr">
        <is>
          <t xml:space="preserve">      оплата труда (ОТ)</t>
        </is>
      </c>
      <c r="Q184" s="251" t="inlineStr"/>
      <c r="R184" s="251" t="inlineStr"/>
      <c r="Z184" s="264" t="n">
        <v>13872.83</v>
      </c>
    </row>
    <row r="185" ht="12.2" customHeight="1" s="197">
      <c r="C185" s="251" t="inlineStr"/>
      <c r="H185" s="251" t="inlineStr">
        <is>
          <t xml:space="preserve">      эксплуатация машин и механизмов</t>
        </is>
      </c>
      <c r="Q185" s="251" t="inlineStr"/>
      <c r="R185" s="251" t="inlineStr"/>
      <c r="Z185" s="264" t="n">
        <v>6.09</v>
      </c>
    </row>
    <row r="186" ht="12.2" customHeight="1" s="197">
      <c r="C186" s="251" t="inlineStr"/>
      <c r="H186" s="251" t="inlineStr">
        <is>
          <t xml:space="preserve">      оплата труда машинистов (ОТм)            </t>
        </is>
      </c>
      <c r="Q186" s="251" t="inlineStr"/>
      <c r="R186" s="251" t="inlineStr"/>
      <c r="Z186" s="264" t="n">
        <v>5.07</v>
      </c>
    </row>
    <row r="187" ht="12.2" customHeight="1" s="197">
      <c r="C187" s="251" t="inlineStr"/>
      <c r="H187" s="251" t="inlineStr">
        <is>
          <t xml:space="preserve">      материальные ресурсы</t>
        </is>
      </c>
      <c r="Q187" s="251" t="inlineStr"/>
      <c r="R187" s="251" t="inlineStr"/>
      <c r="Z187" s="264" t="n">
        <v>1583.34</v>
      </c>
    </row>
    <row r="188" ht="12.2" customHeight="1" s="197">
      <c r="C188" s="251" t="inlineStr"/>
      <c r="H188" s="251" t="inlineStr">
        <is>
          <t xml:space="preserve">      перевозка</t>
        </is>
      </c>
      <c r="Q188" s="251" t="inlineStr"/>
      <c r="R188" s="251" t="inlineStr"/>
      <c r="Z188" s="264" t="n">
        <v>0</v>
      </c>
    </row>
    <row r="189" ht="12.2" customHeight="1" s="197">
      <c r="C189" s="251" t="inlineStr"/>
      <c r="H189" s="251" t="inlineStr">
        <is>
          <t xml:space="preserve">   Всего ФОТ</t>
        </is>
      </c>
      <c r="Q189" s="251" t="inlineStr"/>
      <c r="R189" s="251" t="inlineStr"/>
      <c r="Z189" s="264" t="n">
        <v>13877.9</v>
      </c>
    </row>
    <row r="190" ht="12.2" customHeight="1" s="197">
      <c r="C190" s="251" t="inlineStr"/>
      <c r="H190" s="251" t="inlineStr">
        <is>
          <t xml:space="preserve">   Всего накладные расходы</t>
        </is>
      </c>
      <c r="Q190" s="251" t="inlineStr"/>
      <c r="R190" s="251" t="inlineStr"/>
      <c r="Z190" s="264" t="n">
        <v>14286.16</v>
      </c>
    </row>
    <row r="191" ht="12.2" customHeight="1" s="197">
      <c r="C191" s="251" t="inlineStr"/>
      <c r="H191" s="251" t="inlineStr">
        <is>
          <t xml:space="preserve">   Всего сметная прибыль</t>
        </is>
      </c>
      <c r="Q191" s="251" t="inlineStr"/>
      <c r="R191" s="251" t="inlineStr"/>
      <c r="Z191" s="264" t="n">
        <v>7213.82</v>
      </c>
    </row>
    <row r="192" ht="12.2" customHeight="1" s="197">
      <c r="C192" s="251" t="inlineStr"/>
      <c r="H192" s="251" t="inlineStr">
        <is>
          <t xml:space="preserve">   Всего оборудование</t>
        </is>
      </c>
      <c r="Q192" s="251" t="inlineStr"/>
      <c r="R192" s="251" t="inlineStr"/>
      <c r="Z192" s="264" t="n">
        <v>0</v>
      </c>
    </row>
    <row r="193" ht="12.2" customHeight="1" s="197">
      <c r="C193" s="251" t="inlineStr"/>
      <c r="H193" s="251" t="inlineStr">
        <is>
          <t xml:space="preserve">   Всего прочие затраты</t>
        </is>
      </c>
      <c r="Q193" s="251" t="inlineStr"/>
      <c r="R193" s="251" t="inlineStr"/>
      <c r="Z193" s="264" t="n">
        <v>0</v>
      </c>
    </row>
    <row r="194" ht="12.2" customHeight="1" s="197">
      <c r="C194" s="276" t="inlineStr"/>
      <c r="H194" s="276" t="inlineStr">
        <is>
          <t>Справочно</t>
        </is>
      </c>
      <c r="Q194" s="276" t="inlineStr"/>
      <c r="R194" s="276" t="inlineStr"/>
      <c r="Z194" s="279" t="inlineStr"/>
    </row>
    <row r="195" ht="12.2" customHeight="1" s="197">
      <c r="C195" s="251" t="inlineStr"/>
      <c r="H195" s="251" t="inlineStr">
        <is>
          <t xml:space="preserve">   материальные ресурсы, отсутствующие в ФРСН </t>
        </is>
      </c>
      <c r="Q195" s="251" t="inlineStr"/>
      <c r="R195" s="251" t="inlineStr"/>
      <c r="Z195" s="264" t="n">
        <v>0</v>
      </c>
    </row>
    <row r="196" ht="12.2" customHeight="1" s="197">
      <c r="C196" s="251" t="inlineStr"/>
      <c r="H196" s="251" t="inlineStr">
        <is>
          <t xml:space="preserve">   оборудование, отсутствующее в ФРСН </t>
        </is>
      </c>
      <c r="Q196" s="251" t="inlineStr"/>
      <c r="R196" s="251" t="inlineStr"/>
      <c r="Z196" s="264" t="n">
        <v>0</v>
      </c>
    </row>
    <row r="197" ht="12.2" customHeight="1" s="197">
      <c r="C197" s="251" t="inlineStr"/>
      <c r="H197" s="251" t="inlineStr">
        <is>
          <t xml:space="preserve">   затраты труда рабочих</t>
        </is>
      </c>
      <c r="Q197" s="235" t="inlineStr">
        <is>
          <t>30,1845</t>
        </is>
      </c>
      <c r="R197" s="251" t="inlineStr"/>
      <c r="Z197" s="235" t="inlineStr"/>
    </row>
    <row r="198" ht="12.2" customHeight="1" s="197">
      <c r="C198" s="251" t="inlineStr"/>
      <c r="H198" s="251" t="inlineStr">
        <is>
          <t xml:space="preserve">   затраты труда машинистов</t>
        </is>
      </c>
      <c r="Q198" s="235" t="inlineStr">
        <is>
          <t>0,0095</t>
        </is>
      </c>
      <c r="R198" s="251" t="inlineStr"/>
      <c r="Z198" s="235" t="inlineStr"/>
    </row>
    <row r="199" ht="12.2" customHeight="1" s="197">
      <c r="C199" s="251" t="inlineStr"/>
      <c r="H199" s="251" t="inlineStr">
        <is>
          <t>НДС, %</t>
        </is>
      </c>
      <c r="Q199" s="235" t="inlineStr">
        <is>
          <t>20,00</t>
        </is>
      </c>
      <c r="R199" s="251" t="inlineStr"/>
      <c r="Z199" s="264" t="n">
        <v>7393.46</v>
      </c>
    </row>
    <row r="200" ht="12.2" customHeight="1" s="197">
      <c r="C200" s="260" t="inlineStr"/>
      <c r="H200" s="260" t="inlineStr">
        <is>
          <t>Всего</t>
        </is>
      </c>
      <c r="Q200" s="260" t="inlineStr"/>
      <c r="R200" s="260" t="inlineStr"/>
      <c r="Z200" s="262" t="n">
        <v>44360.77</v>
      </c>
    </row>
    <row r="201" ht="24.6" customHeight="1" s="197">
      <c r="A201" s="251" t="inlineStr"/>
    </row>
    <row r="202" ht="36.75" customHeight="1" s="197">
      <c r="A202" s="280" t="inlineStr">
        <is>
          <t xml:space="preserve">Сдал: </t>
        </is>
      </c>
      <c r="F202" s="281" t="inlineStr">
        <is>
          <t xml:space="preserve"> Генеральный директор </t>
        </is>
      </c>
      <c r="G202" s="242" t="n"/>
      <c r="H202" s="242" t="n"/>
      <c r="I202" s="280" t="inlineStr">
        <is>
          <t xml:space="preserve"> _____________________ </t>
        </is>
      </c>
      <c r="J202" s="281" t="inlineStr">
        <is>
          <t xml:space="preserve"> </t>
        </is>
      </c>
      <c r="K202" s="242" t="n"/>
      <c r="L202" s="242" t="n"/>
      <c r="M202" s="242" t="n"/>
      <c r="N202" s="242" t="n"/>
      <c r="O202" s="242" t="n"/>
      <c r="P202" s="242" t="n"/>
      <c r="Q202" s="242" t="n"/>
      <c r="R202" s="242" t="n"/>
      <c r="S202" s="242" t="n"/>
      <c r="T202" s="242" t="n"/>
      <c r="U202" s="242" t="n"/>
      <c r="V202" s="242" t="n"/>
      <c r="W202" s="242" t="n"/>
      <c r="X202" s="242" t="n"/>
      <c r="Y202" s="242" t="n"/>
      <c r="Z202" s="242" t="n"/>
      <c r="AA202" s="242" t="n"/>
      <c r="AB202" s="242" t="n"/>
      <c r="AC202" s="242" t="n"/>
    </row>
    <row r="203" ht="12.2" customHeight="1" s="197">
      <c r="A203" s="251" t="inlineStr"/>
      <c r="F203" s="251" t="inlineStr">
        <is>
          <t xml:space="preserve">      (должность)</t>
        </is>
      </c>
      <c r="I203" s="251" t="inlineStr">
        <is>
          <t xml:space="preserve">       (подпись)</t>
        </is>
      </c>
      <c r="J203" s="251" t="inlineStr">
        <is>
          <t xml:space="preserve"> (расшифровка подписи)</t>
        </is>
      </c>
    </row>
    <row r="204" ht="14.85" customHeight="1" s="197">
      <c r="A204" s="282" t="inlineStr">
        <is>
          <t xml:space="preserve">    М.П.</t>
        </is>
      </c>
    </row>
    <row r="205" ht="36.75" customHeight="1" s="197">
      <c r="A205" s="280" t="inlineStr">
        <is>
          <t xml:space="preserve">Принял: </t>
        </is>
      </c>
      <c r="F205" s="281" t="inlineStr">
        <is>
          <t xml:space="preserve">  </t>
        </is>
      </c>
      <c r="G205" s="242" t="n"/>
      <c r="H205" s="242" t="n"/>
      <c r="I205" s="280" t="inlineStr">
        <is>
          <t xml:space="preserve"> _____________________ </t>
        </is>
      </c>
      <c r="J205" s="281" t="inlineStr">
        <is>
          <t xml:space="preserve"> </t>
        </is>
      </c>
      <c r="K205" s="242" t="n"/>
      <c r="L205" s="242" t="n"/>
      <c r="M205" s="242" t="n"/>
      <c r="N205" s="242" t="n"/>
      <c r="O205" s="242" t="n"/>
      <c r="P205" s="242" t="n"/>
      <c r="Q205" s="242" t="n"/>
      <c r="R205" s="242" t="n"/>
      <c r="S205" s="242" t="n"/>
      <c r="T205" s="242" t="n"/>
      <c r="U205" s="242" t="n"/>
      <c r="V205" s="242" t="n"/>
      <c r="W205" s="242" t="n"/>
      <c r="X205" s="242" t="n"/>
      <c r="Y205" s="242" t="n"/>
      <c r="Z205" s="242" t="n"/>
      <c r="AA205" s="242" t="n"/>
      <c r="AB205" s="242" t="n"/>
      <c r="AC205" s="242" t="n"/>
    </row>
    <row r="206" ht="12.2" customHeight="1" s="197">
      <c r="A206" s="251" t="inlineStr"/>
      <c r="F206" s="251" t="inlineStr">
        <is>
          <t xml:space="preserve">      (должность)</t>
        </is>
      </c>
      <c r="I206" s="251" t="inlineStr">
        <is>
          <t xml:space="preserve">       (подпись)</t>
        </is>
      </c>
      <c r="J206" s="251" t="inlineStr">
        <is>
          <t xml:space="preserve"> (расшифровка подписи)</t>
        </is>
      </c>
    </row>
    <row r="207" ht="14.85" customHeight="1" s="197">
      <c r="A207" s="282" t="inlineStr">
        <is>
          <t xml:space="preserve">    М.П.</t>
        </is>
      </c>
    </row>
  </sheetData>
  <mergeCells count="1386">
    <mergeCell ref="T60:W60"/>
    <mergeCell ref="T52:W52"/>
    <mergeCell ref="AA4:AC4"/>
    <mergeCell ref="H109:J109"/>
    <mergeCell ref="Q187"/>
    <mergeCell ref="B62"/>
    <mergeCell ref="H75:J75"/>
    <mergeCell ref="H111:J111"/>
    <mergeCell ref="B72"/>
    <mergeCell ref="Q195"/>
    <mergeCell ref="Q189"/>
    <mergeCell ref="H170:P170"/>
    <mergeCell ref="H104:J104"/>
    <mergeCell ref="S42"/>
    <mergeCell ref="T42:W42"/>
    <mergeCell ref="S77"/>
    <mergeCell ref="T78:W78"/>
    <mergeCell ref="H172:P172"/>
    <mergeCell ref="A204:AC204"/>
    <mergeCell ref="T50:W50"/>
    <mergeCell ref="Q190"/>
    <mergeCell ref="T44:W44"/>
    <mergeCell ref="H171:P171"/>
    <mergeCell ref="T80:W80"/>
    <mergeCell ref="H165:P165"/>
    <mergeCell ref="B88"/>
    <mergeCell ref="B82"/>
    <mergeCell ref="T73:W73"/>
    <mergeCell ref="B83"/>
    <mergeCell ref="D12:V12"/>
    <mergeCell ref="S88"/>
    <mergeCell ref="C85:G85"/>
    <mergeCell ref="C112:G112"/>
    <mergeCell ref="G9:V9"/>
    <mergeCell ref="K41:L41"/>
    <mergeCell ref="A51"/>
    <mergeCell ref="C84:G84"/>
    <mergeCell ref="R29"/>
    <mergeCell ref="S90"/>
    <mergeCell ref="X74:Y74"/>
    <mergeCell ref="G11:V11"/>
    <mergeCell ref="X68:Y68"/>
    <mergeCell ref="K43:L43"/>
    <mergeCell ref="X69:Y69"/>
    <mergeCell ref="R51"/>
    <mergeCell ref="H121:P121"/>
    <mergeCell ref="A35"/>
    <mergeCell ref="A62"/>
    <mergeCell ref="C104:G104"/>
    <mergeCell ref="H123:P123"/>
    <mergeCell ref="S27:S28"/>
    <mergeCell ref="A72"/>
    <mergeCell ref="A28"/>
    <mergeCell ref="K54:L54"/>
    <mergeCell ref="A1:AC1"/>
    <mergeCell ref="X87:Y87"/>
    <mergeCell ref="H105:J105"/>
    <mergeCell ref="R44"/>
    <mergeCell ref="H71:J71"/>
    <mergeCell ref="A61"/>
    <mergeCell ref="A88"/>
    <mergeCell ref="H107:J107"/>
    <mergeCell ref="A54"/>
    <mergeCell ref="S38"/>
    <mergeCell ref="A90"/>
    <mergeCell ref="T74:W74"/>
    <mergeCell ref="H134:P134"/>
    <mergeCell ref="S40"/>
    <mergeCell ref="P39"/>
    <mergeCell ref="C72:G72"/>
    <mergeCell ref="Q186"/>
    <mergeCell ref="T40:W40"/>
    <mergeCell ref="C186:G186"/>
    <mergeCell ref="X115:Y115"/>
    <mergeCell ref="B84"/>
    <mergeCell ref="R97"/>
    <mergeCell ref="T69:W69"/>
    <mergeCell ref="H169:P169"/>
    <mergeCell ref="S35"/>
    <mergeCell ref="K110:L110"/>
    <mergeCell ref="B79"/>
    <mergeCell ref="Z84:AC84"/>
    <mergeCell ref="H194:P194"/>
    <mergeCell ref="C54:G54"/>
    <mergeCell ref="M45:O45"/>
    <mergeCell ref="B81"/>
    <mergeCell ref="Z86:AC86"/>
    <mergeCell ref="S93"/>
    <mergeCell ref="C56:G56"/>
    <mergeCell ref="M47:O47"/>
    <mergeCell ref="H195:P195"/>
    <mergeCell ref="H189:P189"/>
    <mergeCell ref="S86"/>
    <mergeCell ref="T87:W87"/>
    <mergeCell ref="AB16"/>
    <mergeCell ref="P52"/>
    <mergeCell ref="T59:W59"/>
    <mergeCell ref="K39:L39"/>
    <mergeCell ref="R108"/>
    <mergeCell ref="H197:P197"/>
    <mergeCell ref="T89:W89"/>
    <mergeCell ref="T88:W88"/>
    <mergeCell ref="U21"/>
    <mergeCell ref="Q46"/>
    <mergeCell ref="R176:Y176"/>
    <mergeCell ref="Q48"/>
    <mergeCell ref="S104"/>
    <mergeCell ref="R178:Y178"/>
    <mergeCell ref="S114"/>
    <mergeCell ref="Q41"/>
    <mergeCell ref="T115:W115"/>
    <mergeCell ref="S106"/>
    <mergeCell ref="Q43"/>
    <mergeCell ref="H59:R59"/>
    <mergeCell ref="S105"/>
    <mergeCell ref="Z101:AC101"/>
    <mergeCell ref="R38"/>
    <mergeCell ref="C129:G129"/>
    <mergeCell ref="A25:AC25"/>
    <mergeCell ref="K52:L52"/>
    <mergeCell ref="R40"/>
    <mergeCell ref="A84"/>
    <mergeCell ref="H78:J78"/>
    <mergeCell ref="K53:L53"/>
    <mergeCell ref="H44:J44"/>
    <mergeCell ref="Q69"/>
    <mergeCell ref="R35"/>
    <mergeCell ref="A86"/>
    <mergeCell ref="C155:G155"/>
    <mergeCell ref="Z29:AC29"/>
    <mergeCell ref="K78:L78"/>
    <mergeCell ref="H73:J73"/>
    <mergeCell ref="R66"/>
    <mergeCell ref="L24:N24"/>
    <mergeCell ref="Z181:AC181"/>
    <mergeCell ref="C157:G157"/>
    <mergeCell ref="X111:Y111"/>
    <mergeCell ref="C151:G151"/>
    <mergeCell ref="H132:P132"/>
    <mergeCell ref="A81"/>
    <mergeCell ref="K80:L80"/>
    <mergeCell ref="R93"/>
    <mergeCell ref="K79:L79"/>
    <mergeCell ref="C152:G152"/>
    <mergeCell ref="Q87"/>
    <mergeCell ref="S62"/>
    <mergeCell ref="Z163:AC163"/>
    <mergeCell ref="Z57:AC57"/>
    <mergeCell ref="Z171:AC171"/>
    <mergeCell ref="P46"/>
    <mergeCell ref="M43:O43"/>
    <mergeCell ref="Q82"/>
    <mergeCell ref="R121:Y121"/>
    <mergeCell ref="S57"/>
    <mergeCell ref="P48"/>
    <mergeCell ref="C81:G81"/>
    <mergeCell ref="C170:G170"/>
    <mergeCell ref="R112"/>
    <mergeCell ref="R106"/>
    <mergeCell ref="P43"/>
    <mergeCell ref="R105"/>
    <mergeCell ref="H108:J108"/>
    <mergeCell ref="Q169"/>
    <mergeCell ref="B63"/>
    <mergeCell ref="R107"/>
    <mergeCell ref="S75"/>
    <mergeCell ref="P74"/>
    <mergeCell ref="R174:Y174"/>
    <mergeCell ref="S110"/>
    <mergeCell ref="A8:F8"/>
    <mergeCell ref="C26:G28"/>
    <mergeCell ref="Q164"/>
    <mergeCell ref="M62:O62"/>
    <mergeCell ref="A10:F10"/>
    <mergeCell ref="Z97:AC97"/>
    <mergeCell ref="S70"/>
    <mergeCell ref="P69"/>
    <mergeCell ref="T106:W106"/>
    <mergeCell ref="M87:O87"/>
    <mergeCell ref="A23:AC23"/>
    <mergeCell ref="R200:Y200"/>
    <mergeCell ref="A17:Z17"/>
    <mergeCell ref="Q180"/>
    <mergeCell ref="Z121:AC121"/>
    <mergeCell ref="M88:O88"/>
    <mergeCell ref="M82:O82"/>
    <mergeCell ref="Q188"/>
    <mergeCell ref="Q65"/>
    <mergeCell ref="Z123:AC123"/>
    <mergeCell ref="M54:O54"/>
    <mergeCell ref="M90:O90"/>
    <mergeCell ref="P87"/>
    <mergeCell ref="Z152:AC152"/>
    <mergeCell ref="P89"/>
    <mergeCell ref="V20:Z20"/>
    <mergeCell ref="Z118:AC118"/>
    <mergeCell ref="R64"/>
    <mergeCell ref="R57"/>
    <mergeCell ref="C148:G148"/>
    <mergeCell ref="Q83"/>
    <mergeCell ref="Q85"/>
    <mergeCell ref="Z134:AC134"/>
    <mergeCell ref="Z47:AC47"/>
    <mergeCell ref="Q122"/>
    <mergeCell ref="Q78"/>
    <mergeCell ref="W12:Z12"/>
    <mergeCell ref="K87:L87"/>
    <mergeCell ref="Q80"/>
    <mergeCell ref="R75"/>
    <mergeCell ref="Z48:AC48"/>
    <mergeCell ref="C166:G166"/>
    <mergeCell ref="Z162:AC162"/>
    <mergeCell ref="K89:L89"/>
    <mergeCell ref="Q138"/>
    <mergeCell ref="K88:L88"/>
    <mergeCell ref="Q104"/>
    <mergeCell ref="Q140"/>
    <mergeCell ref="K90:L90"/>
    <mergeCell ref="Q106"/>
    <mergeCell ref="R145:Y145"/>
    <mergeCell ref="C192:G192"/>
    <mergeCell ref="Z66:AC66"/>
    <mergeCell ref="K115:L115"/>
    <mergeCell ref="P72"/>
    <mergeCell ref="AA8:AC8"/>
    <mergeCell ref="R147:Y147"/>
    <mergeCell ref="C194:G194"/>
    <mergeCell ref="P65"/>
    <mergeCell ref="R140:Y140"/>
    <mergeCell ref="AA10:AC10"/>
    <mergeCell ref="K116:L116"/>
    <mergeCell ref="T51:W51"/>
    <mergeCell ref="C189:G189"/>
    <mergeCell ref="C34:G34"/>
    <mergeCell ref="M84:O84"/>
    <mergeCell ref="Q178"/>
    <mergeCell ref="Q153"/>
    <mergeCell ref="M86:O86"/>
    <mergeCell ref="P83"/>
    <mergeCell ref="M80:O80"/>
    <mergeCell ref="R158:Y158"/>
    <mergeCell ref="Z148:AC148"/>
    <mergeCell ref="R193:Y193"/>
    <mergeCell ref="P85"/>
    <mergeCell ref="AA21:AC21"/>
    <mergeCell ref="R160:Y160"/>
    <mergeCell ref="P84"/>
    <mergeCell ref="A13:C13"/>
    <mergeCell ref="T35:W35"/>
    <mergeCell ref="X27:Y28"/>
    <mergeCell ref="P80"/>
    <mergeCell ref="F205:H205"/>
    <mergeCell ref="R184:Y184"/>
    <mergeCell ref="Z130:AC130"/>
    <mergeCell ref="M70:O70"/>
    <mergeCell ref="A202:E202"/>
    <mergeCell ref="Z132:AC132"/>
    <mergeCell ref="H188:P188"/>
    <mergeCell ref="W8:Z8"/>
    <mergeCell ref="P106"/>
    <mergeCell ref="E6:V6"/>
    <mergeCell ref="R27:R28"/>
    <mergeCell ref="Q136"/>
    <mergeCell ref="H53:J53"/>
    <mergeCell ref="Q131"/>
    <mergeCell ref="Z189:AC189"/>
    <mergeCell ref="B29"/>
    <mergeCell ref="H55:J55"/>
    <mergeCell ref="X84:Y84"/>
    <mergeCell ref="R136:Y136"/>
    <mergeCell ref="AA6:AC6"/>
    <mergeCell ref="X86:Y86"/>
    <mergeCell ref="C185:G185"/>
    <mergeCell ref="H138:P138"/>
    <mergeCell ref="Q149"/>
    <mergeCell ref="H37:J37"/>
    <mergeCell ref="Q115"/>
    <mergeCell ref="H140:P140"/>
    <mergeCell ref="Q151"/>
    <mergeCell ref="A45"/>
    <mergeCell ref="P56"/>
    <mergeCell ref="S39"/>
    <mergeCell ref="X104:Y104"/>
    <mergeCell ref="AA17:AC17"/>
    <mergeCell ref="B42"/>
    <mergeCell ref="X106:Y106"/>
    <mergeCell ref="B44"/>
    <mergeCell ref="A105"/>
    <mergeCell ref="R151:Y151"/>
    <mergeCell ref="R180:Y180"/>
    <mergeCell ref="B37"/>
    <mergeCell ref="Q170"/>
    <mergeCell ref="F203:H203"/>
    <mergeCell ref="R182:Y182"/>
    <mergeCell ref="Y15:Z15"/>
    <mergeCell ref="C45:G45"/>
    <mergeCell ref="R20:T20"/>
    <mergeCell ref="Q172"/>
    <mergeCell ref="H153:P153"/>
    <mergeCell ref="S50"/>
    <mergeCell ref="X34:Y34"/>
    <mergeCell ref="C47:G47"/>
    <mergeCell ref="H186:P186"/>
    <mergeCell ref="R177:Y177"/>
    <mergeCell ref="C40:G40"/>
    <mergeCell ref="X29:Y29"/>
    <mergeCell ref="A7:D7"/>
    <mergeCell ref="C71:G71"/>
    <mergeCell ref="X54:Y54"/>
    <mergeCell ref="T104:W104"/>
    <mergeCell ref="Z185:AC185"/>
    <mergeCell ref="X56:Y56"/>
    <mergeCell ref="H51:J51"/>
    <mergeCell ref="T70:W70"/>
    <mergeCell ref="A16:X16"/>
    <mergeCell ref="T105:W105"/>
    <mergeCell ref="H50:R50"/>
    <mergeCell ref="Z186:AC186"/>
    <mergeCell ref="X57:Y57"/>
    <mergeCell ref="K51:L51"/>
    <mergeCell ref="T107:W107"/>
    <mergeCell ref="R39"/>
    <mergeCell ref="B109"/>
    <mergeCell ref="H136:P136"/>
    <mergeCell ref="H35:J35"/>
    <mergeCell ref="X75:Y75"/>
    <mergeCell ref="Z198:AC198"/>
    <mergeCell ref="H89:J89"/>
    <mergeCell ref="H61:J61"/>
    <mergeCell ref="H88:J88"/>
    <mergeCell ref="X97:Y97"/>
    <mergeCell ref="B41"/>
    <mergeCell ref="B35"/>
    <mergeCell ref="Z46:AC46"/>
    <mergeCell ref="Z40:AC40"/>
    <mergeCell ref="H90:J90"/>
    <mergeCell ref="H155:P155"/>
    <mergeCell ref="H149:P149"/>
    <mergeCell ref="C168:G168"/>
    <mergeCell ref="S46"/>
    <mergeCell ref="R173:Y173"/>
    <mergeCell ref="Z41:AC41"/>
    <mergeCell ref="H151:P151"/>
    <mergeCell ref="S48"/>
    <mergeCell ref="H150:P150"/>
    <mergeCell ref="Z43:AC43"/>
    <mergeCell ref="B61"/>
    <mergeCell ref="Q184"/>
    <mergeCell ref="B69"/>
    <mergeCell ref="C69:G69"/>
    <mergeCell ref="M60:O60"/>
    <mergeCell ref="H177:P177"/>
    <mergeCell ref="S74"/>
    <mergeCell ref="C62:G62"/>
    <mergeCell ref="A109"/>
    <mergeCell ref="K108:L108"/>
    <mergeCell ref="C98:G98"/>
    <mergeCell ref="C187:G187"/>
    <mergeCell ref="C64:G64"/>
    <mergeCell ref="X53:Y53"/>
    <mergeCell ref="C93:G93"/>
    <mergeCell ref="X47:Y47"/>
    <mergeCell ref="T97:W97"/>
    <mergeCell ref="B105"/>
    <mergeCell ref="X55:Y55"/>
    <mergeCell ref="B107"/>
    <mergeCell ref="Q29"/>
    <mergeCell ref="Z112:AC112"/>
    <mergeCell ref="C82:G82"/>
    <mergeCell ref="K38:L38"/>
    <mergeCell ref="H196:P196"/>
    <mergeCell ref="S87"/>
    <mergeCell ref="X71:Y71"/>
    <mergeCell ref="C111:G111"/>
    <mergeCell ref="C83:G83"/>
    <mergeCell ref="S89"/>
    <mergeCell ref="A43"/>
    <mergeCell ref="R46"/>
    <mergeCell ref="Z138:AC138"/>
    <mergeCell ref="X66:Y66"/>
    <mergeCell ref="K35:L35"/>
    <mergeCell ref="T116:W116"/>
    <mergeCell ref="H84:J84"/>
    <mergeCell ref="R48"/>
    <mergeCell ref="P104"/>
    <mergeCell ref="C137:G137"/>
    <mergeCell ref="H86:J86"/>
    <mergeCell ref="R79"/>
    <mergeCell ref="Q42"/>
    <mergeCell ref="A69"/>
    <mergeCell ref="R74"/>
    <mergeCell ref="Z39:AC39"/>
    <mergeCell ref="H148:P148"/>
    <mergeCell ref="Q129"/>
    <mergeCell ref="Z153:AC153"/>
    <mergeCell ref="R92"/>
    <mergeCell ref="Z65:AC65"/>
    <mergeCell ref="C183:G183"/>
    <mergeCell ref="S72"/>
    <mergeCell ref="A107"/>
    <mergeCell ref="P29"/>
    <mergeCell ref="A82"/>
    <mergeCell ref="K106:L106"/>
    <mergeCell ref="R94"/>
    <mergeCell ref="C176:G176"/>
    <mergeCell ref="K105:L105"/>
    <mergeCell ref="R87"/>
    <mergeCell ref="C178:G178"/>
    <mergeCell ref="T68:W68"/>
    <mergeCell ref="K107:L107"/>
    <mergeCell ref="R89"/>
    <mergeCell ref="B78"/>
    <mergeCell ref="Z83:AC83"/>
    <mergeCell ref="AA16"/>
    <mergeCell ref="R155:Y155"/>
    <mergeCell ref="H192:P192"/>
    <mergeCell ref="S83"/>
    <mergeCell ref="Z78:AC78"/>
    <mergeCell ref="S85"/>
    <mergeCell ref="P42"/>
    <mergeCell ref="K29:L29"/>
    <mergeCell ref="H187:P187"/>
    <mergeCell ref="Z80:AC80"/>
    <mergeCell ref="H68:R68"/>
    <mergeCell ref="Z136:AC136"/>
    <mergeCell ref="Q55"/>
    <mergeCell ref="R175:Y175"/>
    <mergeCell ref="S111"/>
    <mergeCell ref="Q38"/>
    <mergeCell ref="C135:G135"/>
    <mergeCell ref="Z131:AC131"/>
    <mergeCell ref="Q40"/>
    <mergeCell ref="M98:O98"/>
    <mergeCell ref="K57:L57"/>
    <mergeCell ref="C136:G136"/>
    <mergeCell ref="C92:G92"/>
    <mergeCell ref="P97"/>
    <mergeCell ref="R72"/>
    <mergeCell ref="Q66"/>
    <mergeCell ref="H114:R114"/>
    <mergeCell ref="Z149:AC149"/>
    <mergeCell ref="M116:O116"/>
    <mergeCell ref="C146:G146"/>
    <mergeCell ref="K75:L75"/>
    <mergeCell ref="Z151:AC151"/>
    <mergeCell ref="R63"/>
    <mergeCell ref="Z178:AC178"/>
    <mergeCell ref="R101:Y101"/>
    <mergeCell ref="A78"/>
    <mergeCell ref="Z150:AC150"/>
    <mergeCell ref="Z144:AC144"/>
    <mergeCell ref="K70:L70"/>
    <mergeCell ref="A80"/>
    <mergeCell ref="R83"/>
    <mergeCell ref="Z175:AC175"/>
    <mergeCell ref="C174:G174"/>
    <mergeCell ref="C149:G149"/>
    <mergeCell ref="H41:J41"/>
    <mergeCell ref="R91"/>
    <mergeCell ref="R85"/>
    <mergeCell ref="R127:Y127"/>
    <mergeCell ref="W9:Z9"/>
    <mergeCell ref="Q148"/>
    <mergeCell ref="H129:P129"/>
    <mergeCell ref="M40:O40"/>
    <mergeCell ref="S54"/>
    <mergeCell ref="C200:G200"/>
    <mergeCell ref="Z74:AC74"/>
    <mergeCell ref="P55"/>
    <mergeCell ref="S56"/>
    <mergeCell ref="M41:O41"/>
    <mergeCell ref="C44:G44"/>
    <mergeCell ref="P38"/>
    <mergeCell ref="R111"/>
    <mergeCell ref="P40"/>
    <mergeCell ref="Q130"/>
    <mergeCell ref="H185:P185"/>
    <mergeCell ref="M66:O66"/>
    <mergeCell ref="Q166"/>
    <mergeCell ref="A2:AC2"/>
    <mergeCell ref="R104"/>
    <mergeCell ref="Q132"/>
    <mergeCell ref="Q159"/>
    <mergeCell ref="I206"/>
    <mergeCell ref="A5:Z5"/>
    <mergeCell ref="R171:Y171"/>
    <mergeCell ref="F202:H202"/>
    <mergeCell ref="R181:Y181"/>
    <mergeCell ref="Q167"/>
    <mergeCell ref="O24:AC24"/>
    <mergeCell ref="Q161"/>
    <mergeCell ref="M69:O69"/>
    <mergeCell ref="P66"/>
    <mergeCell ref="R166:Y166"/>
    <mergeCell ref="Q192"/>
    <mergeCell ref="Z87:AC87"/>
    <mergeCell ref="P93"/>
    <mergeCell ref="K55:L55"/>
    <mergeCell ref="Z89:AC89"/>
    <mergeCell ref="H198:P198"/>
    <mergeCell ref="Q179"/>
    <mergeCell ref="Q62"/>
    <mergeCell ref="B115"/>
    <mergeCell ref="R192:Y192"/>
    <mergeCell ref="Q64"/>
    <mergeCell ref="X45:Y45"/>
    <mergeCell ref="J205:AC205"/>
    <mergeCell ref="R194:Y194"/>
    <mergeCell ref="Z115:AC115"/>
    <mergeCell ref="Q93"/>
    <mergeCell ref="M107:O107"/>
    <mergeCell ref="A15:X15"/>
    <mergeCell ref="K66:L66"/>
    <mergeCell ref="X46:Y46"/>
    <mergeCell ref="R54"/>
    <mergeCell ref="P112"/>
    <mergeCell ref="C145:G145"/>
    <mergeCell ref="K74:L74"/>
    <mergeCell ref="X48:Y48"/>
    <mergeCell ref="R56"/>
    <mergeCell ref="R123:Y123"/>
    <mergeCell ref="R21:T21"/>
    <mergeCell ref="Q75"/>
    <mergeCell ref="A103:AC103"/>
    <mergeCell ref="R124:Y124"/>
    <mergeCell ref="Z159:AC159"/>
    <mergeCell ref="Z197:AC197"/>
    <mergeCell ref="E7:V7"/>
    <mergeCell ref="R126:Y126"/>
    <mergeCell ref="Z184:AC184"/>
    <mergeCell ref="C158:G158"/>
    <mergeCell ref="Q157"/>
    <mergeCell ref="C191:G191"/>
    <mergeCell ref="M65:O65"/>
    <mergeCell ref="P62"/>
    <mergeCell ref="A115"/>
    <mergeCell ref="Z187:AC187"/>
    <mergeCell ref="T46:W46"/>
    <mergeCell ref="R137:Y137"/>
    <mergeCell ref="AA7:AC7"/>
    <mergeCell ref="C184:G184"/>
    <mergeCell ref="P64"/>
    <mergeCell ref="T48:W48"/>
    <mergeCell ref="B52"/>
    <mergeCell ref="N21:Q21"/>
    <mergeCell ref="Q185"/>
    <mergeCell ref="R188:Y188"/>
    <mergeCell ref="M83:O83"/>
    <mergeCell ref="B60"/>
    <mergeCell ref="H166:P166"/>
    <mergeCell ref="Z109:AC109"/>
    <mergeCell ref="Q193"/>
    <mergeCell ref="B53"/>
    <mergeCell ref="R190:Y190"/>
    <mergeCell ref="Q176"/>
    <mergeCell ref="H168:P168"/>
    <mergeCell ref="C53:G53"/>
    <mergeCell ref="Z111:AC111"/>
    <mergeCell ref="Z147:AC147"/>
    <mergeCell ref="H167:P167"/>
    <mergeCell ref="M78:O78"/>
    <mergeCell ref="P75"/>
    <mergeCell ref="H161:P161"/>
    <mergeCell ref="A24:K24"/>
    <mergeCell ref="B80"/>
    <mergeCell ref="S91"/>
    <mergeCell ref="Q198"/>
    <mergeCell ref="Q27:Q28"/>
    <mergeCell ref="C110:G110"/>
    <mergeCell ref="X72:Y72"/>
    <mergeCell ref="V21:Z21"/>
    <mergeCell ref="A29"/>
    <mergeCell ref="Q101"/>
    <mergeCell ref="Q128"/>
    <mergeCell ref="C128:G128"/>
    <mergeCell ref="X82:Y82"/>
    <mergeCell ref="A205:E205"/>
    <mergeCell ref="C94:G94"/>
    <mergeCell ref="C180:G180"/>
    <mergeCell ref="A60"/>
    <mergeCell ref="X83:Y83"/>
    <mergeCell ref="C182:G182"/>
    <mergeCell ref="X85:Y85"/>
    <mergeCell ref="M26:Q26"/>
    <mergeCell ref="M27:O28"/>
    <mergeCell ref="X114:Y114"/>
    <mergeCell ref="H137:P137"/>
    <mergeCell ref="S34"/>
    <mergeCell ref="A42"/>
    <mergeCell ref="H130:P130"/>
    <mergeCell ref="H98:J98"/>
    <mergeCell ref="S36"/>
    <mergeCell ref="B51"/>
    <mergeCell ref="T72:W72"/>
    <mergeCell ref="Z196:AC196"/>
    <mergeCell ref="S29"/>
    <mergeCell ref="R146:Y146"/>
    <mergeCell ref="P27:P28"/>
    <mergeCell ref="M46:O46"/>
    <mergeCell ref="C55:G55"/>
    <mergeCell ref="H87:J87"/>
    <mergeCell ref="T29:W29"/>
    <mergeCell ref="Q112"/>
    <mergeCell ref="AA11:AC11"/>
    <mergeCell ref="A70"/>
    <mergeCell ref="H116:J116"/>
    <mergeCell ref="Q200"/>
    <mergeCell ref="T54:W54"/>
    <mergeCell ref="Q194"/>
    <mergeCell ref="H175:P175"/>
    <mergeCell ref="H82:J82"/>
    <mergeCell ref="C52:G52"/>
    <mergeCell ref="T83:W83"/>
    <mergeCell ref="C37:G37"/>
    <mergeCell ref="H193:P193"/>
    <mergeCell ref="H176:P176"/>
    <mergeCell ref="T85:W85"/>
    <mergeCell ref="T84:W84"/>
    <mergeCell ref="H178:P178"/>
    <mergeCell ref="B89"/>
    <mergeCell ref="T86:W86"/>
    <mergeCell ref="B97"/>
    <mergeCell ref="S100"/>
    <mergeCell ref="J202:AC202"/>
    <mergeCell ref="C63:G63"/>
    <mergeCell ref="C124:G124"/>
    <mergeCell ref="B90"/>
    <mergeCell ref="H48:J48"/>
    <mergeCell ref="C90:G90"/>
    <mergeCell ref="M115:O115"/>
    <mergeCell ref="Q39"/>
    <mergeCell ref="R34"/>
    <mergeCell ref="X79:Y79"/>
    <mergeCell ref="C119:G119"/>
    <mergeCell ref="K48:L48"/>
    <mergeCell ref="H43:J43"/>
    <mergeCell ref="R36"/>
    <mergeCell ref="X81:Y81"/>
    <mergeCell ref="H74:J74"/>
    <mergeCell ref="B108"/>
    <mergeCell ref="X110:Y110"/>
    <mergeCell ref="H133:P133"/>
    <mergeCell ref="A26:B27"/>
    <mergeCell ref="H69:J69"/>
    <mergeCell ref="C109:G109"/>
    <mergeCell ref="H128:P128"/>
    <mergeCell ref="C147:G147"/>
    <mergeCell ref="AC16"/>
    <mergeCell ref="X92:Y92"/>
    <mergeCell ref="X94:Y94"/>
    <mergeCell ref="Z37:AC37"/>
    <mergeCell ref="C165:G165"/>
    <mergeCell ref="H146:P146"/>
    <mergeCell ref="Z167:AC167"/>
    <mergeCell ref="M39:O39"/>
    <mergeCell ref="Z161:AC161"/>
    <mergeCell ref="S53"/>
    <mergeCell ref="Z38:AC38"/>
    <mergeCell ref="S45"/>
    <mergeCell ref="A97"/>
    <mergeCell ref="R119:Y119"/>
    <mergeCell ref="S55"/>
    <mergeCell ref="T56:W56"/>
    <mergeCell ref="C160:G160"/>
    <mergeCell ref="A20:M20"/>
    <mergeCell ref="Z63:AC63"/>
    <mergeCell ref="M57:O57"/>
    <mergeCell ref="S71"/>
    <mergeCell ref="M29:O29"/>
    <mergeCell ref="B86"/>
    <mergeCell ref="Z91:AC91"/>
    <mergeCell ref="S73"/>
    <mergeCell ref="C61:G61"/>
    <mergeCell ref="A108"/>
    <mergeCell ref="H200:P200"/>
    <mergeCell ref="Z93:AC93"/>
    <mergeCell ref="S66"/>
    <mergeCell ref="X44:Y44"/>
    <mergeCell ref="S68"/>
    <mergeCell ref="Z122:AC122"/>
    <mergeCell ref="T66:W66"/>
    <mergeCell ref="Z119:AC119"/>
    <mergeCell ref="M42:O42"/>
    <mergeCell ref="H65:J65"/>
    <mergeCell ref="Z104:AC104"/>
    <mergeCell ref="J206:AC206"/>
    <mergeCell ref="H100:R100"/>
    <mergeCell ref="X63:Y63"/>
    <mergeCell ref="Q79"/>
    <mergeCell ref="R45"/>
    <mergeCell ref="K65:L65"/>
    <mergeCell ref="R55"/>
    <mergeCell ref="W7:Z7"/>
    <mergeCell ref="R47"/>
    <mergeCell ref="Q81"/>
    <mergeCell ref="Q74"/>
    <mergeCell ref="H85:J85"/>
    <mergeCell ref="Q110"/>
    <mergeCell ref="Z34:AC34"/>
    <mergeCell ref="R71"/>
    <mergeCell ref="C162:G162"/>
    <mergeCell ref="S51"/>
    <mergeCell ref="K91:L91"/>
    <mergeCell ref="Z36:AC36"/>
    <mergeCell ref="K85:L85"/>
    <mergeCell ref="H80:J80"/>
    <mergeCell ref="R73"/>
    <mergeCell ref="C164:G164"/>
    <mergeCell ref="K84:L84"/>
    <mergeCell ref="Z61:AC61"/>
    <mergeCell ref="T47:W47"/>
    <mergeCell ref="Q92"/>
    <mergeCell ref="K86:L86"/>
    <mergeCell ref="R141:Y141"/>
    <mergeCell ref="Q94"/>
    <mergeCell ref="Z62:AC62"/>
    <mergeCell ref="Z56:AC56"/>
    <mergeCell ref="M48:O48"/>
    <mergeCell ref="R143:Y143"/>
    <mergeCell ref="C190:G190"/>
    <mergeCell ref="Z64:AC64"/>
    <mergeCell ref="Q89"/>
    <mergeCell ref="C175:G175"/>
    <mergeCell ref="S64"/>
    <mergeCell ref="K104:L104"/>
    <mergeCell ref="M81:O81"/>
    <mergeCell ref="N20:Q20"/>
    <mergeCell ref="R154:Y154"/>
    <mergeCell ref="B70"/>
    <mergeCell ref="Z75:AC75"/>
    <mergeCell ref="P81"/>
    <mergeCell ref="S82"/>
    <mergeCell ref="T65:W65"/>
    <mergeCell ref="R156:Y156"/>
    <mergeCell ref="H184:P184"/>
    <mergeCell ref="I205"/>
    <mergeCell ref="A4:Z4"/>
    <mergeCell ref="Q44"/>
    <mergeCell ref="C101:G101"/>
    <mergeCell ref="M94:O94"/>
    <mergeCell ref="S108"/>
    <mergeCell ref="Q45"/>
    <mergeCell ref="Z128:AC128"/>
    <mergeCell ref="P92"/>
    <mergeCell ref="M89:O89"/>
    <mergeCell ref="Q47"/>
    <mergeCell ref="C133:G133"/>
    <mergeCell ref="M97:O97"/>
    <mergeCell ref="P94"/>
    <mergeCell ref="C127:G127"/>
    <mergeCell ref="Z129:AC129"/>
    <mergeCell ref="W6:Z6"/>
    <mergeCell ref="K56:L56"/>
    <mergeCell ref="Q63"/>
    <mergeCell ref="Q119"/>
    <mergeCell ref="M108:O108"/>
    <mergeCell ref="W11:Z11"/>
    <mergeCell ref="Q116"/>
    <mergeCell ref="R82"/>
    <mergeCell ref="Z55:AC55"/>
    <mergeCell ref="Q145"/>
    <mergeCell ref="Q111"/>
    <mergeCell ref="Q147"/>
    <mergeCell ref="A41"/>
    <mergeCell ref="R125:Y125"/>
    <mergeCell ref="R150:Y150"/>
    <mergeCell ref="K97:L97"/>
    <mergeCell ref="Z71:AC71"/>
    <mergeCell ref="X100:Y100"/>
    <mergeCell ref="AA13:AC13"/>
    <mergeCell ref="R152:Y152"/>
    <mergeCell ref="Z27:AC28"/>
    <mergeCell ref="C199:G199"/>
    <mergeCell ref="B38"/>
    <mergeCell ref="Z73:AC73"/>
    <mergeCell ref="AA15:AC15"/>
    <mergeCell ref="P37"/>
    <mergeCell ref="B40"/>
    <mergeCell ref="P47"/>
    <mergeCell ref="Q158"/>
    <mergeCell ref="C41:G41"/>
    <mergeCell ref="S47"/>
    <mergeCell ref="M91:O91"/>
    <mergeCell ref="P63"/>
    <mergeCell ref="T45:W45"/>
    <mergeCell ref="Q160"/>
    <mergeCell ref="R163:Y163"/>
    <mergeCell ref="C43:G43"/>
    <mergeCell ref="A6:D6"/>
    <mergeCell ref="M93:O93"/>
    <mergeCell ref="C36:G36"/>
    <mergeCell ref="R165:Y165"/>
    <mergeCell ref="Q72"/>
    <mergeCell ref="P91"/>
    <mergeCell ref="R191:Y191"/>
    <mergeCell ref="X52:Y52"/>
    <mergeCell ref="A201:AC201"/>
    <mergeCell ref="M104:O104"/>
    <mergeCell ref="W13:Z13"/>
    <mergeCell ref="Q56"/>
    <mergeCell ref="X37:Y37"/>
    <mergeCell ref="P109"/>
    <mergeCell ref="K26:L28"/>
    <mergeCell ref="M106:O106"/>
    <mergeCell ref="Z168:AC168"/>
    <mergeCell ref="X38:Y38"/>
    <mergeCell ref="H29:J29"/>
    <mergeCell ref="Z165:AC165"/>
    <mergeCell ref="Z200:AC200"/>
    <mergeCell ref="X96:Y96"/>
    <mergeCell ref="Z194:AC194"/>
    <mergeCell ref="H60:J60"/>
    <mergeCell ref="Z166:AC166"/>
    <mergeCell ref="R53"/>
    <mergeCell ref="X98:Y98"/>
    <mergeCell ref="H119:P119"/>
    <mergeCell ref="B36"/>
    <mergeCell ref="X91:Y91"/>
    <mergeCell ref="H57:J57"/>
    <mergeCell ref="H42:J42"/>
    <mergeCell ref="B39"/>
    <mergeCell ref="H145:P145"/>
    <mergeCell ref="M56:O56"/>
    <mergeCell ref="R134:Y134"/>
    <mergeCell ref="C39:G39"/>
    <mergeCell ref="R37"/>
    <mergeCell ref="Q155"/>
    <mergeCell ref="H147:P147"/>
    <mergeCell ref="X109:Y109"/>
    <mergeCell ref="Q182"/>
    <mergeCell ref="H163:P163"/>
    <mergeCell ref="H70:J70"/>
    <mergeCell ref="R187:Y187"/>
    <mergeCell ref="Q183"/>
    <mergeCell ref="H158:P158"/>
    <mergeCell ref="R189:Y189"/>
    <mergeCell ref="H160:P160"/>
    <mergeCell ref="X51:Y51"/>
    <mergeCell ref="X36:Y36"/>
    <mergeCell ref="C78:G78"/>
    <mergeCell ref="K34:L34"/>
    <mergeCell ref="Z110:AC110"/>
    <mergeCell ref="C107:G107"/>
    <mergeCell ref="X61:Y61"/>
    <mergeCell ref="K36:L36"/>
    <mergeCell ref="Q196"/>
    <mergeCell ref="C79:G79"/>
    <mergeCell ref="T111:W111"/>
    <mergeCell ref="C73:G73"/>
    <mergeCell ref="A39"/>
    <mergeCell ref="X62:Y62"/>
    <mergeCell ref="Q37"/>
    <mergeCell ref="T112:W112"/>
    <mergeCell ref="Z193:AC193"/>
    <mergeCell ref="X64:Y64"/>
    <mergeCell ref="A19:U19"/>
    <mergeCell ref="T114:W114"/>
    <mergeCell ref="X93:Y93"/>
    <mergeCell ref="H143:P143"/>
    <mergeCell ref="R62"/>
    <mergeCell ref="A52"/>
    <mergeCell ref="T36:W36"/>
    <mergeCell ref="H66:J66"/>
    <mergeCell ref="Q91"/>
    <mergeCell ref="A83"/>
    <mergeCell ref="R88"/>
    <mergeCell ref="X108:Y108"/>
    <mergeCell ref="H154:P154"/>
    <mergeCell ref="Z53:AC53"/>
    <mergeCell ref="H97:J97"/>
    <mergeCell ref="R90"/>
    <mergeCell ref="Q181"/>
    <mergeCell ref="T62:W62"/>
    <mergeCell ref="H162:P162"/>
    <mergeCell ref="C181:G181"/>
    <mergeCell ref="H156:P156"/>
    <mergeCell ref="T64:W64"/>
    <mergeCell ref="Q109"/>
    <mergeCell ref="S84"/>
    <mergeCell ref="H157:P157"/>
    <mergeCell ref="Z79:AC79"/>
    <mergeCell ref="H115:J115"/>
    <mergeCell ref="Q163"/>
    <mergeCell ref="H182:P182"/>
    <mergeCell ref="S79"/>
    <mergeCell ref="P45"/>
    <mergeCell ref="H190:P190"/>
    <mergeCell ref="S81"/>
    <mergeCell ref="T82:W82"/>
    <mergeCell ref="C80:G80"/>
    <mergeCell ref="H183:P183"/>
    <mergeCell ref="X60:Y60"/>
    <mergeCell ref="Q35"/>
    <mergeCell ref="Q34"/>
    <mergeCell ref="B87"/>
    <mergeCell ref="Z92:AC92"/>
    <mergeCell ref="P98"/>
    <mergeCell ref="C131:G131"/>
    <mergeCell ref="C87:G87"/>
    <mergeCell ref="Q36"/>
    <mergeCell ref="S92"/>
    <mergeCell ref="Z94:AC94"/>
    <mergeCell ref="C89:G89"/>
    <mergeCell ref="C116:G116"/>
    <mergeCell ref="K45:L45"/>
    <mergeCell ref="C88:G88"/>
    <mergeCell ref="S94"/>
    <mergeCell ref="C126:G126"/>
    <mergeCell ref="K47:L47"/>
    <mergeCell ref="K46:L46"/>
    <mergeCell ref="K40:L40"/>
    <mergeCell ref="A79"/>
    <mergeCell ref="Z145:AC145"/>
    <mergeCell ref="X73:Y73"/>
    <mergeCell ref="Q54"/>
    <mergeCell ref="C115:G115"/>
    <mergeCell ref="M112:O112"/>
    <mergeCell ref="K71:L71"/>
    <mergeCell ref="Z174:AC174"/>
    <mergeCell ref="C150:G150"/>
    <mergeCell ref="P111"/>
    <mergeCell ref="H125:P125"/>
    <mergeCell ref="C144:G144"/>
    <mergeCell ref="K73:L73"/>
    <mergeCell ref="Z140:AC140"/>
    <mergeCell ref="R86"/>
    <mergeCell ref="H127:P127"/>
    <mergeCell ref="Q105"/>
    <mergeCell ref="R81"/>
    <mergeCell ref="A63"/>
    <mergeCell ref="Q107"/>
    <mergeCell ref="M36:O36"/>
    <mergeCell ref="Z158:AC158"/>
    <mergeCell ref="C134:G134"/>
    <mergeCell ref="Z77:AC77"/>
    <mergeCell ref="P41"/>
    <mergeCell ref="Z160:AC160"/>
    <mergeCell ref="C188:G188"/>
    <mergeCell ref="C163:G163"/>
    <mergeCell ref="S52"/>
    <mergeCell ref="P34"/>
    <mergeCell ref="A87"/>
    <mergeCell ref="H106:J106"/>
    <mergeCell ref="A3:AC3"/>
    <mergeCell ref="Z72:AC72"/>
    <mergeCell ref="P36"/>
    <mergeCell ref="S37"/>
    <mergeCell ref="A89"/>
    <mergeCell ref="H181:P181"/>
    <mergeCell ref="T27:W28"/>
    <mergeCell ref="T79:W79"/>
    <mergeCell ref="Q162"/>
    <mergeCell ref="K112:L112"/>
    <mergeCell ref="M64:O64"/>
    <mergeCell ref="R167:Y167"/>
    <mergeCell ref="Z88:AC88"/>
    <mergeCell ref="R169:Y169"/>
    <mergeCell ref="B85"/>
    <mergeCell ref="Z90:AC90"/>
    <mergeCell ref="S63"/>
    <mergeCell ref="R162:Y162"/>
    <mergeCell ref="P54"/>
    <mergeCell ref="H199:P199"/>
    <mergeCell ref="R164:Y164"/>
    <mergeCell ref="Q146"/>
    <mergeCell ref="Z85:AC85"/>
    <mergeCell ref="X42:Y42"/>
    <mergeCell ref="A18:AC18"/>
    <mergeCell ref="Q175"/>
    <mergeCell ref="Z116:AC116"/>
    <mergeCell ref="A14:Z14"/>
    <mergeCell ref="Q177"/>
    <mergeCell ref="Q60"/>
    <mergeCell ref="S116"/>
    <mergeCell ref="M110:O110"/>
    <mergeCell ref="C140:G140"/>
    <mergeCell ref="P82"/>
    <mergeCell ref="K69:L69"/>
    <mergeCell ref="H64:J64"/>
    <mergeCell ref="S118"/>
    <mergeCell ref="X43:Y43"/>
    <mergeCell ref="J203:AC203"/>
    <mergeCell ref="C141:G141"/>
    <mergeCell ref="A12:C12"/>
    <mergeCell ref="K64:L64"/>
    <mergeCell ref="R52"/>
    <mergeCell ref="P110"/>
    <mergeCell ref="C143:G143"/>
    <mergeCell ref="K72:L72"/>
    <mergeCell ref="Q71"/>
    <mergeCell ref="Z154:AC154"/>
    <mergeCell ref="C130:G130"/>
    <mergeCell ref="Q73"/>
    <mergeCell ref="Z156:AC156"/>
    <mergeCell ref="Z183:AC183"/>
    <mergeCell ref="C159:G159"/>
    <mergeCell ref="C153:G153"/>
    <mergeCell ref="Z155:AC155"/>
    <mergeCell ref="K82:L82"/>
    <mergeCell ref="R122:Y122"/>
    <mergeCell ref="C125:G125"/>
    <mergeCell ref="R70"/>
    <mergeCell ref="C161:G161"/>
    <mergeCell ref="A85"/>
    <mergeCell ref="Z157:AC157"/>
    <mergeCell ref="C154:G154"/>
    <mergeCell ref="H46:J46"/>
    <mergeCell ref="K83:L83"/>
    <mergeCell ref="Z182:AC182"/>
    <mergeCell ref="C156:G156"/>
    <mergeCell ref="R138:Y138"/>
    <mergeCell ref="Z59:AC59"/>
    <mergeCell ref="R98"/>
    <mergeCell ref="I202"/>
    <mergeCell ref="S59"/>
    <mergeCell ref="Z177:AC177"/>
    <mergeCell ref="R133:Y133"/>
    <mergeCell ref="Z54:AC54"/>
    <mergeCell ref="S61"/>
    <mergeCell ref="P60"/>
    <mergeCell ref="R135:Y135"/>
    <mergeCell ref="Q142"/>
    <mergeCell ref="Z81:AC81"/>
    <mergeCell ref="M44:O44"/>
    <mergeCell ref="Q171"/>
    <mergeCell ref="H77:R77"/>
    <mergeCell ref="A21:M21"/>
    <mergeCell ref="M79:O79"/>
    <mergeCell ref="R109"/>
    <mergeCell ref="Q137"/>
    <mergeCell ref="M73:O73"/>
    <mergeCell ref="Q173"/>
    <mergeCell ref="Z114:AC114"/>
    <mergeCell ref="R186:Y186"/>
    <mergeCell ref="P78"/>
    <mergeCell ref="H164:P164"/>
    <mergeCell ref="Z107:AC107"/>
    <mergeCell ref="R153:Y153"/>
    <mergeCell ref="Z143:AC143"/>
    <mergeCell ref="M74:O74"/>
    <mergeCell ref="T34:W34"/>
    <mergeCell ref="P71"/>
    <mergeCell ref="Q174"/>
    <mergeCell ref="Q168"/>
    <mergeCell ref="P79"/>
    <mergeCell ref="P73"/>
    <mergeCell ref="T57:W57"/>
    <mergeCell ref="Q199"/>
    <mergeCell ref="M63:O63"/>
    <mergeCell ref="G8:V8"/>
    <mergeCell ref="Z125:AC125"/>
    <mergeCell ref="M92:O92"/>
    <mergeCell ref="G10:V10"/>
    <mergeCell ref="Z127:AC127"/>
    <mergeCell ref="R199:Y199"/>
    <mergeCell ref="Q98"/>
    <mergeCell ref="R61"/>
    <mergeCell ref="H118:R118"/>
    <mergeCell ref="K81:L81"/>
    <mergeCell ref="Q124"/>
    <mergeCell ref="Y16:Z16"/>
    <mergeCell ref="Q126"/>
    <mergeCell ref="R129:Y129"/>
    <mergeCell ref="X80:Y80"/>
    <mergeCell ref="Z50:AC50"/>
    <mergeCell ref="A203:E203"/>
    <mergeCell ref="R131:Y131"/>
    <mergeCell ref="Z52:AC52"/>
    <mergeCell ref="K92:L92"/>
    <mergeCell ref="Q108"/>
    <mergeCell ref="Z191:AC191"/>
    <mergeCell ref="C108:G108"/>
    <mergeCell ref="Q144"/>
    <mergeCell ref="A38"/>
    <mergeCell ref="A40"/>
    <mergeCell ref="R149:Y149"/>
    <mergeCell ref="C196:G196"/>
    <mergeCell ref="Z192:AC192"/>
    <mergeCell ref="R142:Y142"/>
    <mergeCell ref="AA12:AC12"/>
    <mergeCell ref="C198:G198"/>
    <mergeCell ref="M72:O72"/>
    <mergeCell ref="P44"/>
    <mergeCell ref="T53:W53"/>
    <mergeCell ref="R144:Y144"/>
    <mergeCell ref="AA14:AC14"/>
    <mergeCell ref="C51:G51"/>
    <mergeCell ref="T55:W55"/>
    <mergeCell ref="Q197"/>
    <mergeCell ref="H112:J112"/>
    <mergeCell ref="C38:G38"/>
    <mergeCell ref="R195:Y195"/>
    <mergeCell ref="R170:Y170"/>
    <mergeCell ref="H173:P173"/>
    <mergeCell ref="U20"/>
    <mergeCell ref="T81:W81"/>
    <mergeCell ref="R197:Y197"/>
    <mergeCell ref="R172:Y172"/>
    <mergeCell ref="T37:W37"/>
    <mergeCell ref="A207:AC207"/>
    <mergeCell ref="C35:G35"/>
    <mergeCell ref="P88"/>
    <mergeCell ref="M85:O85"/>
    <mergeCell ref="C121:G121"/>
    <mergeCell ref="H174:P174"/>
    <mergeCell ref="V19:AC19"/>
    <mergeCell ref="B91"/>
    <mergeCell ref="K44:L44"/>
    <mergeCell ref="T38:W38"/>
    <mergeCell ref="S96"/>
    <mergeCell ref="T63:W63"/>
    <mergeCell ref="P115"/>
    <mergeCell ref="S98"/>
    <mergeCell ref="A206:E206"/>
    <mergeCell ref="D13:V13"/>
    <mergeCell ref="C122:G122"/>
    <mergeCell ref="M111:O111"/>
    <mergeCell ref="T71:W71"/>
    <mergeCell ref="T92:W92"/>
    <mergeCell ref="P116"/>
    <mergeCell ref="H39:J39"/>
    <mergeCell ref="T100:W100"/>
    <mergeCell ref="T94:W94"/>
    <mergeCell ref="X77:Y77"/>
    <mergeCell ref="B104"/>
    <mergeCell ref="A34"/>
    <mergeCell ref="H72:J72"/>
    <mergeCell ref="Q53"/>
    <mergeCell ref="B106"/>
    <mergeCell ref="S109"/>
    <mergeCell ref="H131:P131"/>
    <mergeCell ref="Q133"/>
    <mergeCell ref="A36"/>
    <mergeCell ref="C105:G105"/>
    <mergeCell ref="H124:P124"/>
    <mergeCell ref="Q135"/>
    <mergeCell ref="X89:Y89"/>
    <mergeCell ref="H126:P126"/>
    <mergeCell ref="X88:Y88"/>
    <mergeCell ref="H54:J54"/>
    <mergeCell ref="X90:Y90"/>
    <mergeCell ref="B34"/>
    <mergeCell ref="B28"/>
    <mergeCell ref="H56:J56"/>
    <mergeCell ref="H83:J83"/>
    <mergeCell ref="AA5:AC5"/>
    <mergeCell ref="H142:P142"/>
    <mergeCell ref="A91"/>
    <mergeCell ref="Z35:AC35"/>
    <mergeCell ref="H110:J110"/>
    <mergeCell ref="H144:P144"/>
    <mergeCell ref="S41"/>
    <mergeCell ref="C29:G29"/>
    <mergeCell ref="C65:G65"/>
    <mergeCell ref="X116:Y116"/>
    <mergeCell ref="T77:W77"/>
    <mergeCell ref="R168:Y168"/>
    <mergeCell ref="B54"/>
    <mergeCell ref="S43"/>
    <mergeCell ref="X118:Y118"/>
    <mergeCell ref="C60:G60"/>
    <mergeCell ref="H92:J92"/>
    <mergeCell ref="M53:O53"/>
    <mergeCell ref="C91:G91"/>
    <mergeCell ref="M55:O55"/>
    <mergeCell ref="S69"/>
    <mergeCell ref="C57:G57"/>
    <mergeCell ref="A104"/>
    <mergeCell ref="R116"/>
    <mergeCell ref="T61:W61"/>
    <mergeCell ref="R179:Y179"/>
    <mergeCell ref="C86:G86"/>
    <mergeCell ref="P53"/>
    <mergeCell ref="A106"/>
    <mergeCell ref="C42:G42"/>
    <mergeCell ref="X40:Y40"/>
    <mergeCell ref="T96:W96"/>
    <mergeCell ref="T90:W90"/>
    <mergeCell ref="M37:O37"/>
    <mergeCell ref="T98:W98"/>
    <mergeCell ref="Z105:AC105"/>
    <mergeCell ref="T91:W91"/>
    <mergeCell ref="C75:G75"/>
    <mergeCell ref="M38:O38"/>
    <mergeCell ref="T93:W93"/>
    <mergeCell ref="Q51"/>
    <mergeCell ref="Z100:AC100"/>
    <mergeCell ref="S107"/>
    <mergeCell ref="T108:W108"/>
    <mergeCell ref="C70:G70"/>
    <mergeCell ref="A33:AC33"/>
    <mergeCell ref="C106:G106"/>
    <mergeCell ref="T118:W118"/>
    <mergeCell ref="H96:R96"/>
    <mergeCell ref="H122:P122"/>
    <mergeCell ref="Z188:AC188"/>
    <mergeCell ref="X59:Y59"/>
    <mergeCell ref="T109:W109"/>
    <mergeCell ref="R41"/>
    <mergeCell ref="T75:W75"/>
    <mergeCell ref="H52:J52"/>
    <mergeCell ref="H79:J79"/>
    <mergeCell ref="R43"/>
    <mergeCell ref="H45:J45"/>
    <mergeCell ref="H81:J81"/>
    <mergeCell ref="H47:J47"/>
    <mergeCell ref="X112:Y112"/>
    <mergeCell ref="R69"/>
    <mergeCell ref="H141:P141"/>
    <mergeCell ref="H135:P135"/>
    <mergeCell ref="H63:J63"/>
    <mergeCell ref="Q88"/>
    <mergeCell ref="H26:J28"/>
    <mergeCell ref="A71"/>
    <mergeCell ref="Z42:AC42"/>
    <mergeCell ref="Q90"/>
    <mergeCell ref="M51:O51"/>
    <mergeCell ref="S65"/>
    <mergeCell ref="Z44:AC44"/>
    <mergeCell ref="H94:J94"/>
    <mergeCell ref="Z60:AC60"/>
    <mergeCell ref="C172:G172"/>
    <mergeCell ref="C171:G171"/>
    <mergeCell ref="S60"/>
    <mergeCell ref="Z45:AC45"/>
    <mergeCell ref="K94:L94"/>
    <mergeCell ref="P51"/>
    <mergeCell ref="C173:G173"/>
    <mergeCell ref="B71"/>
    <mergeCell ref="Z70:AC70"/>
    <mergeCell ref="H179:P179"/>
    <mergeCell ref="M34:O34"/>
    <mergeCell ref="Z96:AC96"/>
    <mergeCell ref="R110"/>
    <mergeCell ref="S78"/>
    <mergeCell ref="C66:G66"/>
    <mergeCell ref="H180:P180"/>
    <mergeCell ref="Z98:AC98"/>
    <mergeCell ref="S80"/>
    <mergeCell ref="A31:AC31"/>
    <mergeCell ref="C97:G97"/>
    <mergeCell ref="Z124:AC124"/>
    <mergeCell ref="Z126:AC126"/>
    <mergeCell ref="K42:L42"/>
    <mergeCell ref="P90"/>
    <mergeCell ref="C123:G123"/>
    <mergeCell ref="R65"/>
    <mergeCell ref="K37:L37"/>
    <mergeCell ref="Q84"/>
    <mergeCell ref="Z142:AC142"/>
    <mergeCell ref="X70:Y70"/>
    <mergeCell ref="M109:O109"/>
    <mergeCell ref="Q86"/>
    <mergeCell ref="Q61"/>
    <mergeCell ref="M75:O75"/>
    <mergeCell ref="P108"/>
    <mergeCell ref="A44"/>
    <mergeCell ref="Z137:AC137"/>
    <mergeCell ref="Z173:AC173"/>
    <mergeCell ref="K63:L63"/>
    <mergeCell ref="C167:G167"/>
    <mergeCell ref="C142:G142"/>
    <mergeCell ref="R84"/>
    <mergeCell ref="R78"/>
    <mergeCell ref="C169:G169"/>
    <mergeCell ref="K98:L98"/>
    <mergeCell ref="R80"/>
    <mergeCell ref="Q141"/>
    <mergeCell ref="Z68:AC68"/>
    <mergeCell ref="Q143"/>
    <mergeCell ref="M35:O35"/>
    <mergeCell ref="K93:L93"/>
    <mergeCell ref="R148:Y148"/>
    <mergeCell ref="C195:G195"/>
    <mergeCell ref="Z69:AC69"/>
    <mergeCell ref="C197:G197"/>
    <mergeCell ref="R26:AC26"/>
    <mergeCell ref="S44"/>
    <mergeCell ref="K109:L109"/>
    <mergeCell ref="P35"/>
    <mergeCell ref="Q125"/>
    <mergeCell ref="M61:O61"/>
    <mergeCell ref="K111:L111"/>
    <mergeCell ref="Q127"/>
    <mergeCell ref="Q154"/>
    <mergeCell ref="Q156"/>
    <mergeCell ref="R159:Y159"/>
    <mergeCell ref="P86"/>
    <mergeCell ref="P61"/>
    <mergeCell ref="R161:Y161"/>
    <mergeCell ref="S97"/>
    <mergeCell ref="Z82:AC82"/>
    <mergeCell ref="H191:P191"/>
    <mergeCell ref="M105:O105"/>
    <mergeCell ref="Q57"/>
    <mergeCell ref="W10:Z10"/>
    <mergeCell ref="Z108:AC108"/>
    <mergeCell ref="Z133:AC133"/>
    <mergeCell ref="S115"/>
    <mergeCell ref="Z169:AC169"/>
    <mergeCell ref="Q52"/>
    <mergeCell ref="Z141:AC141"/>
    <mergeCell ref="Z135:AC135"/>
    <mergeCell ref="C138:G138"/>
    <mergeCell ref="P105"/>
    <mergeCell ref="C132:G132"/>
    <mergeCell ref="K61:L61"/>
    <mergeCell ref="X41:Y41"/>
    <mergeCell ref="Z164:AC164"/>
    <mergeCell ref="X35:Y35"/>
    <mergeCell ref="P107"/>
    <mergeCell ref="Z195:AC195"/>
    <mergeCell ref="K62:L62"/>
    <mergeCell ref="Q70"/>
    <mergeCell ref="Z190:AC190"/>
    <mergeCell ref="Z146:AC146"/>
    <mergeCell ref="C193:G193"/>
    <mergeCell ref="Q121"/>
    <mergeCell ref="Z179:AC179"/>
    <mergeCell ref="Q150"/>
    <mergeCell ref="H38:J38"/>
    <mergeCell ref="Z180:AC180"/>
    <mergeCell ref="M52:O52"/>
    <mergeCell ref="A22:AC22"/>
    <mergeCell ref="Q152"/>
    <mergeCell ref="R130:Y130"/>
    <mergeCell ref="H40:J40"/>
    <mergeCell ref="P57"/>
    <mergeCell ref="X105:Y105"/>
    <mergeCell ref="T41:W41"/>
    <mergeCell ref="R157:Y157"/>
    <mergeCell ref="R132:Y132"/>
    <mergeCell ref="C179:G179"/>
    <mergeCell ref="X107:Y107"/>
    <mergeCell ref="R115"/>
    <mergeCell ref="AA20:AC20"/>
    <mergeCell ref="T43:W43"/>
    <mergeCell ref="B45"/>
    <mergeCell ref="Q134"/>
    <mergeCell ref="H159:P159"/>
    <mergeCell ref="R183:Y183"/>
    <mergeCell ref="C46:G46"/>
    <mergeCell ref="A9:F9"/>
    <mergeCell ref="M71:O71"/>
    <mergeCell ref="F206:H206"/>
    <mergeCell ref="R185:Y185"/>
    <mergeCell ref="I203"/>
    <mergeCell ref="Q165"/>
    <mergeCell ref="C48:G48"/>
    <mergeCell ref="Z106:AC106"/>
    <mergeCell ref="A11:F11"/>
    <mergeCell ref="P70"/>
    <mergeCell ref="S112"/>
    <mergeCell ref="X39:Y39"/>
    <mergeCell ref="Q191"/>
    <mergeCell ref="C74:G74"/>
    <mergeCell ref="K60:L60"/>
    <mergeCell ref="R196:Y196"/>
    <mergeCell ref="R198:Y198"/>
    <mergeCell ref="X65:Y65"/>
    <mergeCell ref="Q97"/>
    <mergeCell ref="X50:Y50"/>
    <mergeCell ref="T110:W110"/>
    <mergeCell ref="H34:J34"/>
    <mergeCell ref="Z176:AC176"/>
    <mergeCell ref="Z170:AC170"/>
    <mergeCell ref="Q123"/>
    <mergeCell ref="H36:J36"/>
    <mergeCell ref="A53"/>
    <mergeCell ref="Z172:AC172"/>
    <mergeCell ref="Z199:AC199"/>
    <mergeCell ref="R128:Y128"/>
    <mergeCell ref="X78:Y78"/>
    <mergeCell ref="T39:W39"/>
    <mergeCell ref="C177:G177"/>
    <mergeCell ref="R60"/>
    <mergeCell ref="H101:P101"/>
    <mergeCell ref="H62:J62"/>
    <mergeCell ref="B43"/>
    <mergeCell ref="H91:J91"/>
    <mergeCell ref="A37"/>
    <mergeCell ref="H93:J93"/>
    <mergeCell ref="AA9:AC9"/>
    <mergeCell ref="R42"/>
    <mergeCell ref="H152:P152"/>
    <mergeCell ref="Z51:AC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C200"/>
  <sheetViews>
    <sheetView workbookViewId="0">
      <selection activeCell="A1" sqref="A1"/>
    </sheetView>
  </sheetViews>
  <sheetFormatPr baseColWidth="8" defaultRowHeight="15"/>
  <cols>
    <col width="5.42578125" customWidth="1" style="197" min="1" max="1"/>
    <col width="13" customWidth="1" style="197" min="2" max="2"/>
    <col width="2.42578125" customWidth="1" style="197" min="3" max="3"/>
    <col width="3.42578125" customWidth="1" style="197" min="4" max="4"/>
    <col width="2.42578125" customWidth="1" style="197" min="5" max="5"/>
    <col width="10.42578125" customWidth="1" style="197" min="6" max="6"/>
    <col width="4.42578125" customWidth="1" style="197" min="7" max="7"/>
    <col width="9.42578125" customWidth="1" style="197" min="8" max="8"/>
    <col width="23.42578125" customWidth="1" style="197" min="9" max="9"/>
    <col width="12.42578125" customWidth="1" style="197" min="10" max="10"/>
    <col width="4.42578125" customWidth="1" style="197" min="11" max="11"/>
    <col width="6.42578125" customWidth="1" style="197" min="12" max="12"/>
    <col width="13" customWidth="1" style="197" min="13" max="13"/>
    <col width="2.42578125" customWidth="1" style="197" min="14" max="14"/>
    <col width="1.42578125" customWidth="1" style="197" min="15" max="15"/>
    <col width="8.42578125" customWidth="1" style="197" min="16" max="16"/>
    <col width="9.42578125" customWidth="1" style="197" min="17" max="17"/>
    <col width="10.42578125" customWidth="1" style="197" min="18" max="18"/>
    <col width="6.42578125" customWidth="1" style="197" min="19" max="19"/>
    <col width="4.42578125" customWidth="1" style="197" min="20" max="20"/>
    <col width="13" customWidth="1" style="197" min="21" max="21"/>
    <col width="1.42578125" customWidth="1" style="197" min="22" max="22"/>
    <col width="13" customWidth="1" style="197" min="23" max="23"/>
    <col width="13" customWidth="1" style="197" min="24" max="24"/>
    <col width="7.42578125" customWidth="1" style="197" min="25" max="25"/>
    <col width="1.42578125" customWidth="1" style="197" min="26" max="26"/>
    <col width="3.42578125" customWidth="1" style="197" min="27" max="27"/>
    <col width="13" customWidth="1" style="197" min="28" max="28"/>
    <col width="5.42578125" customWidth="1" style="197" min="29" max="29"/>
  </cols>
  <sheetData>
    <row r="1" ht="12.2" customHeight="1" s="197">
      <c r="A1" s="235" t="inlineStr">
        <is>
          <t>Унифицированная Форма № КС-2</t>
        </is>
      </c>
    </row>
    <row r="2" ht="12.2" customHeight="1" s="197">
      <c r="A2" s="235" t="inlineStr">
        <is>
          <t>Утверждена постановлением Госкомстата России</t>
        </is>
      </c>
    </row>
    <row r="3" ht="24.6" customHeight="1" s="197">
      <c r="A3" s="235" t="inlineStr">
        <is>
          <t>от 11.11.99 № 100</t>
        </is>
      </c>
    </row>
    <row r="4" ht="14.85" customHeight="1" s="197">
      <c r="A4" s="236" t="inlineStr"/>
      <c r="AA4" s="237" t="inlineStr">
        <is>
          <t>Код</t>
        </is>
      </c>
      <c r="AB4" s="238" t="n"/>
      <c r="AC4" s="239" t="n"/>
    </row>
    <row r="5" ht="14.85" customHeight="1" s="197">
      <c r="A5" s="240" t="inlineStr">
        <is>
          <t xml:space="preserve">Форма по ОКУД </t>
        </is>
      </c>
      <c r="AA5" s="237" t="inlineStr">
        <is>
          <t>0322005</t>
        </is>
      </c>
      <c r="AB5" s="238" t="n"/>
      <c r="AC5" s="239" t="n"/>
    </row>
    <row r="6" ht="14.85" customHeight="1" s="197">
      <c r="A6" s="236" t="inlineStr">
        <is>
          <t xml:space="preserve">Инвестор: </t>
        </is>
      </c>
      <c r="E6" s="241" t="inlineStr"/>
      <c r="F6" s="242" t="n"/>
      <c r="G6" s="242" t="n"/>
      <c r="H6" s="242" t="n"/>
      <c r="I6" s="242" t="n"/>
      <c r="J6" s="242" t="n"/>
      <c r="K6" s="242" t="n"/>
      <c r="L6" s="242" t="n"/>
      <c r="M6" s="242" t="n"/>
      <c r="N6" s="242" t="n"/>
      <c r="O6" s="242" t="n"/>
      <c r="P6" s="242" t="n"/>
      <c r="Q6" s="242" t="n"/>
      <c r="R6" s="242" t="n"/>
      <c r="S6" s="242" t="n"/>
      <c r="T6" s="242" t="n"/>
      <c r="U6" s="242" t="n"/>
      <c r="V6" s="242" t="n"/>
      <c r="W6" s="240" t="inlineStr">
        <is>
          <t xml:space="preserve">по ОКПО </t>
        </is>
      </c>
      <c r="AA6" s="243" t="inlineStr"/>
      <c r="AB6" s="244" t="n"/>
      <c r="AC6" s="245" t="n"/>
    </row>
    <row r="7" ht="14.85" customHeight="1" s="197">
      <c r="A7" s="236" t="inlineStr"/>
      <c r="E7" s="246" t="inlineStr">
        <is>
          <t>(организация, адрес, телефон, факс)</t>
        </is>
      </c>
      <c r="W7" s="236" t="inlineStr"/>
      <c r="AA7" s="247" t="inlineStr"/>
      <c r="AB7" s="242" t="n"/>
      <c r="AC7" s="248" t="n"/>
    </row>
    <row r="8" ht="14.85" customHeight="1" s="197">
      <c r="A8" s="236" t="inlineStr">
        <is>
          <t xml:space="preserve">Заказчик (Генподрядчик): </t>
        </is>
      </c>
      <c r="G8" s="241" t="inlineStr">
        <is>
          <t>Представитель МКД</t>
        </is>
      </c>
      <c r="H8" s="242" t="n"/>
      <c r="I8" s="242" t="n"/>
      <c r="J8" s="242" t="n"/>
      <c r="K8" s="242" t="n"/>
      <c r="L8" s="242" t="n"/>
      <c r="M8" s="242" t="n"/>
      <c r="N8" s="242" t="n"/>
      <c r="O8" s="242" t="n"/>
      <c r="P8" s="242" t="n"/>
      <c r="Q8" s="242" t="n"/>
      <c r="R8" s="242" t="n"/>
      <c r="S8" s="242" t="n"/>
      <c r="T8" s="242" t="n"/>
      <c r="U8" s="242" t="n"/>
      <c r="V8" s="242" t="n"/>
      <c r="W8" s="240" t="inlineStr">
        <is>
          <t xml:space="preserve">по ОКПО </t>
        </is>
      </c>
      <c r="AA8" s="243" t="inlineStr"/>
      <c r="AB8" s="244" t="n"/>
      <c r="AC8" s="245" t="n"/>
    </row>
    <row r="9" ht="14.85" customHeight="1" s="197">
      <c r="A9" s="236" t="inlineStr"/>
      <c r="G9" s="246" t="inlineStr">
        <is>
          <t>(организация, адрес, телефон, факс)</t>
        </is>
      </c>
      <c r="W9" s="236" t="inlineStr"/>
      <c r="AA9" s="247" t="inlineStr"/>
      <c r="AB9" s="242" t="n"/>
      <c r="AC9" s="248" t="n"/>
    </row>
    <row r="10" ht="14.85" customHeight="1" s="197">
      <c r="A10" s="236" t="inlineStr">
        <is>
          <t xml:space="preserve">Подрядчик (Субподрядчик): </t>
        </is>
      </c>
      <c r="G10" s="241" t="inlineStr">
        <is>
          <t>ООО УК "ЖИЛИЩНЫЕ РЕШЕНИЯ"</t>
        </is>
      </c>
      <c r="H10" s="242" t="n"/>
      <c r="I10" s="242" t="n"/>
      <c r="J10" s="242" t="n"/>
      <c r="K10" s="242" t="n"/>
      <c r="L10" s="242" t="n"/>
      <c r="M10" s="242" t="n"/>
      <c r="N10" s="242" t="n"/>
      <c r="O10" s="242" t="n"/>
      <c r="P10" s="242" t="n"/>
      <c r="Q10" s="242" t="n"/>
      <c r="R10" s="242" t="n"/>
      <c r="S10" s="242" t="n"/>
      <c r="T10" s="242" t="n"/>
      <c r="U10" s="242" t="n"/>
      <c r="V10" s="242" t="n"/>
      <c r="W10" s="240" t="inlineStr">
        <is>
          <t xml:space="preserve">по ОКПО </t>
        </is>
      </c>
      <c r="AA10" s="243" t="inlineStr"/>
      <c r="AB10" s="244" t="n"/>
      <c r="AC10" s="245" t="n"/>
    </row>
    <row r="11" ht="14.85" customHeight="1" s="197">
      <c r="A11" s="236" t="inlineStr"/>
      <c r="G11" s="246" t="inlineStr">
        <is>
          <t>(организация, адрес, телефон, факс)</t>
        </is>
      </c>
      <c r="W11" s="236" t="inlineStr"/>
      <c r="AA11" s="247" t="inlineStr"/>
      <c r="AB11" s="242" t="n"/>
      <c r="AC11" s="248" t="n"/>
    </row>
    <row r="12" ht="14.85" customHeight="1" s="197">
      <c r="A12" s="236" t="inlineStr">
        <is>
          <t xml:space="preserve">Стройка: </t>
        </is>
      </c>
      <c r="D12" s="241" t="inlineStr">
        <is>
          <t>Содержание и текущий ремонт МКД Московская область го Щелково, Фряново</t>
        </is>
      </c>
      <c r="E12" s="242" t="n"/>
      <c r="F12" s="242" t="n"/>
      <c r="G12" s="242" t="n"/>
      <c r="H12" s="242" t="n"/>
      <c r="I12" s="242" t="n"/>
      <c r="J12" s="242" t="n"/>
      <c r="K12" s="242" t="n"/>
      <c r="L12" s="242" t="n"/>
      <c r="M12" s="242" t="n"/>
      <c r="N12" s="242" t="n"/>
      <c r="O12" s="242" t="n"/>
      <c r="P12" s="242" t="n"/>
      <c r="Q12" s="242" t="n"/>
      <c r="R12" s="242" t="n"/>
      <c r="S12" s="242" t="n"/>
      <c r="T12" s="242" t="n"/>
      <c r="U12" s="242" t="n"/>
      <c r="V12" s="242" t="n"/>
      <c r="W12" s="240" t="inlineStr"/>
      <c r="AA12" s="237" t="inlineStr"/>
      <c r="AB12" s="238" t="n"/>
      <c r="AC12" s="239" t="n"/>
    </row>
    <row r="13" ht="14.85" customHeight="1" s="197">
      <c r="A13" s="236" t="inlineStr">
        <is>
          <t xml:space="preserve">Объект: </t>
        </is>
      </c>
      <c r="D13" s="241" t="inlineStr">
        <is>
          <t>Содержание и текущий ремонт МКД Московская область го Щелково, Фряново</t>
        </is>
      </c>
      <c r="E13" s="242" t="n"/>
      <c r="F13" s="242" t="n"/>
      <c r="G13" s="242" t="n"/>
      <c r="H13" s="242" t="n"/>
      <c r="I13" s="242" t="n"/>
      <c r="J13" s="242" t="n"/>
      <c r="K13" s="242" t="n"/>
      <c r="L13" s="242" t="n"/>
      <c r="M13" s="242" t="n"/>
      <c r="N13" s="242" t="n"/>
      <c r="O13" s="242" t="n"/>
      <c r="P13" s="242" t="n"/>
      <c r="Q13" s="242" t="n"/>
      <c r="R13" s="242" t="n"/>
      <c r="S13" s="242" t="n"/>
      <c r="T13" s="242" t="n"/>
      <c r="U13" s="242" t="n"/>
      <c r="V13" s="242" t="n"/>
      <c r="W13" s="240" t="inlineStr"/>
      <c r="AA13" s="237" t="inlineStr"/>
      <c r="AB13" s="238" t="n"/>
      <c r="AC13" s="239" t="n"/>
    </row>
    <row r="14" ht="14.85" customHeight="1" s="197">
      <c r="A14" s="240" t="inlineStr">
        <is>
          <t xml:space="preserve">Вид деятельности по ОКДП </t>
        </is>
      </c>
      <c r="AA14" s="237" t="inlineStr"/>
      <c r="AB14" s="238" t="n"/>
      <c r="AC14" s="239" t="n"/>
    </row>
    <row r="15" ht="14.85" customHeight="1" s="197">
      <c r="A15" s="240" t="inlineStr">
        <is>
          <t xml:space="preserve">Договор подряда (контракт) </t>
        </is>
      </c>
      <c r="Y15" s="249" t="inlineStr">
        <is>
          <t>номер</t>
        </is>
      </c>
      <c r="Z15" s="239" t="n"/>
      <c r="AA15" s="250" t="inlineStr"/>
      <c r="AB15" s="238" t="n"/>
      <c r="AC15" s="239" t="n"/>
    </row>
    <row r="16" ht="14.85" customHeight="1" s="197">
      <c r="A16" s="236" t="inlineStr"/>
      <c r="Y16" s="237" t="inlineStr">
        <is>
          <t>дата</t>
        </is>
      </c>
      <c r="Z16" s="239" t="n"/>
      <c r="AA16" s="250" t="inlineStr"/>
      <c r="AB16" s="250" t="inlineStr"/>
      <c r="AC16" s="250" t="inlineStr"/>
    </row>
    <row r="17" ht="14.85" customHeight="1" s="197">
      <c r="A17" s="240" t="inlineStr">
        <is>
          <t>Вид операции</t>
        </is>
      </c>
      <c r="AA17" s="237" t="inlineStr"/>
      <c r="AB17" s="238" t="n"/>
      <c r="AC17" s="239" t="n"/>
    </row>
    <row r="18" ht="12.2" customHeight="1" s="197">
      <c r="A18" s="251" t="inlineStr"/>
    </row>
    <row r="19" ht="14.85" customHeight="1" s="197">
      <c r="A19" s="240" t="inlineStr"/>
      <c r="V19" s="237" t="inlineStr">
        <is>
          <t>Отчетный период</t>
        </is>
      </c>
      <c r="W19" s="238" t="n"/>
      <c r="X19" s="238" t="n"/>
      <c r="Y19" s="238" t="n"/>
      <c r="Z19" s="238" t="n"/>
      <c r="AA19" s="238" t="n"/>
      <c r="AB19" s="238" t="n"/>
      <c r="AC19" s="239" t="n"/>
    </row>
    <row r="20" ht="14.85" customHeight="1" s="197">
      <c r="A20" s="240" t="inlineStr"/>
      <c r="N20" s="237" t="inlineStr">
        <is>
          <t>Номер документа</t>
        </is>
      </c>
      <c r="O20" s="238" t="n"/>
      <c r="P20" s="238" t="n"/>
      <c r="Q20" s="239" t="n"/>
      <c r="R20" s="237" t="inlineStr">
        <is>
          <t>Дата составления</t>
        </is>
      </c>
      <c r="S20" s="238" t="n"/>
      <c r="T20" s="239" t="n"/>
      <c r="U20" s="236" t="inlineStr"/>
      <c r="V20" s="237" t="inlineStr">
        <is>
          <t>с</t>
        </is>
      </c>
      <c r="W20" s="238" t="n"/>
      <c r="X20" s="238" t="n"/>
      <c r="Y20" s="238" t="n"/>
      <c r="Z20" s="239" t="n"/>
      <c r="AA20" s="237" t="inlineStr">
        <is>
          <t>по</t>
        </is>
      </c>
      <c r="AB20" s="238" t="n"/>
      <c r="AC20" s="239" t="n"/>
    </row>
    <row r="21" ht="14.85" customHeight="1" s="197">
      <c r="A21" s="240" t="inlineStr"/>
      <c r="N21" s="237" t="inlineStr"/>
      <c r="O21" s="238" t="n"/>
      <c r="P21" s="238" t="n"/>
      <c r="Q21" s="239" t="n"/>
      <c r="R21" s="237" t="inlineStr">
        <is>
          <t>31.12.2025</t>
        </is>
      </c>
      <c r="S21" s="238" t="n"/>
      <c r="T21" s="239" t="n"/>
      <c r="U21" s="236" t="inlineStr"/>
      <c r="V21" s="250" t="inlineStr">
        <is>
          <t>01.12.2025</t>
        </is>
      </c>
      <c r="W21" s="238" t="n"/>
      <c r="X21" s="238" t="n"/>
      <c r="Y21" s="238" t="n"/>
      <c r="Z21" s="239" t="n"/>
      <c r="AA21" s="250" t="inlineStr">
        <is>
          <t>31.12.2025</t>
        </is>
      </c>
      <c r="AB21" s="238" t="n"/>
      <c r="AC21" s="239" t="n"/>
    </row>
    <row r="22" ht="51.75" customHeight="1" s="197">
      <c r="A22" s="252" t="inlineStr">
        <is>
          <t>АКТ о приемке выполненных работ</t>
        </is>
      </c>
    </row>
    <row r="23" ht="12.2" customHeight="1" s="197">
      <c r="A23" s="251" t="inlineStr"/>
    </row>
    <row r="24" ht="12.2" customHeight="1" s="197">
      <c r="A24" s="253" t="n"/>
      <c r="L24" s="254" t="n"/>
      <c r="O24" s="253" t="n"/>
    </row>
    <row r="25" ht="12.2" customHeight="1" s="197">
      <c r="A25" s="251" t="inlineStr"/>
    </row>
    <row r="26" ht="24.6" customHeight="1" s="197">
      <c r="A26" s="250" t="inlineStr">
        <is>
          <t>Номер</t>
        </is>
      </c>
      <c r="B26" s="245" t="n"/>
      <c r="C26" s="250" t="inlineStr">
        <is>
          <t>Обоснование</t>
        </is>
      </c>
      <c r="D26" s="244" t="n"/>
      <c r="E26" s="244" t="n"/>
      <c r="F26" s="244" t="n"/>
      <c r="G26" s="245" t="n"/>
      <c r="H26" s="250" t="inlineStr">
        <is>
          <t>Наименование работ и затрат</t>
        </is>
      </c>
      <c r="I26" s="244" t="n"/>
      <c r="J26" s="245" t="n"/>
      <c r="K26" s="250" t="inlineStr">
        <is>
          <t>Единица измерения</t>
        </is>
      </c>
      <c r="L26" s="245" t="n"/>
      <c r="M26" s="250" t="inlineStr">
        <is>
          <t>Количество</t>
        </is>
      </c>
      <c r="N26" s="238" t="n"/>
      <c r="O26" s="238" t="n"/>
      <c r="P26" s="238" t="n"/>
      <c r="Q26" s="239" t="n"/>
      <c r="R26" s="250" t="inlineStr">
        <is>
          <t>Сметная стоимость, руб</t>
        </is>
      </c>
      <c r="S26" s="238" t="n"/>
      <c r="T26" s="238" t="n"/>
      <c r="U26" s="238" t="n"/>
      <c r="V26" s="238" t="n"/>
      <c r="W26" s="238" t="n"/>
      <c r="X26" s="238" t="n"/>
      <c r="Y26" s="238" t="n"/>
      <c r="Z26" s="238" t="n"/>
      <c r="AA26" s="238" t="n"/>
      <c r="AB26" s="238" t="n"/>
      <c r="AC26" s="239" t="n"/>
    </row>
    <row r="27" ht="12.2" customHeight="1" s="197">
      <c r="A27" s="255" t="n"/>
      <c r="B27" s="248" t="n"/>
      <c r="C27" s="256" t="n"/>
      <c r="G27" s="257" t="n"/>
      <c r="H27" s="256" t="n"/>
      <c r="J27" s="257" t="n"/>
      <c r="K27" s="256" t="n"/>
      <c r="L27" s="257" t="n"/>
      <c r="M27" s="250" t="inlineStr">
        <is>
          <t>на единицу измерения</t>
        </is>
      </c>
      <c r="N27" s="244" t="n"/>
      <c r="O27" s="245" t="n"/>
      <c r="P27" s="250" t="inlineStr">
        <is>
          <t>коэффициенты</t>
        </is>
      </c>
      <c r="Q27" s="250" t="inlineStr">
        <is>
          <t>всего с учетом коэффициентов</t>
        </is>
      </c>
      <c r="R27" s="250" t="inlineStr">
        <is>
          <t>на единицу измерения в базисном уровне цен</t>
        </is>
      </c>
      <c r="S27" s="250" t="inlineStr">
        <is>
          <t>индекс</t>
        </is>
      </c>
      <c r="T27" s="250" t="inlineStr">
        <is>
          <t>на единицу измерения в текущем уровне цен</t>
        </is>
      </c>
      <c r="U27" s="244" t="n"/>
      <c r="V27" s="244" t="n"/>
      <c r="W27" s="245" t="n"/>
      <c r="X27" s="250" t="inlineStr">
        <is>
          <t>коэффициенты</t>
        </is>
      </c>
      <c r="Y27" s="245" t="n"/>
      <c r="Z27" s="250" t="inlineStr">
        <is>
          <t>всего в текущем уровне цен</t>
        </is>
      </c>
      <c r="AA27" s="244" t="n"/>
      <c r="AB27" s="244" t="n"/>
      <c r="AC27" s="245" t="n"/>
    </row>
    <row r="28" ht="61.35" customHeight="1" s="197">
      <c r="A28" s="250" t="inlineStr">
        <is>
          <t>по пор.</t>
        </is>
      </c>
      <c r="B28" s="250" t="inlineStr">
        <is>
          <t>поз. по см.</t>
        </is>
      </c>
      <c r="C28" s="255" t="n"/>
      <c r="D28" s="242" t="n"/>
      <c r="E28" s="242" t="n"/>
      <c r="F28" s="242" t="n"/>
      <c r="G28" s="248" t="n"/>
      <c r="H28" s="255" t="n"/>
      <c r="I28" s="242" t="n"/>
      <c r="J28" s="248" t="n"/>
      <c r="K28" s="255" t="n"/>
      <c r="L28" s="248" t="n"/>
      <c r="M28" s="255" t="n"/>
      <c r="N28" s="242" t="n"/>
      <c r="O28" s="248" t="n"/>
      <c r="P28" s="258" t="n"/>
      <c r="Q28" s="258" t="n"/>
      <c r="R28" s="258" t="n"/>
      <c r="S28" s="258" t="n"/>
      <c r="T28" s="255" t="n"/>
      <c r="U28" s="242" t="n"/>
      <c r="V28" s="242" t="n"/>
      <c r="W28" s="248" t="n"/>
      <c r="X28" s="255" t="n"/>
      <c r="Y28" s="248" t="n"/>
      <c r="Z28" s="255" t="n"/>
      <c r="AA28" s="242" t="n"/>
      <c r="AB28" s="242" t="n"/>
      <c r="AC28" s="248" t="n"/>
    </row>
    <row r="29" ht="18.4" customHeight="1" s="197">
      <c r="A29" s="250" t="inlineStr">
        <is>
          <t>1</t>
        </is>
      </c>
      <c r="B29" s="250" t="inlineStr">
        <is>
          <t>2</t>
        </is>
      </c>
      <c r="C29" s="250" t="inlineStr">
        <is>
          <t>3</t>
        </is>
      </c>
      <c r="D29" s="238" t="n"/>
      <c r="E29" s="238" t="n"/>
      <c r="F29" s="238" t="n"/>
      <c r="G29" s="239" t="n"/>
      <c r="H29" s="250" t="inlineStr">
        <is>
          <t>4</t>
        </is>
      </c>
      <c r="I29" s="238" t="n"/>
      <c r="J29" s="239" t="n"/>
      <c r="K29" s="250" t="inlineStr">
        <is>
          <t>5</t>
        </is>
      </c>
      <c r="L29" s="239" t="n"/>
      <c r="M29" s="250" t="inlineStr">
        <is>
          <t>6</t>
        </is>
      </c>
      <c r="N29" s="238" t="n"/>
      <c r="O29" s="239" t="n"/>
      <c r="P29" s="250" t="inlineStr">
        <is>
          <t>7</t>
        </is>
      </c>
      <c r="Q29" s="250" t="inlineStr">
        <is>
          <t>8</t>
        </is>
      </c>
      <c r="R29" s="250" t="inlineStr">
        <is>
          <t>9</t>
        </is>
      </c>
      <c r="S29" s="250" t="inlineStr">
        <is>
          <t>10</t>
        </is>
      </c>
      <c r="T29" s="250" t="inlineStr">
        <is>
          <t>11</t>
        </is>
      </c>
      <c r="U29" s="238" t="n"/>
      <c r="V29" s="238" t="n"/>
      <c r="W29" s="239" t="n"/>
      <c r="X29" s="250" t="inlineStr">
        <is>
          <t>12</t>
        </is>
      </c>
      <c r="Y29" s="239" t="n"/>
      <c r="Z29" s="250" t="inlineStr">
        <is>
          <t>13</t>
        </is>
      </c>
      <c r="AA29" s="238" t="n"/>
      <c r="AB29" s="238" t="n"/>
      <c r="AC29" s="239" t="n"/>
    </row>
    <row r="31" ht="12.2" customHeight="1" s="197">
      <c r="A31" s="259" t="inlineStr">
        <is>
          <t>ул Молодежная д 8</t>
        </is>
      </c>
      <c r="B31" s="242" t="n"/>
      <c r="C31" s="242" t="n"/>
      <c r="D31" s="242" t="n"/>
      <c r="E31" s="242" t="n"/>
      <c r="F31" s="242" t="n"/>
      <c r="G31" s="242" t="n"/>
      <c r="H31" s="242" t="n"/>
      <c r="I31" s="242" t="n"/>
      <c r="J31" s="242" t="n"/>
      <c r="K31" s="242" t="n"/>
      <c r="L31" s="242" t="n"/>
      <c r="M31" s="242" t="n"/>
      <c r="N31" s="242" t="n"/>
      <c r="O31" s="242" t="n"/>
      <c r="P31" s="242" t="n"/>
      <c r="Q31" s="242" t="n"/>
      <c r="R31" s="242" t="n"/>
      <c r="S31" s="242" t="n"/>
      <c r="T31" s="242" t="n"/>
      <c r="U31" s="242" t="n"/>
      <c r="V31" s="242" t="n"/>
      <c r="W31" s="242" t="n"/>
      <c r="X31" s="242" t="n"/>
      <c r="Y31" s="242" t="n"/>
      <c r="Z31" s="242" t="n"/>
      <c r="AA31" s="242" t="n"/>
      <c r="AB31" s="242" t="n"/>
      <c r="AC31" s="242" t="n"/>
    </row>
    <row r="33" ht="12.2" customHeight="1" s="197">
      <c r="A33" s="259" t="inlineStr">
        <is>
          <t>сантехнические работы</t>
        </is>
      </c>
      <c r="B33" s="242" t="n"/>
      <c r="C33" s="242" t="n"/>
      <c r="D33" s="242" t="n"/>
      <c r="E33" s="242" t="n"/>
      <c r="F33" s="242" t="n"/>
      <c r="G33" s="242" t="n"/>
      <c r="H33" s="242" t="n"/>
      <c r="I33" s="242" t="n"/>
      <c r="J33" s="242" t="n"/>
      <c r="K33" s="242" t="n"/>
      <c r="L33" s="242" t="n"/>
      <c r="M33" s="242" t="n"/>
      <c r="N33" s="242" t="n"/>
      <c r="O33" s="242" t="n"/>
      <c r="P33" s="242" t="n"/>
      <c r="Q33" s="242" t="n"/>
      <c r="R33" s="242" t="n"/>
      <c r="S33" s="242" t="n"/>
      <c r="T33" s="242" t="n"/>
      <c r="U33" s="242" t="n"/>
      <c r="V33" s="242" t="n"/>
      <c r="W33" s="242" t="n"/>
      <c r="X33" s="242" t="n"/>
      <c r="Y33" s="242" t="n"/>
      <c r="Z33" s="242" t="n"/>
      <c r="AA33" s="242" t="n"/>
      <c r="AB33" s="242" t="n"/>
      <c r="AC33" s="242" t="n"/>
    </row>
    <row r="34" ht="12.2" customHeight="1" s="197">
      <c r="A34" s="251" t="inlineStr">
        <is>
          <t>1</t>
        </is>
      </c>
      <c r="B34" s="260" t="inlineStr">
        <is>
          <t>1</t>
        </is>
      </c>
      <c r="C34" s="260" t="inlineStr">
        <is>
          <t>ГЭСНр 65-01-010-01</t>
        </is>
      </c>
      <c r="H34" s="260" t="inlineStr">
        <is>
          <t>Очистка канализационной сети: внутренней</t>
        </is>
      </c>
      <c r="K34" s="260" t="inlineStr">
        <is>
          <t>100 м</t>
        </is>
      </c>
      <c r="M34" s="261" t="n">
        <v>0.9</v>
      </c>
      <c r="P34" s="235" t="inlineStr"/>
      <c r="Q34" s="262" t="n">
        <v>0.9</v>
      </c>
      <c r="R34" s="235" t="inlineStr"/>
      <c r="S34" s="235" t="inlineStr"/>
      <c r="T34" s="235" t="inlineStr"/>
      <c r="X34" s="235" t="inlineStr"/>
      <c r="Z34" s="235" t="inlineStr"/>
    </row>
    <row r="35" ht="12.2" customHeight="1" s="197">
      <c r="A35" s="251" t="inlineStr"/>
      <c r="B35" s="251" t="inlineStr"/>
      <c r="C35" s="251" t="inlineStr">
        <is>
          <t xml:space="preserve">             1</t>
        </is>
      </c>
      <c r="H35" s="251" t="inlineStr">
        <is>
          <t>ОТ(ЗТ)</t>
        </is>
      </c>
      <c r="K35" s="251" t="inlineStr">
        <is>
          <t>чел.-ч</t>
        </is>
      </c>
      <c r="M35" s="235" t="inlineStr"/>
      <c r="P35" s="235" t="inlineStr"/>
      <c r="Q35" s="263" t="n">
        <v>26.586</v>
      </c>
      <c r="R35" s="235" t="inlineStr"/>
      <c r="S35" s="235" t="inlineStr"/>
      <c r="T35" s="235" t="inlineStr"/>
      <c r="X35" s="235" t="inlineStr"/>
      <c r="Z35" s="262" t="n">
        <v>12055.69</v>
      </c>
    </row>
    <row r="36" ht="12.2" customHeight="1" s="197">
      <c r="A36" s="251" t="inlineStr"/>
      <c r="B36" s="251" t="inlineStr"/>
      <c r="C36" s="251" t="inlineStr">
        <is>
          <t>1-100-25</t>
        </is>
      </c>
      <c r="H36" s="251" t="inlineStr">
        <is>
          <t>Средний разряд работы 2,5</t>
        </is>
      </c>
      <c r="K36" s="251" t="inlineStr">
        <is>
          <t>чел.-ч</t>
        </is>
      </c>
      <c r="M36" s="264" t="n">
        <v>29.54</v>
      </c>
      <c r="P36" s="235" t="inlineStr"/>
      <c r="Q36" s="263" t="n">
        <v>26.586</v>
      </c>
      <c r="R36" s="235" t="inlineStr"/>
      <c r="S36" s="235" t="inlineStr"/>
      <c r="T36" s="264" t="n">
        <v>453.46</v>
      </c>
      <c r="X36" s="235" t="inlineStr"/>
      <c r="Z36" s="264" t="n">
        <v>12055.69</v>
      </c>
    </row>
    <row r="37" ht="12.2" customHeight="1" s="197">
      <c r="A37" s="251" t="inlineStr"/>
      <c r="B37" s="251" t="inlineStr"/>
      <c r="C37" s="251" t="inlineStr">
        <is>
          <t xml:space="preserve">             2</t>
        </is>
      </c>
      <c r="H37" s="251" t="inlineStr">
        <is>
          <t>ЭМ</t>
        </is>
      </c>
      <c r="K37" s="251" t="inlineStr"/>
      <c r="M37" s="235" t="inlineStr"/>
      <c r="P37" s="235" t="inlineStr"/>
      <c r="Q37" s="235" t="inlineStr"/>
      <c r="R37" s="235" t="inlineStr"/>
      <c r="S37" s="235" t="inlineStr"/>
      <c r="T37" s="235" t="inlineStr"/>
      <c r="X37" s="235" t="inlineStr"/>
      <c r="Z37" s="262" t="n">
        <v>5.77</v>
      </c>
    </row>
    <row r="38" ht="12.2" customHeight="1" s="197">
      <c r="A38" s="265" t="inlineStr"/>
      <c r="B38" s="265" t="inlineStr"/>
      <c r="C38" s="265" t="inlineStr"/>
      <c r="H38" s="265" t="inlineStr">
        <is>
          <t>ОТм(ЗТм)</t>
        </is>
      </c>
      <c r="K38" s="265" t="inlineStr">
        <is>
          <t>чел.-ч</t>
        </is>
      </c>
      <c r="M38" s="266" t="inlineStr"/>
      <c r="P38" s="266" t="inlineStr"/>
      <c r="Q38" s="267" t="n">
        <v>0.008999999999999999</v>
      </c>
      <c r="R38" s="266" t="inlineStr"/>
      <c r="S38" s="266" t="inlineStr"/>
      <c r="T38" s="266" t="inlineStr"/>
      <c r="X38" s="266" t="inlineStr"/>
      <c r="Z38" s="262" t="n">
        <v>4.8</v>
      </c>
    </row>
    <row r="39" ht="12.2" customHeight="1" s="197">
      <c r="A39" s="251" t="inlineStr"/>
      <c r="B39" s="251" t="inlineStr"/>
      <c r="C39" s="251" t="inlineStr">
        <is>
          <t>91.14.02-001</t>
        </is>
      </c>
      <c r="H39" s="251" t="inlineStr">
        <is>
          <t>Автомобили бортовые, грузоподъемность до 5 т</t>
        </is>
      </c>
      <c r="K39" s="251" t="inlineStr">
        <is>
          <t>маш.-ч</t>
        </is>
      </c>
      <c r="M39" s="264" t="n">
        <v>0.01</v>
      </c>
      <c r="P39" s="235" t="inlineStr"/>
      <c r="Q39" s="263" t="n">
        <v>0.008999999999999999</v>
      </c>
      <c r="R39" s="235" t="inlineStr"/>
      <c r="S39" s="235" t="inlineStr"/>
      <c r="T39" s="264" t="n">
        <v>640.84</v>
      </c>
      <c r="X39" s="235" t="inlineStr"/>
      <c r="Z39" s="264" t="n">
        <v>5.77</v>
      </c>
    </row>
    <row r="40" ht="12.2" customHeight="1" s="197">
      <c r="A40" s="251" t="inlineStr"/>
      <c r="B40" s="251" t="inlineStr"/>
      <c r="C40" s="251" t="inlineStr">
        <is>
          <t>4-100-040</t>
        </is>
      </c>
      <c r="H40" s="251" t="inlineStr">
        <is>
          <t>ОТм(ЗТм) Средний разряд машинистов 4,0</t>
        </is>
      </c>
      <c r="K40" s="251" t="inlineStr">
        <is>
          <t>чел.-ч</t>
        </is>
      </c>
      <c r="M40" s="264" t="n">
        <v>0.01</v>
      </c>
      <c r="P40" s="235" t="inlineStr"/>
      <c r="Q40" s="263" t="n">
        <v>0.008999999999999999</v>
      </c>
      <c r="R40" s="235" t="inlineStr"/>
      <c r="S40" s="235" t="inlineStr"/>
      <c r="T40" s="264" t="n">
        <v>533.01</v>
      </c>
      <c r="X40" s="235" t="inlineStr"/>
      <c r="Z40" s="264" t="n">
        <v>4.8</v>
      </c>
    </row>
    <row r="41" ht="12.2" customHeight="1" s="197">
      <c r="A41" s="251" t="inlineStr"/>
      <c r="B41" s="251" t="inlineStr"/>
      <c r="C41" s="251" t="inlineStr">
        <is>
          <t xml:space="preserve">             4</t>
        </is>
      </c>
      <c r="H41" s="251" t="inlineStr">
        <is>
          <t>М</t>
        </is>
      </c>
      <c r="K41" s="251" t="inlineStr"/>
      <c r="M41" s="235" t="inlineStr"/>
      <c r="P41" s="235" t="inlineStr"/>
      <c r="Q41" s="235" t="inlineStr"/>
      <c r="R41" s="235" t="inlineStr"/>
      <c r="S41" s="235" t="inlineStr"/>
      <c r="T41" s="235" t="inlineStr"/>
      <c r="X41" s="235" t="inlineStr"/>
      <c r="Z41" s="262" t="n">
        <v>1315.36</v>
      </c>
    </row>
    <row r="42" ht="12.2" customHeight="1" s="197">
      <c r="A42" s="251" t="inlineStr"/>
      <c r="B42" s="251" t="inlineStr"/>
      <c r="C42" s="251" t="inlineStr">
        <is>
          <t>01.7.03.01-0001</t>
        </is>
      </c>
      <c r="H42" s="251" t="inlineStr">
        <is>
          <t>Вода</t>
        </is>
      </c>
      <c r="K42" s="251" t="inlineStr">
        <is>
          <t>м3</t>
        </is>
      </c>
      <c r="M42" s="261" t="n">
        <v>7.8</v>
      </c>
      <c r="P42" s="235" t="inlineStr"/>
      <c r="Q42" s="264" t="n">
        <v>7.02</v>
      </c>
      <c r="R42" s="264" t="n">
        <v>35.71</v>
      </c>
      <c r="S42" s="264" t="n">
        <v>0.89</v>
      </c>
      <c r="T42" s="264" t="n">
        <v>31.78</v>
      </c>
      <c r="X42" s="235" t="inlineStr"/>
      <c r="Z42" s="264" t="n">
        <v>223.1</v>
      </c>
    </row>
    <row r="43" ht="48.95" customHeight="1" s="197">
      <c r="A43" s="251" t="inlineStr"/>
      <c r="B43" s="251" t="inlineStr"/>
      <c r="C43" s="251" t="inlineStr">
        <is>
          <t>01.7.15.03-0014</t>
        </is>
      </c>
      <c r="H43" s="251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43" s="251" t="inlineStr">
        <is>
          <t>т</t>
        </is>
      </c>
      <c r="M43" s="263" t="n">
        <v>0.005</v>
      </c>
      <c r="P43" s="235" t="inlineStr"/>
      <c r="Q43" s="268" t="n">
        <v>0.0045</v>
      </c>
      <c r="R43" s="264" t="n">
        <v>145801.49</v>
      </c>
      <c r="S43" s="264" t="n">
        <v>1.11</v>
      </c>
      <c r="T43" s="264" t="n">
        <v>161839.65</v>
      </c>
      <c r="X43" s="235" t="inlineStr"/>
      <c r="Z43" s="264" t="n">
        <v>728.28</v>
      </c>
    </row>
    <row r="44" ht="24.6" customHeight="1" s="197">
      <c r="A44" s="251" t="inlineStr"/>
      <c r="B44" s="251" t="inlineStr"/>
      <c r="C44" s="251" t="inlineStr">
        <is>
          <t>01.7.19.04-0031</t>
        </is>
      </c>
      <c r="H44" s="251" t="inlineStr">
        <is>
          <t>Прокладки резиновые (пластина техническая прессованная)</t>
        </is>
      </c>
      <c r="K44" s="251" t="inlineStr">
        <is>
          <t>кг</t>
        </is>
      </c>
      <c r="M44" s="269" t="n">
        <v>2</v>
      </c>
      <c r="P44" s="235" t="inlineStr"/>
      <c r="Q44" s="264" t="n">
        <v>1.8</v>
      </c>
      <c r="R44" s="264" t="n">
        <v>138.5</v>
      </c>
      <c r="S44" s="264" t="n">
        <v>1.46</v>
      </c>
      <c r="T44" s="264" t="n">
        <v>202.21</v>
      </c>
      <c r="X44" s="235" t="inlineStr"/>
      <c r="Z44" s="264" t="n">
        <v>363.98</v>
      </c>
    </row>
    <row r="45" ht="12.2" customHeight="1" s="197">
      <c r="A45" s="251" t="inlineStr"/>
      <c r="B45" s="251" t="inlineStr"/>
      <c r="C45" s="251" t="inlineStr"/>
      <c r="H45" s="270" t="inlineStr">
        <is>
          <t>Итого прямые затраты</t>
        </is>
      </c>
      <c r="I45" s="244" t="n"/>
      <c r="J45" s="244" t="n"/>
      <c r="K45" s="271" t="inlineStr"/>
      <c r="L45" s="244" t="n"/>
      <c r="M45" s="271" t="inlineStr"/>
      <c r="N45" s="244" t="n"/>
      <c r="O45" s="244" t="n"/>
      <c r="P45" s="271" t="inlineStr"/>
      <c r="Q45" s="271" t="inlineStr"/>
      <c r="R45" s="271" t="inlineStr"/>
      <c r="S45" s="271" t="inlineStr"/>
      <c r="T45" s="271" t="inlineStr"/>
      <c r="U45" s="244" t="n"/>
      <c r="V45" s="244" t="n"/>
      <c r="W45" s="244" t="n"/>
      <c r="X45" s="271" t="inlineStr"/>
      <c r="Y45" s="244" t="n"/>
      <c r="Z45" s="272" t="n">
        <v>13381.62</v>
      </c>
      <c r="AA45" s="244" t="n"/>
      <c r="AB45" s="244" t="n"/>
      <c r="AC45" s="244" t="n"/>
    </row>
    <row r="46" ht="12.2" customHeight="1" s="197">
      <c r="C46" s="251" t="inlineStr"/>
      <c r="H46" s="251" t="inlineStr">
        <is>
          <t>ФОТ</t>
        </is>
      </c>
      <c r="K46" s="251" t="inlineStr"/>
      <c r="M46" s="235" t="inlineStr"/>
      <c r="P46" s="235" t="inlineStr"/>
      <c r="Q46" s="235" t="inlineStr"/>
      <c r="R46" s="251" t="inlineStr"/>
      <c r="S46" s="251" t="inlineStr"/>
      <c r="T46" s="251" t="inlineStr"/>
      <c r="X46" s="251" t="inlineStr"/>
      <c r="Z46" s="264" t="n">
        <v>12060.49</v>
      </c>
    </row>
    <row r="47" ht="36.75" customHeight="1" s="197">
      <c r="C47" s="251" t="inlineStr">
        <is>
          <t>812/пр_2020_прил._т._п.99.2_гр.3</t>
        </is>
      </c>
      <c r="H47" s="251" t="inlineStr">
        <is>
          <t>НР (Внутренние санитарно-технические работы: смена труб, санприборов, запорной арматуры и другое)</t>
        </is>
      </c>
      <c r="K47" s="251" t="inlineStr">
        <is>
          <t>%</t>
        </is>
      </c>
      <c r="M47" s="269" t="n">
        <v>103</v>
      </c>
      <c r="P47" s="235" t="inlineStr"/>
      <c r="Q47" s="264" t="n">
        <v>103</v>
      </c>
      <c r="R47" s="251" t="inlineStr"/>
      <c r="S47" s="251" t="inlineStr"/>
      <c r="T47" s="251" t="inlineStr"/>
      <c r="X47" s="251" t="inlineStr"/>
      <c r="Z47" s="264" t="n">
        <v>12422.3</v>
      </c>
    </row>
    <row r="48" ht="36.75" customHeight="1" s="197">
      <c r="C48" s="251" t="inlineStr">
        <is>
          <t>774/пр_2020_прил._т._п.99.2_гр.3</t>
        </is>
      </c>
      <c r="H48" s="251" t="inlineStr">
        <is>
          <t>СП (Внутренние санитарно-технические работы: смена труб, санприборов, запорной арматуры и другое)</t>
        </is>
      </c>
      <c r="K48" s="251" t="inlineStr">
        <is>
          <t>%</t>
        </is>
      </c>
      <c r="M48" s="269" t="n">
        <v>52</v>
      </c>
      <c r="P48" s="235" t="inlineStr"/>
      <c r="Q48" s="264" t="n">
        <v>52</v>
      </c>
      <c r="R48" s="251" t="inlineStr"/>
      <c r="S48" s="251" t="inlineStr"/>
      <c r="T48" s="251" t="inlineStr"/>
      <c r="X48" s="251" t="inlineStr"/>
      <c r="Z48" s="264" t="n">
        <v>6271.45</v>
      </c>
    </row>
    <row r="49">
      <c r="A49" s="273" t="n"/>
      <c r="B49" s="273" t="n"/>
      <c r="C49" s="273" t="n"/>
      <c r="D49" s="273" t="n"/>
      <c r="E49" s="273" t="n"/>
      <c r="F49" s="273" t="n"/>
      <c r="G49" s="273" t="n"/>
      <c r="H49" s="273" t="n"/>
      <c r="I49" s="273" t="n"/>
      <c r="J49" s="273" t="n"/>
      <c r="K49" s="273" t="n"/>
      <c r="L49" s="273" t="n"/>
      <c r="M49" s="273" t="n"/>
      <c r="N49" s="273" t="n"/>
      <c r="O49" s="273" t="n"/>
      <c r="P49" s="273" t="n"/>
      <c r="Q49" s="273" t="n"/>
      <c r="R49" s="273" t="n"/>
      <c r="S49" s="273" t="n"/>
      <c r="T49" s="273" t="n"/>
      <c r="U49" s="273" t="n"/>
      <c r="V49" s="273" t="n"/>
      <c r="W49" s="273" t="n"/>
      <c r="X49" s="273" t="n"/>
      <c r="Y49" s="273" t="n"/>
      <c r="Z49" s="273" t="n"/>
      <c r="AA49" s="273" t="n"/>
      <c r="AB49" s="273" t="n"/>
      <c r="AC49" s="273" t="n"/>
    </row>
    <row r="50" ht="12.2" customHeight="1" s="197">
      <c r="H50" s="260" t="inlineStr">
        <is>
          <t>Всего по позиции</t>
        </is>
      </c>
      <c r="S50" s="251" t="inlineStr"/>
      <c r="T50" s="262" t="n">
        <v>35639.3</v>
      </c>
      <c r="X50" s="251" t="inlineStr"/>
      <c r="Z50" s="262" t="n">
        <v>32075.37</v>
      </c>
    </row>
    <row r="51" ht="12.2" customHeight="1" s="197">
      <c r="A51" s="251" t="inlineStr">
        <is>
          <t>2</t>
        </is>
      </c>
      <c r="B51" s="260" t="inlineStr">
        <is>
          <t>2</t>
        </is>
      </c>
      <c r="C51" s="260" t="inlineStr">
        <is>
          <t>ГЭСНр 65-01-010-02</t>
        </is>
      </c>
      <c r="H51" s="260" t="inlineStr">
        <is>
          <t>Очистка канализационной сети: дворовой</t>
        </is>
      </c>
      <c r="K51" s="260" t="inlineStr">
        <is>
          <t>100 м</t>
        </is>
      </c>
      <c r="M51" s="261" t="n">
        <v>0.2</v>
      </c>
      <c r="P51" s="235" t="inlineStr"/>
      <c r="Q51" s="262" t="n">
        <v>0.2</v>
      </c>
      <c r="R51" s="235" t="inlineStr"/>
      <c r="S51" s="235" t="inlineStr"/>
      <c r="T51" s="235" t="inlineStr"/>
      <c r="X51" s="235" t="inlineStr"/>
      <c r="Z51" s="235" t="inlineStr"/>
    </row>
    <row r="52" ht="12.2" customHeight="1" s="197">
      <c r="A52" s="251" t="inlineStr"/>
      <c r="B52" s="251" t="inlineStr"/>
      <c r="C52" s="251" t="inlineStr">
        <is>
          <t xml:space="preserve">             1</t>
        </is>
      </c>
      <c r="H52" s="251" t="inlineStr">
        <is>
          <t>ОТ(ЗТ)</t>
        </is>
      </c>
      <c r="K52" s="251" t="inlineStr">
        <is>
          <t>чел.-ч</t>
        </is>
      </c>
      <c r="M52" s="235" t="inlineStr"/>
      <c r="P52" s="235" t="inlineStr"/>
      <c r="Q52" s="264" t="n">
        <v>21.6</v>
      </c>
      <c r="R52" s="235" t="inlineStr"/>
      <c r="S52" s="235" t="inlineStr"/>
      <c r="T52" s="235" t="inlineStr"/>
      <c r="X52" s="235" t="inlineStr"/>
      <c r="Z52" s="262" t="n">
        <v>9794.74</v>
      </c>
    </row>
    <row r="53" ht="12.2" customHeight="1" s="197">
      <c r="A53" s="251" t="inlineStr"/>
      <c r="B53" s="251" t="inlineStr"/>
      <c r="C53" s="251" t="inlineStr">
        <is>
          <t>1-100-25</t>
        </is>
      </c>
      <c r="H53" s="251" t="inlineStr">
        <is>
          <t>Средний разряд работы 2,5</t>
        </is>
      </c>
      <c r="K53" s="251" t="inlineStr">
        <is>
          <t>чел.-ч</t>
        </is>
      </c>
      <c r="M53" s="269" t="n">
        <v>108</v>
      </c>
      <c r="P53" s="235" t="inlineStr"/>
      <c r="Q53" s="264" t="n">
        <v>21.6</v>
      </c>
      <c r="R53" s="235" t="inlineStr"/>
      <c r="S53" s="235" t="inlineStr"/>
      <c r="T53" s="264" t="n">
        <v>453.46</v>
      </c>
      <c r="X53" s="235" t="inlineStr"/>
      <c r="Z53" s="264" t="n">
        <v>9794.74</v>
      </c>
    </row>
    <row r="54" ht="12.2" customHeight="1" s="197">
      <c r="A54" s="251" t="inlineStr"/>
      <c r="B54" s="251" t="inlineStr"/>
      <c r="C54" s="251" t="inlineStr">
        <is>
          <t xml:space="preserve">             4</t>
        </is>
      </c>
      <c r="H54" s="251" t="inlineStr">
        <is>
          <t>М</t>
        </is>
      </c>
      <c r="K54" s="251" t="inlineStr"/>
      <c r="M54" s="235" t="inlineStr"/>
      <c r="P54" s="235" t="inlineStr"/>
      <c r="Q54" s="235" t="inlineStr"/>
      <c r="R54" s="235" t="inlineStr"/>
      <c r="S54" s="235" t="inlineStr"/>
      <c r="T54" s="235" t="inlineStr"/>
      <c r="X54" s="235" t="inlineStr"/>
      <c r="Z54" s="262" t="n">
        <v>200.21</v>
      </c>
    </row>
    <row r="55" ht="12.2" customHeight="1" s="197">
      <c r="A55" s="251" t="inlineStr"/>
      <c r="B55" s="251" t="inlineStr"/>
      <c r="C55" s="251" t="inlineStr">
        <is>
          <t>01.7.03.01-0001</t>
        </is>
      </c>
      <c r="H55" s="251" t="inlineStr">
        <is>
          <t>Вода</t>
        </is>
      </c>
      <c r="K55" s="251" t="inlineStr">
        <is>
          <t>м3</t>
        </is>
      </c>
      <c r="M55" s="261" t="n">
        <v>31.5</v>
      </c>
      <c r="P55" s="235" t="inlineStr"/>
      <c r="Q55" s="264" t="n">
        <v>6.3</v>
      </c>
      <c r="R55" s="264" t="n">
        <v>35.71</v>
      </c>
      <c r="S55" s="264" t="n">
        <v>0.89</v>
      </c>
      <c r="T55" s="264" t="n">
        <v>31.78</v>
      </c>
      <c r="X55" s="235" t="inlineStr"/>
      <c r="Z55" s="264" t="n">
        <v>200.21</v>
      </c>
    </row>
    <row r="56" ht="12.2" customHeight="1" s="197">
      <c r="A56" s="251" t="inlineStr"/>
      <c r="B56" s="251" t="inlineStr"/>
      <c r="C56" s="251" t="inlineStr"/>
      <c r="H56" s="270" t="inlineStr">
        <is>
          <t>Итого прямые затраты</t>
        </is>
      </c>
      <c r="I56" s="244" t="n"/>
      <c r="J56" s="244" t="n"/>
      <c r="K56" s="271" t="inlineStr"/>
      <c r="L56" s="244" t="n"/>
      <c r="M56" s="271" t="inlineStr"/>
      <c r="N56" s="244" t="n"/>
      <c r="O56" s="244" t="n"/>
      <c r="P56" s="271" t="inlineStr"/>
      <c r="Q56" s="271" t="inlineStr"/>
      <c r="R56" s="271" t="inlineStr"/>
      <c r="S56" s="271" t="inlineStr"/>
      <c r="T56" s="271" t="inlineStr"/>
      <c r="U56" s="244" t="n"/>
      <c r="V56" s="244" t="n"/>
      <c r="W56" s="244" t="n"/>
      <c r="X56" s="271" t="inlineStr"/>
      <c r="Y56" s="244" t="n"/>
      <c r="Z56" s="272" t="n">
        <v>9994.950000000001</v>
      </c>
      <c r="AA56" s="244" t="n"/>
      <c r="AB56" s="244" t="n"/>
      <c r="AC56" s="244" t="n"/>
    </row>
    <row r="57" ht="12.2" customHeight="1" s="197">
      <c r="C57" s="251" t="inlineStr"/>
      <c r="H57" s="251" t="inlineStr">
        <is>
          <t>ФОТ</t>
        </is>
      </c>
      <c r="K57" s="251" t="inlineStr"/>
      <c r="M57" s="235" t="inlineStr"/>
      <c r="P57" s="235" t="inlineStr"/>
      <c r="Q57" s="235" t="inlineStr"/>
      <c r="R57" s="251" t="inlineStr"/>
      <c r="S57" s="251" t="inlineStr"/>
      <c r="T57" s="251" t="inlineStr"/>
      <c r="X57" s="251" t="inlineStr"/>
      <c r="Z57" s="264" t="n">
        <v>9794.74</v>
      </c>
    </row>
    <row r="58" ht="36.75" customHeight="1" s="197">
      <c r="C58" s="251" t="inlineStr">
        <is>
          <t>812/пр_2020_прил._т._п.99.2_гр.3</t>
        </is>
      </c>
      <c r="H58" s="251" t="inlineStr">
        <is>
          <t>НР (Внутренние санитарно-технические работы: смена труб, санприборов, запорной арматуры и другое)</t>
        </is>
      </c>
      <c r="K58" s="251" t="inlineStr">
        <is>
          <t>%</t>
        </is>
      </c>
      <c r="M58" s="269" t="n">
        <v>103</v>
      </c>
      <c r="P58" s="235" t="inlineStr"/>
      <c r="Q58" s="264" t="n">
        <v>103</v>
      </c>
      <c r="R58" s="251" t="inlineStr"/>
      <c r="S58" s="251" t="inlineStr"/>
      <c r="T58" s="251" t="inlineStr"/>
      <c r="X58" s="251" t="inlineStr"/>
      <c r="Z58" s="264" t="n">
        <v>10088.58</v>
      </c>
    </row>
    <row r="59" ht="36.75" customHeight="1" s="197">
      <c r="C59" s="251" t="inlineStr">
        <is>
          <t>774/пр_2020_прил._т._п.99.2_гр.3</t>
        </is>
      </c>
      <c r="H59" s="251" t="inlineStr">
        <is>
          <t>СП (Внутренние санитарно-технические работы: смена труб, санприборов, запорной арматуры и другое)</t>
        </is>
      </c>
      <c r="K59" s="251" t="inlineStr">
        <is>
          <t>%</t>
        </is>
      </c>
      <c r="M59" s="269" t="n">
        <v>52</v>
      </c>
      <c r="P59" s="235" t="inlineStr"/>
      <c r="Q59" s="264" t="n">
        <v>52</v>
      </c>
      <c r="R59" s="251" t="inlineStr"/>
      <c r="S59" s="251" t="inlineStr"/>
      <c r="T59" s="251" t="inlineStr"/>
      <c r="X59" s="251" t="inlineStr"/>
      <c r="Z59" s="264" t="n">
        <v>5093.26</v>
      </c>
    </row>
    <row r="60">
      <c r="A60" s="273" t="n"/>
      <c r="B60" s="273" t="n"/>
      <c r="C60" s="273" t="n"/>
      <c r="D60" s="273" t="n"/>
      <c r="E60" s="273" t="n"/>
      <c r="F60" s="273" t="n"/>
      <c r="G60" s="273" t="n"/>
      <c r="H60" s="273" t="n"/>
      <c r="I60" s="273" t="n"/>
      <c r="J60" s="273" t="n"/>
      <c r="K60" s="273" t="n"/>
      <c r="L60" s="273" t="n"/>
      <c r="M60" s="273" t="n"/>
      <c r="N60" s="273" t="n"/>
      <c r="O60" s="273" t="n"/>
      <c r="P60" s="273" t="n"/>
      <c r="Q60" s="273" t="n"/>
      <c r="R60" s="273" t="n"/>
      <c r="S60" s="273" t="n"/>
      <c r="T60" s="273" t="n"/>
      <c r="U60" s="273" t="n"/>
      <c r="V60" s="273" t="n"/>
      <c r="W60" s="273" t="n"/>
      <c r="X60" s="273" t="n"/>
      <c r="Y60" s="273" t="n"/>
      <c r="Z60" s="273" t="n"/>
      <c r="AA60" s="273" t="n"/>
      <c r="AB60" s="273" t="n"/>
      <c r="AC60" s="273" t="n"/>
    </row>
    <row r="61" ht="12.2" customHeight="1" s="197">
      <c r="H61" s="260" t="inlineStr">
        <is>
          <t>Всего по позиции</t>
        </is>
      </c>
      <c r="S61" s="251" t="inlineStr"/>
      <c r="T61" s="262" t="n">
        <v>125883.95</v>
      </c>
      <c r="X61" s="251" t="inlineStr"/>
      <c r="Z61" s="262" t="n">
        <v>25176.79</v>
      </c>
    </row>
    <row r="62" ht="24.6" customHeight="1" s="197">
      <c r="A62" s="251" t="inlineStr">
        <is>
          <t>3</t>
        </is>
      </c>
      <c r="B62" s="260" t="inlineStr">
        <is>
          <t>3</t>
        </is>
      </c>
      <c r="C62" s="260" t="inlineStr">
        <is>
          <t>ГЭСНр 65-01-005-01</t>
        </is>
      </c>
      <c r="H62" s="260" t="inlineStr">
        <is>
          <t>Смена вентилей и клапанов обратных муфтовых диаметром: до 20 мм</t>
        </is>
      </c>
      <c r="K62" s="260" t="inlineStr">
        <is>
          <t>100 шт</t>
        </is>
      </c>
      <c r="M62" s="264" t="n">
        <v>0.01</v>
      </c>
      <c r="P62" s="235" t="inlineStr"/>
      <c r="Q62" s="262" t="n">
        <v>0.01</v>
      </c>
      <c r="R62" s="235" t="inlineStr"/>
      <c r="S62" s="235" t="inlineStr"/>
      <c r="T62" s="235" t="inlineStr"/>
      <c r="X62" s="235" t="inlineStr"/>
      <c r="Z62" s="235" t="inlineStr"/>
    </row>
    <row r="63" ht="12.2" customHeight="1" s="197">
      <c r="A63" s="251" t="inlineStr"/>
      <c r="B63" s="251" t="inlineStr"/>
      <c r="C63" s="251" t="inlineStr">
        <is>
          <t xml:space="preserve">             1</t>
        </is>
      </c>
      <c r="H63" s="251" t="inlineStr">
        <is>
          <t>ОТ(ЗТ)</t>
        </is>
      </c>
      <c r="K63" s="251" t="inlineStr">
        <is>
          <t>чел.-ч</t>
        </is>
      </c>
      <c r="M63" s="235" t="inlineStr"/>
      <c r="P63" s="235" t="inlineStr"/>
      <c r="Q63" s="263" t="n">
        <v>0.5580000000000001</v>
      </c>
      <c r="R63" s="235" t="inlineStr"/>
      <c r="S63" s="235" t="inlineStr"/>
      <c r="T63" s="235" t="inlineStr"/>
      <c r="X63" s="235" t="inlineStr"/>
      <c r="Z63" s="262" t="n">
        <v>280.77</v>
      </c>
    </row>
    <row r="64" ht="12.2" customHeight="1" s="197">
      <c r="A64" s="251" t="inlineStr"/>
      <c r="B64" s="251" t="inlineStr"/>
      <c r="C64" s="251" t="inlineStr">
        <is>
          <t>1-100-35</t>
        </is>
      </c>
      <c r="H64" s="251" t="inlineStr">
        <is>
          <t>Средний разряд работы 3,5</t>
        </is>
      </c>
      <c r="K64" s="251" t="inlineStr">
        <is>
          <t>чел.-ч</t>
        </is>
      </c>
      <c r="M64" s="261" t="n">
        <v>55.8</v>
      </c>
      <c r="P64" s="235" t="inlineStr"/>
      <c r="Q64" s="263" t="n">
        <v>0.5580000000000001</v>
      </c>
      <c r="R64" s="235" t="inlineStr"/>
      <c r="S64" s="235" t="inlineStr"/>
      <c r="T64" s="264" t="n">
        <v>503.18</v>
      </c>
      <c r="X64" s="235" t="inlineStr"/>
      <c r="Z64" s="264" t="n">
        <v>280.77</v>
      </c>
    </row>
    <row r="65" ht="12.2" customHeight="1" s="197">
      <c r="A65" s="251" t="inlineStr"/>
      <c r="B65" s="251" t="inlineStr"/>
      <c r="C65" s="251" t="inlineStr">
        <is>
          <t xml:space="preserve">             2</t>
        </is>
      </c>
      <c r="H65" s="251" t="inlineStr">
        <is>
          <t>ЭМ</t>
        </is>
      </c>
      <c r="K65" s="251" t="inlineStr"/>
      <c r="M65" s="235" t="inlineStr"/>
      <c r="P65" s="235" t="inlineStr"/>
      <c r="Q65" s="235" t="inlineStr"/>
      <c r="R65" s="235" t="inlineStr"/>
      <c r="S65" s="235" t="inlineStr"/>
      <c r="T65" s="235" t="inlineStr"/>
      <c r="X65" s="235" t="inlineStr"/>
      <c r="Z65" s="262" t="n">
        <v>0.32</v>
      </c>
    </row>
    <row r="66" ht="12.2" customHeight="1" s="197">
      <c r="A66" s="265" t="inlineStr"/>
      <c r="B66" s="265" t="inlineStr"/>
      <c r="C66" s="265" t="inlineStr"/>
      <c r="H66" s="265" t="inlineStr">
        <is>
          <t>ОТм(ЗТм)</t>
        </is>
      </c>
      <c r="K66" s="265" t="inlineStr">
        <is>
          <t>чел.-ч</t>
        </is>
      </c>
      <c r="M66" s="266" t="inlineStr"/>
      <c r="P66" s="266" t="inlineStr"/>
      <c r="Q66" s="274" t="n">
        <v>0.0005</v>
      </c>
      <c r="R66" s="266" t="inlineStr"/>
      <c r="S66" s="266" t="inlineStr"/>
      <c r="T66" s="266" t="inlineStr"/>
      <c r="X66" s="266" t="inlineStr"/>
      <c r="Z66" s="262" t="n">
        <v>0.27</v>
      </c>
    </row>
    <row r="67" ht="12.2" customHeight="1" s="197">
      <c r="A67" s="251" t="inlineStr"/>
      <c r="B67" s="251" t="inlineStr"/>
      <c r="C67" s="251" t="inlineStr">
        <is>
          <t>91.14.02-001</t>
        </is>
      </c>
      <c r="H67" s="251" t="inlineStr">
        <is>
          <t>Автомобили бортовые, грузоподъемность до 5 т</t>
        </is>
      </c>
      <c r="K67" s="251" t="inlineStr">
        <is>
          <t>маш.-ч</t>
        </is>
      </c>
      <c r="M67" s="264" t="n">
        <v>0.05</v>
      </c>
      <c r="P67" s="235" t="inlineStr"/>
      <c r="Q67" s="268" t="n">
        <v>0.0005</v>
      </c>
      <c r="R67" s="235" t="inlineStr"/>
      <c r="S67" s="235" t="inlineStr"/>
      <c r="T67" s="264" t="n">
        <v>640.84</v>
      </c>
      <c r="X67" s="235" t="inlineStr"/>
      <c r="Z67" s="264" t="n">
        <v>0.32</v>
      </c>
    </row>
    <row r="68" ht="12.2" customHeight="1" s="197">
      <c r="A68" s="251" t="inlineStr"/>
      <c r="B68" s="251" t="inlineStr"/>
      <c r="C68" s="251" t="inlineStr">
        <is>
          <t>4-100-040</t>
        </is>
      </c>
      <c r="H68" s="251" t="inlineStr">
        <is>
          <t>ОТм(ЗТм) Средний разряд машинистов 4,0</t>
        </is>
      </c>
      <c r="K68" s="251" t="inlineStr">
        <is>
          <t>чел.-ч</t>
        </is>
      </c>
      <c r="M68" s="264" t="n">
        <v>0.05</v>
      </c>
      <c r="P68" s="235" t="inlineStr"/>
      <c r="Q68" s="268" t="n">
        <v>0.0005</v>
      </c>
      <c r="R68" s="235" t="inlineStr"/>
      <c r="S68" s="235" t="inlineStr"/>
      <c r="T68" s="264" t="n">
        <v>533.01</v>
      </c>
      <c r="X68" s="235" t="inlineStr"/>
      <c r="Z68" s="264" t="n">
        <v>0.27</v>
      </c>
    </row>
    <row r="69" ht="12.2" customHeight="1" s="197">
      <c r="A69" s="251" t="inlineStr"/>
      <c r="B69" s="251" t="inlineStr"/>
      <c r="C69" s="251" t="inlineStr">
        <is>
          <t xml:space="preserve">             4</t>
        </is>
      </c>
      <c r="H69" s="251" t="inlineStr">
        <is>
          <t>М</t>
        </is>
      </c>
      <c r="K69" s="251" t="inlineStr"/>
      <c r="M69" s="235" t="inlineStr"/>
      <c r="P69" s="235" t="inlineStr"/>
      <c r="Q69" s="235" t="inlineStr"/>
      <c r="R69" s="235" t="inlineStr"/>
      <c r="S69" s="235" t="inlineStr"/>
      <c r="T69" s="235" t="inlineStr"/>
      <c r="X69" s="235" t="inlineStr"/>
      <c r="Z69" s="262" t="n">
        <v>3.31</v>
      </c>
    </row>
    <row r="70" ht="12.2" customHeight="1" s="197">
      <c r="A70" s="251" t="inlineStr"/>
      <c r="B70" s="251" t="inlineStr"/>
      <c r="C70" s="251" t="inlineStr">
        <is>
          <t>01.7.07.29-0101</t>
        </is>
      </c>
      <c r="H70" s="251" t="inlineStr">
        <is>
          <t>Очес льняной</t>
        </is>
      </c>
      <c r="K70" s="251" t="inlineStr">
        <is>
          <t>кг</t>
        </is>
      </c>
      <c r="M70" s="261" t="n">
        <v>0.7</v>
      </c>
      <c r="P70" s="235" t="inlineStr"/>
      <c r="Q70" s="263" t="n">
        <v>0.007</v>
      </c>
      <c r="R70" s="264" t="n">
        <v>128.4</v>
      </c>
      <c r="S70" s="264" t="n">
        <v>1.31</v>
      </c>
      <c r="T70" s="264" t="n">
        <v>168.2</v>
      </c>
      <c r="X70" s="235" t="inlineStr"/>
      <c r="Z70" s="264" t="n">
        <v>1.18</v>
      </c>
    </row>
    <row r="71" ht="24.6" customHeight="1" s="197">
      <c r="A71" s="251" t="inlineStr"/>
      <c r="B71" s="251" t="inlineStr"/>
      <c r="C71" s="251" t="inlineStr">
        <is>
          <t>14.4.02.04-0142</t>
        </is>
      </c>
      <c r="H71" s="251" t="inlineStr">
        <is>
          <t>Краска масляная МА-0115, мумия, сурик железный</t>
        </is>
      </c>
      <c r="K71" s="251" t="inlineStr">
        <is>
          <t>кг</t>
        </is>
      </c>
      <c r="M71" s="261" t="n">
        <v>1.4</v>
      </c>
      <c r="P71" s="235" t="inlineStr"/>
      <c r="Q71" s="263" t="n">
        <v>0.014</v>
      </c>
      <c r="R71" s="264" t="n">
        <v>79.88</v>
      </c>
      <c r="S71" s="264" t="n">
        <v>1.44</v>
      </c>
      <c r="T71" s="264" t="n">
        <v>115.03</v>
      </c>
      <c r="X71" s="235" t="inlineStr"/>
      <c r="Z71" s="264" t="n">
        <v>1.61</v>
      </c>
    </row>
    <row r="72" ht="36.75" customHeight="1" s="197">
      <c r="A72" s="251" t="inlineStr"/>
      <c r="B72" s="251" t="inlineStr"/>
      <c r="C72" s="251" t="inlineStr">
        <is>
          <t>14.5.05.01-0012</t>
        </is>
      </c>
      <c r="H72" s="251" t="inlineStr">
        <is>
          <t>Олифа комбинированная для разведения масляных густотертых красок и для внешних работ по деревянным поверхностям</t>
        </is>
      </c>
      <c r="K72" s="251" t="inlineStr">
        <is>
          <t>т</t>
        </is>
      </c>
      <c r="M72" s="268" t="n">
        <v>0.0007</v>
      </c>
      <c r="P72" s="235" t="inlineStr"/>
      <c r="Q72" s="275" t="n">
        <v>7e-06</v>
      </c>
      <c r="R72" s="264" t="n">
        <v>60697.21</v>
      </c>
      <c r="S72" s="264" t="n">
        <v>1.22</v>
      </c>
      <c r="T72" s="264" t="n">
        <v>74050.60000000001</v>
      </c>
      <c r="X72" s="235" t="inlineStr"/>
      <c r="Z72" s="264" t="n">
        <v>0.52</v>
      </c>
    </row>
    <row r="73" ht="12.2" customHeight="1" s="197">
      <c r="A73" s="251" t="inlineStr"/>
      <c r="B73" s="251" t="inlineStr"/>
      <c r="C73" s="251" t="inlineStr">
        <is>
          <t>18.1.10.01</t>
        </is>
      </c>
      <c r="H73" s="251" t="inlineStr">
        <is>
          <t>Арматура муфтовая</t>
        </is>
      </c>
      <c r="K73" s="251" t="inlineStr">
        <is>
          <t>шт</t>
        </is>
      </c>
      <c r="M73" s="269" t="n">
        <v>100</v>
      </c>
      <c r="P73" s="235" t="inlineStr"/>
      <c r="Q73" s="264" t="n">
        <v>1</v>
      </c>
      <c r="R73" s="235" t="inlineStr"/>
      <c r="S73" s="235" t="inlineStr"/>
      <c r="T73" s="235" t="inlineStr"/>
      <c r="X73" s="235" t="inlineStr"/>
      <c r="Z73" s="235" t="inlineStr"/>
    </row>
    <row r="74" ht="24.6" customHeight="1" s="197">
      <c r="A74" s="251" t="inlineStr"/>
      <c r="B74" s="251" t="inlineStr"/>
      <c r="C74" s="251" t="inlineStr">
        <is>
          <t>999-9899</t>
        </is>
      </c>
      <c r="H74" s="251" t="inlineStr">
        <is>
          <t>Строительный мусор и масса возвратных материалов</t>
        </is>
      </c>
      <c r="K74" s="251" t="inlineStr">
        <is>
          <t>т</t>
        </is>
      </c>
      <c r="M74" s="264" t="n">
        <v>0.04</v>
      </c>
      <c r="P74" s="235" t="inlineStr"/>
      <c r="Q74" s="268" t="n">
        <v>0.0004</v>
      </c>
      <c r="R74" s="235" t="inlineStr"/>
      <c r="S74" s="235" t="inlineStr"/>
      <c r="T74" s="235" t="inlineStr"/>
      <c r="X74" s="235" t="inlineStr"/>
      <c r="Z74" s="235" t="inlineStr"/>
    </row>
    <row r="75" ht="12.2" customHeight="1" s="197">
      <c r="A75" s="251" t="inlineStr"/>
      <c r="B75" s="251" t="inlineStr"/>
      <c r="C75" s="251" t="inlineStr"/>
      <c r="H75" s="270" t="inlineStr">
        <is>
          <t>Итого прямые затраты</t>
        </is>
      </c>
      <c r="I75" s="244" t="n"/>
      <c r="J75" s="244" t="n"/>
      <c r="K75" s="271" t="inlineStr"/>
      <c r="L75" s="244" t="n"/>
      <c r="M75" s="271" t="inlineStr"/>
      <c r="N75" s="244" t="n"/>
      <c r="O75" s="244" t="n"/>
      <c r="P75" s="271" t="inlineStr"/>
      <c r="Q75" s="271" t="inlineStr"/>
      <c r="R75" s="271" t="inlineStr"/>
      <c r="S75" s="271" t="inlineStr"/>
      <c r="T75" s="271" t="inlineStr"/>
      <c r="U75" s="244" t="n"/>
      <c r="V75" s="244" t="n"/>
      <c r="W75" s="244" t="n"/>
      <c r="X75" s="271" t="inlineStr"/>
      <c r="Y75" s="244" t="n"/>
      <c r="Z75" s="272" t="n">
        <v>284.67</v>
      </c>
      <c r="AA75" s="244" t="n"/>
      <c r="AB75" s="244" t="n"/>
      <c r="AC75" s="244" t="n"/>
    </row>
    <row r="76" ht="12.2" customHeight="1" s="197">
      <c r="C76" s="251" t="inlineStr"/>
      <c r="H76" s="251" t="inlineStr">
        <is>
          <t>ФОТ</t>
        </is>
      </c>
      <c r="K76" s="251" t="inlineStr"/>
      <c r="M76" s="235" t="inlineStr"/>
      <c r="P76" s="235" t="inlineStr"/>
      <c r="Q76" s="235" t="inlineStr"/>
      <c r="R76" s="251" t="inlineStr"/>
      <c r="S76" s="251" t="inlineStr"/>
      <c r="T76" s="251" t="inlineStr"/>
      <c r="X76" s="251" t="inlineStr"/>
      <c r="Z76" s="264" t="n">
        <v>281.04</v>
      </c>
    </row>
    <row r="77" ht="36.75" customHeight="1" s="197">
      <c r="C77" s="251" t="inlineStr">
        <is>
          <t>812/пр_2020_прил._т._п.99.2_гр.3</t>
        </is>
      </c>
      <c r="H77" s="251" t="inlineStr">
        <is>
          <t>НР (Внутренние санитарно-технические работы: смена труб, санприборов, запорной арматуры и другое)</t>
        </is>
      </c>
      <c r="K77" s="251" t="inlineStr">
        <is>
          <t>%</t>
        </is>
      </c>
      <c r="M77" s="269" t="n">
        <v>103</v>
      </c>
      <c r="P77" s="235" t="inlineStr"/>
      <c r="Q77" s="264" t="n">
        <v>103</v>
      </c>
      <c r="R77" s="251" t="inlineStr"/>
      <c r="S77" s="251" t="inlineStr"/>
      <c r="T77" s="251" t="inlineStr"/>
      <c r="X77" s="251" t="inlineStr"/>
      <c r="Z77" s="264" t="n">
        <v>289.47</v>
      </c>
    </row>
    <row r="78" ht="36.75" customHeight="1" s="197">
      <c r="C78" s="251" t="inlineStr">
        <is>
          <t>774/пр_2020_прил._т._п.99.2_гр.3</t>
        </is>
      </c>
      <c r="H78" s="251" t="inlineStr">
        <is>
          <t>СП (Внутренние санитарно-технические работы: смена труб, санприборов, запорной арматуры и другое)</t>
        </is>
      </c>
      <c r="K78" s="251" t="inlineStr">
        <is>
          <t>%</t>
        </is>
      </c>
      <c r="M78" s="269" t="n">
        <v>52</v>
      </c>
      <c r="P78" s="235" t="inlineStr"/>
      <c r="Q78" s="264" t="n">
        <v>52</v>
      </c>
      <c r="R78" s="251" t="inlineStr"/>
      <c r="S78" s="251" t="inlineStr"/>
      <c r="T78" s="251" t="inlineStr"/>
      <c r="X78" s="251" t="inlineStr"/>
      <c r="Z78" s="264" t="n">
        <v>146.14</v>
      </c>
    </row>
    <row r="79">
      <c r="A79" s="273" t="n"/>
      <c r="B79" s="273" t="n"/>
      <c r="C79" s="273" t="n"/>
      <c r="D79" s="273" t="n"/>
      <c r="E79" s="273" t="n"/>
      <c r="F79" s="273" t="n"/>
      <c r="G79" s="273" t="n"/>
      <c r="H79" s="273" t="n"/>
      <c r="I79" s="273" t="n"/>
      <c r="J79" s="273" t="n"/>
      <c r="K79" s="273" t="n"/>
      <c r="L79" s="273" t="n"/>
      <c r="M79" s="273" t="n"/>
      <c r="N79" s="273" t="n"/>
      <c r="O79" s="273" t="n"/>
      <c r="P79" s="273" t="n"/>
      <c r="Q79" s="273" t="n"/>
      <c r="R79" s="273" t="n"/>
      <c r="S79" s="273" t="n"/>
      <c r="T79" s="273" t="n"/>
      <c r="U79" s="273" t="n"/>
      <c r="V79" s="273" t="n"/>
      <c r="W79" s="273" t="n"/>
      <c r="X79" s="273" t="n"/>
      <c r="Y79" s="273" t="n"/>
      <c r="Z79" s="273" t="n"/>
      <c r="AA79" s="273" t="n"/>
      <c r="AB79" s="273" t="n"/>
      <c r="AC79" s="273" t="n"/>
    </row>
    <row r="80" ht="12.2" customHeight="1" s="197">
      <c r="H80" s="260" t="inlineStr">
        <is>
          <t>Всего по позиции</t>
        </is>
      </c>
      <c r="S80" s="251" t="inlineStr"/>
      <c r="T80" s="262" t="n">
        <v>72028</v>
      </c>
      <c r="X80" s="251" t="inlineStr"/>
      <c r="Z80" s="262" t="n">
        <v>720.28</v>
      </c>
    </row>
    <row r="81" ht="36.75" customHeight="1" s="197">
      <c r="A81" s="251" t="inlineStr">
        <is>
          <t>4</t>
        </is>
      </c>
      <c r="B81" s="260" t="inlineStr">
        <is>
          <t>4</t>
        </is>
      </c>
      <c r="C81" s="260" t="inlineStr">
        <is>
          <t>18.1.09.06-0041</t>
        </is>
      </c>
      <c r="H81" s="260" t="inlineStr">
        <is>
          <t>Кран шаровой латунный 11Б41п3, присоединение к трубопроводу муфтовое, номинальное давление 1,6 МПа, номинальный диаметр 15 мм</t>
        </is>
      </c>
      <c r="K81" s="260" t="inlineStr">
        <is>
          <t>шт</t>
        </is>
      </c>
      <c r="M81" s="269" t="n">
        <v>1</v>
      </c>
      <c r="P81" s="235" t="inlineStr"/>
      <c r="Q81" s="262" t="n">
        <v>1</v>
      </c>
      <c r="R81" s="264" t="n">
        <v>158.92</v>
      </c>
      <c r="S81" s="264" t="n">
        <v>1.49</v>
      </c>
      <c r="T81" s="264" t="n">
        <v>236.79</v>
      </c>
      <c r="X81" s="235" t="inlineStr"/>
      <c r="Z81" s="264" t="n">
        <v>236.79</v>
      </c>
    </row>
    <row r="82" ht="12.2" customHeight="1" s="197">
      <c r="C82" s="251" t="inlineStr"/>
      <c r="H82" s="251" t="inlineStr"/>
      <c r="K82" s="251" t="inlineStr"/>
      <c r="M82" s="235" t="inlineStr"/>
      <c r="P82" s="235" t="inlineStr"/>
      <c r="Q82" s="235" t="inlineStr"/>
      <c r="R82" s="251" t="inlineStr"/>
      <c r="S82" s="251" t="inlineStr"/>
      <c r="T82" s="251" t="inlineStr"/>
      <c r="X82" s="251" t="inlineStr"/>
      <c r="Z82" s="235" t="inlineStr"/>
    </row>
    <row r="83">
      <c r="A83" s="273" t="n"/>
      <c r="B83" s="273" t="n"/>
      <c r="C83" s="273" t="n"/>
      <c r="D83" s="273" t="n"/>
      <c r="E83" s="273" t="n"/>
      <c r="F83" s="273" t="n"/>
      <c r="G83" s="273" t="n"/>
      <c r="H83" s="273" t="n"/>
      <c r="I83" s="273" t="n"/>
      <c r="J83" s="273" t="n"/>
      <c r="K83" s="273" t="n"/>
      <c r="L83" s="273" t="n"/>
      <c r="M83" s="273" t="n"/>
      <c r="N83" s="273" t="n"/>
      <c r="O83" s="273" t="n"/>
      <c r="P83" s="273" t="n"/>
      <c r="Q83" s="273" t="n"/>
      <c r="R83" s="273" t="n"/>
      <c r="S83" s="273" t="n"/>
      <c r="T83" s="273" t="n"/>
      <c r="U83" s="273" t="n"/>
      <c r="V83" s="273" t="n"/>
      <c r="W83" s="273" t="n"/>
      <c r="X83" s="273" t="n"/>
      <c r="Y83" s="273" t="n"/>
      <c r="Z83" s="273" t="n"/>
      <c r="AA83" s="273" t="n"/>
      <c r="AB83" s="273" t="n"/>
      <c r="AC83" s="273" t="n"/>
    </row>
    <row r="84" ht="12.2" customHeight="1" s="197">
      <c r="H84" s="260" t="inlineStr">
        <is>
          <t>Всего по позиции</t>
        </is>
      </c>
      <c r="S84" s="251" t="inlineStr"/>
      <c r="T84" s="262" t="n">
        <v>236.79</v>
      </c>
      <c r="X84" s="251" t="inlineStr"/>
      <c r="Z84" s="262" t="n">
        <v>236.79</v>
      </c>
    </row>
    <row r="85" ht="12.2" customHeight="1" s="197">
      <c r="C85" s="276" t="inlineStr"/>
      <c r="H85" s="276" t="inlineStr">
        <is>
          <t>Итого по подразделу</t>
        </is>
      </c>
      <c r="Q85" s="276" t="inlineStr"/>
      <c r="R85" s="276" t="inlineStr"/>
      <c r="Z85" s="277" t="n">
        <v>58209.23</v>
      </c>
    </row>
    <row r="87" ht="12.2" customHeight="1" s="197">
      <c r="A87" s="259" t="inlineStr">
        <is>
          <t>электромонтажные работы</t>
        </is>
      </c>
      <c r="B87" s="242" t="n"/>
      <c r="C87" s="242" t="n"/>
      <c r="D87" s="242" t="n"/>
      <c r="E87" s="242" t="n"/>
      <c r="F87" s="242" t="n"/>
      <c r="G87" s="242" t="n"/>
      <c r="H87" s="242" t="n"/>
      <c r="I87" s="242" t="n"/>
      <c r="J87" s="242" t="n"/>
      <c r="K87" s="242" t="n"/>
      <c r="L87" s="242" t="n"/>
      <c r="M87" s="242" t="n"/>
      <c r="N87" s="242" t="n"/>
      <c r="O87" s="242" t="n"/>
      <c r="P87" s="242" t="n"/>
      <c r="Q87" s="242" t="n"/>
      <c r="R87" s="242" t="n"/>
      <c r="S87" s="242" t="n"/>
      <c r="T87" s="242" t="n"/>
      <c r="U87" s="242" t="n"/>
      <c r="V87" s="242" t="n"/>
      <c r="W87" s="242" t="n"/>
      <c r="X87" s="242" t="n"/>
      <c r="Y87" s="242" t="n"/>
      <c r="Z87" s="242" t="n"/>
      <c r="AA87" s="242" t="n"/>
      <c r="AB87" s="242" t="n"/>
      <c r="AC87" s="242" t="n"/>
    </row>
    <row r="88" ht="24.6" customHeight="1" s="197">
      <c r="A88" s="251" t="inlineStr">
        <is>
          <t>5</t>
        </is>
      </c>
      <c r="B88" s="260" t="inlineStr">
        <is>
          <t>5</t>
        </is>
      </c>
      <c r="C88" s="260" t="inlineStr">
        <is>
          <t>ГЭСНр 67-01-013-01</t>
        </is>
      </c>
      <c r="H88" s="260" t="inlineStr">
        <is>
          <t>Ремонт групповых щитков на лестничной клетке без ремонта автоматов</t>
        </is>
      </c>
      <c r="K88" s="260" t="inlineStr">
        <is>
          <t>100 шт</t>
        </is>
      </c>
      <c r="M88" s="264" t="n">
        <v>0.05</v>
      </c>
      <c r="P88" s="235" t="inlineStr"/>
      <c r="Q88" s="262" t="n">
        <v>0.05</v>
      </c>
      <c r="R88" s="235" t="inlineStr"/>
      <c r="S88" s="235" t="inlineStr"/>
      <c r="T88" s="235" t="inlineStr"/>
      <c r="X88" s="235" t="inlineStr"/>
      <c r="Z88" s="235" t="inlineStr"/>
    </row>
    <row r="89" ht="12.2" customHeight="1" s="197">
      <c r="A89" s="251" t="inlineStr"/>
      <c r="B89" s="251" t="inlineStr"/>
      <c r="C89" s="251" t="inlineStr">
        <is>
          <t xml:space="preserve">             1</t>
        </is>
      </c>
      <c r="H89" s="251" t="inlineStr">
        <is>
          <t>ОТ(ЗТ)</t>
        </is>
      </c>
      <c r="K89" s="251" t="inlineStr">
        <is>
          <t>чел.-ч</t>
        </is>
      </c>
      <c r="M89" s="235" t="inlineStr"/>
      <c r="P89" s="235" t="inlineStr"/>
      <c r="Q89" s="263" t="n">
        <v>6.035</v>
      </c>
      <c r="R89" s="235" t="inlineStr"/>
      <c r="S89" s="235" t="inlineStr"/>
      <c r="T89" s="235" t="inlineStr"/>
      <c r="X89" s="235" t="inlineStr"/>
      <c r="Z89" s="262" t="n">
        <v>3216.72</v>
      </c>
    </row>
    <row r="90" ht="12.2" customHeight="1" s="197">
      <c r="A90" s="251" t="inlineStr"/>
      <c r="B90" s="251" t="inlineStr"/>
      <c r="C90" s="251" t="inlineStr">
        <is>
          <t>1-100-40</t>
        </is>
      </c>
      <c r="H90" s="251" t="inlineStr">
        <is>
          <t>Средний разряд работы 4,0</t>
        </is>
      </c>
      <c r="K90" s="251" t="inlineStr">
        <is>
          <t>чел.-ч</t>
        </is>
      </c>
      <c r="M90" s="261" t="n">
        <v>120.7</v>
      </c>
      <c r="P90" s="235" t="inlineStr"/>
      <c r="Q90" s="263" t="n">
        <v>6.035</v>
      </c>
      <c r="R90" s="235" t="inlineStr"/>
      <c r="S90" s="235" t="inlineStr"/>
      <c r="T90" s="264" t="n">
        <v>533.01</v>
      </c>
      <c r="X90" s="235" t="inlineStr"/>
      <c r="Z90" s="264" t="n">
        <v>3216.72</v>
      </c>
    </row>
    <row r="91" ht="12.2" customHeight="1" s="197">
      <c r="A91" s="251" t="inlineStr"/>
      <c r="B91" s="251" t="inlineStr"/>
      <c r="C91" s="251" t="inlineStr"/>
      <c r="H91" s="270" t="inlineStr">
        <is>
          <t>Итого прямые затраты</t>
        </is>
      </c>
      <c r="I91" s="244" t="n"/>
      <c r="J91" s="244" t="n"/>
      <c r="K91" s="271" t="inlineStr"/>
      <c r="L91" s="244" t="n"/>
      <c r="M91" s="271" t="inlineStr"/>
      <c r="N91" s="244" t="n"/>
      <c r="O91" s="244" t="n"/>
      <c r="P91" s="271" t="inlineStr"/>
      <c r="Q91" s="271" t="inlineStr"/>
      <c r="R91" s="271" t="inlineStr"/>
      <c r="S91" s="271" t="inlineStr"/>
      <c r="T91" s="271" t="inlineStr"/>
      <c r="U91" s="244" t="n"/>
      <c r="V91" s="244" t="n"/>
      <c r="W91" s="244" t="n"/>
      <c r="X91" s="271" t="inlineStr"/>
      <c r="Y91" s="244" t="n"/>
      <c r="Z91" s="272" t="n">
        <v>3216.72</v>
      </c>
      <c r="AA91" s="244" t="n"/>
      <c r="AB91" s="244" t="n"/>
      <c r="AC91" s="244" t="n"/>
    </row>
    <row r="92" ht="12.2" customHeight="1" s="197">
      <c r="C92" s="251" t="inlineStr"/>
      <c r="H92" s="251" t="inlineStr">
        <is>
          <t>ФОТ</t>
        </is>
      </c>
      <c r="K92" s="251" t="inlineStr"/>
      <c r="M92" s="235" t="inlineStr"/>
      <c r="P92" s="235" t="inlineStr"/>
      <c r="Q92" s="235" t="inlineStr"/>
      <c r="R92" s="251" t="inlineStr"/>
      <c r="S92" s="251" t="inlineStr"/>
      <c r="T92" s="251" t="inlineStr"/>
      <c r="X92" s="251" t="inlineStr"/>
      <c r="Z92" s="264" t="n">
        <v>3216.72</v>
      </c>
    </row>
    <row r="93" ht="24.6" customHeight="1" s="197">
      <c r="C93" s="251" t="inlineStr">
        <is>
          <t>812/пр_2020_прил._т._п.101_гр.3</t>
        </is>
      </c>
      <c r="H93" s="251" t="inlineStr">
        <is>
          <t>НР (Электромонтажные работы)</t>
        </is>
      </c>
      <c r="K93" s="251" t="inlineStr">
        <is>
          <t>%</t>
        </is>
      </c>
      <c r="M93" s="269" t="n">
        <v>91</v>
      </c>
      <c r="P93" s="235" t="inlineStr"/>
      <c r="Q93" s="264" t="n">
        <v>91</v>
      </c>
      <c r="R93" s="251" t="inlineStr"/>
      <c r="S93" s="251" t="inlineStr"/>
      <c r="T93" s="251" t="inlineStr"/>
      <c r="X93" s="251" t="inlineStr"/>
      <c r="Z93" s="264" t="n">
        <v>2927.22</v>
      </c>
    </row>
    <row r="94" ht="24.6" customHeight="1" s="197">
      <c r="C94" s="251" t="inlineStr">
        <is>
          <t>774/пр_2020_прил._т._п.101_гр.3</t>
        </is>
      </c>
      <c r="H94" s="251" t="inlineStr">
        <is>
          <t>СП (Электромонтажные работы)</t>
        </is>
      </c>
      <c r="K94" s="251" t="inlineStr">
        <is>
          <t>%</t>
        </is>
      </c>
      <c r="M94" s="269" t="n">
        <v>48</v>
      </c>
      <c r="P94" s="235" t="inlineStr"/>
      <c r="Q94" s="264" t="n">
        <v>48</v>
      </c>
      <c r="R94" s="251" t="inlineStr"/>
      <c r="S94" s="251" t="inlineStr"/>
      <c r="T94" s="251" t="inlineStr"/>
      <c r="X94" s="251" t="inlineStr"/>
      <c r="Z94" s="264" t="n">
        <v>1544.03</v>
      </c>
    </row>
    <row r="95">
      <c r="A95" s="273" t="n"/>
      <c r="B95" s="273" t="n"/>
      <c r="C95" s="273" t="n"/>
      <c r="D95" s="273" t="n"/>
      <c r="E95" s="273" t="n"/>
      <c r="F95" s="273" t="n"/>
      <c r="G95" s="273" t="n"/>
      <c r="H95" s="273" t="n"/>
      <c r="I95" s="273" t="n"/>
      <c r="J95" s="273" t="n"/>
      <c r="K95" s="273" t="n"/>
      <c r="L95" s="273" t="n"/>
      <c r="M95" s="273" t="n"/>
      <c r="N95" s="273" t="n"/>
      <c r="O95" s="273" t="n"/>
      <c r="P95" s="273" t="n"/>
      <c r="Q95" s="273" t="n"/>
      <c r="R95" s="273" t="n"/>
      <c r="S95" s="273" t="n"/>
      <c r="T95" s="273" t="n"/>
      <c r="U95" s="273" t="n"/>
      <c r="V95" s="273" t="n"/>
      <c r="W95" s="273" t="n"/>
      <c r="X95" s="273" t="n"/>
      <c r="Y95" s="273" t="n"/>
      <c r="Z95" s="273" t="n"/>
      <c r="AA95" s="273" t="n"/>
      <c r="AB95" s="273" t="n"/>
      <c r="AC95" s="273" t="n"/>
    </row>
    <row r="96" ht="12.2" customHeight="1" s="197">
      <c r="H96" s="260" t="inlineStr">
        <is>
          <t>Всего по позиции</t>
        </is>
      </c>
      <c r="S96" s="251" t="inlineStr"/>
      <c r="T96" s="262" t="n">
        <v>153759.4</v>
      </c>
      <c r="X96" s="251" t="inlineStr"/>
      <c r="Z96" s="262" t="n">
        <v>7687.97</v>
      </c>
    </row>
    <row r="97" ht="12.2" customHeight="1" s="197">
      <c r="A97" s="251" t="inlineStr">
        <is>
          <t>6</t>
        </is>
      </c>
      <c r="B97" s="260" t="inlineStr">
        <is>
          <t>6</t>
        </is>
      </c>
      <c r="C97" s="260" t="inlineStr">
        <is>
          <t>ГЭСНр 67-01-005-01</t>
        </is>
      </c>
      <c r="H97" s="260" t="inlineStr">
        <is>
          <t>Смена ламп: накаливания</t>
        </is>
      </c>
      <c r="K97" s="260" t="inlineStr">
        <is>
          <t>100 шт</t>
        </is>
      </c>
      <c r="M97" s="264" t="n">
        <v>0.01</v>
      </c>
      <c r="P97" s="235" t="inlineStr"/>
      <c r="Q97" s="262" t="n">
        <v>0.01</v>
      </c>
      <c r="R97" s="235" t="inlineStr"/>
      <c r="S97" s="235" t="inlineStr"/>
      <c r="T97" s="235" t="inlineStr"/>
      <c r="X97" s="235" t="inlineStr"/>
      <c r="Z97" s="235" t="inlineStr"/>
    </row>
    <row r="98" ht="12.2" customHeight="1" s="197">
      <c r="A98" s="251" t="inlineStr"/>
      <c r="B98" s="251" t="inlineStr"/>
      <c r="C98" s="251" t="inlineStr">
        <is>
          <t xml:space="preserve">             1</t>
        </is>
      </c>
      <c r="H98" s="251" t="inlineStr">
        <is>
          <t>ОТ(ЗТ)</t>
        </is>
      </c>
      <c r="K98" s="251" t="inlineStr">
        <is>
          <t>чел.-ч</t>
        </is>
      </c>
      <c r="M98" s="235" t="inlineStr"/>
      <c r="P98" s="235" t="inlineStr"/>
      <c r="Q98" s="263" t="n">
        <v>0.07099999999999999</v>
      </c>
      <c r="R98" s="235" t="inlineStr"/>
      <c r="S98" s="235" t="inlineStr"/>
      <c r="T98" s="235" t="inlineStr"/>
      <c r="X98" s="235" t="inlineStr"/>
      <c r="Z98" s="262" t="n">
        <v>33.61</v>
      </c>
    </row>
    <row r="99" ht="12.2" customHeight="1" s="197">
      <c r="A99" s="251" t="inlineStr"/>
      <c r="B99" s="251" t="inlineStr"/>
      <c r="C99" s="251" t="inlineStr">
        <is>
          <t>1-100-30</t>
        </is>
      </c>
      <c r="H99" s="251" t="inlineStr">
        <is>
          <t>0</t>
        </is>
      </c>
      <c r="K99" s="251" t="inlineStr">
        <is>
          <t>чел.-ч</t>
        </is>
      </c>
      <c r="M99" s="261" t="n">
        <v>7.1</v>
      </c>
      <c r="P99" s="235" t="inlineStr"/>
      <c r="Q99" s="263" t="n">
        <v>0.07099999999999999</v>
      </c>
      <c r="R99" s="235" t="inlineStr"/>
      <c r="S99" s="235" t="inlineStr"/>
      <c r="T99" s="264" t="n">
        <v>473.35</v>
      </c>
      <c r="X99" s="235" t="inlineStr"/>
      <c r="Z99" s="264" t="n">
        <v>33.61</v>
      </c>
    </row>
    <row r="100" ht="12.2" customHeight="1" s="197">
      <c r="A100" s="251" t="inlineStr"/>
      <c r="B100" s="251" t="inlineStr"/>
      <c r="C100" s="251" t="inlineStr">
        <is>
          <t xml:space="preserve">             4</t>
        </is>
      </c>
      <c r="H100" s="251" t="inlineStr">
        <is>
          <t>М</t>
        </is>
      </c>
      <c r="K100" s="251" t="inlineStr"/>
      <c r="M100" s="235" t="inlineStr"/>
      <c r="P100" s="235" t="inlineStr"/>
      <c r="Q100" s="235" t="inlineStr"/>
      <c r="R100" s="235" t="inlineStr"/>
      <c r="S100" s="235" t="inlineStr"/>
      <c r="T100" s="235" t="inlineStr"/>
      <c r="X100" s="235" t="inlineStr"/>
      <c r="Z100" s="262" t="n">
        <v>0</v>
      </c>
    </row>
    <row r="101" ht="12.2" customHeight="1" s="197">
      <c r="A101" s="251" t="inlineStr"/>
      <c r="B101" s="251" t="inlineStr"/>
      <c r="C101" s="251" t="inlineStr">
        <is>
          <t>20.3.02.10</t>
        </is>
      </c>
      <c r="H101" s="251" t="inlineStr">
        <is>
          <t>Лампы накаливания</t>
        </is>
      </c>
      <c r="K101" s="251" t="inlineStr">
        <is>
          <t>шт</t>
        </is>
      </c>
      <c r="M101" s="269" t="n">
        <v>100</v>
      </c>
      <c r="P101" s="235" t="inlineStr"/>
      <c r="Q101" s="264" t="n">
        <v>1</v>
      </c>
      <c r="R101" s="235" t="inlineStr"/>
      <c r="S101" s="235" t="inlineStr"/>
      <c r="T101" s="235" t="inlineStr"/>
      <c r="X101" s="235" t="inlineStr"/>
      <c r="Z101" s="235" t="inlineStr"/>
    </row>
    <row r="102" ht="12.2" customHeight="1" s="197">
      <c r="A102" s="251" t="inlineStr"/>
      <c r="B102" s="251" t="inlineStr"/>
      <c r="C102" s="251" t="inlineStr"/>
      <c r="H102" s="270" t="inlineStr">
        <is>
          <t>Итого прямые затраты</t>
        </is>
      </c>
      <c r="I102" s="244" t="n"/>
      <c r="J102" s="244" t="n"/>
      <c r="K102" s="271" t="inlineStr"/>
      <c r="L102" s="244" t="n"/>
      <c r="M102" s="271" t="inlineStr"/>
      <c r="N102" s="244" t="n"/>
      <c r="O102" s="244" t="n"/>
      <c r="P102" s="271" t="inlineStr"/>
      <c r="Q102" s="271" t="inlineStr"/>
      <c r="R102" s="271" t="inlineStr"/>
      <c r="S102" s="271" t="inlineStr"/>
      <c r="T102" s="271" t="inlineStr"/>
      <c r="U102" s="244" t="n"/>
      <c r="V102" s="244" t="n"/>
      <c r="W102" s="244" t="n"/>
      <c r="X102" s="271" t="inlineStr"/>
      <c r="Y102" s="244" t="n"/>
      <c r="Z102" s="272" t="n">
        <v>33.61</v>
      </c>
      <c r="AA102" s="244" t="n"/>
      <c r="AB102" s="244" t="n"/>
      <c r="AC102" s="244" t="n"/>
    </row>
    <row r="103" ht="12.2" customHeight="1" s="197">
      <c r="C103" s="251" t="inlineStr"/>
      <c r="H103" s="251" t="inlineStr">
        <is>
          <t>ФОТ</t>
        </is>
      </c>
      <c r="K103" s="251" t="inlineStr"/>
      <c r="M103" s="235" t="inlineStr"/>
      <c r="P103" s="235" t="inlineStr"/>
      <c r="Q103" s="235" t="inlineStr"/>
      <c r="R103" s="251" t="inlineStr"/>
      <c r="S103" s="251" t="inlineStr"/>
      <c r="T103" s="251" t="inlineStr"/>
      <c r="X103" s="251" t="inlineStr"/>
      <c r="Z103" s="264" t="n">
        <v>33.61</v>
      </c>
    </row>
    <row r="104" ht="24.6" customHeight="1" s="197">
      <c r="C104" s="251" t="inlineStr">
        <is>
          <t>812/пр_2020_прил._т._п.101_гр.3</t>
        </is>
      </c>
      <c r="H104" s="251" t="inlineStr">
        <is>
          <t>НР (Электромонтажные работы)</t>
        </is>
      </c>
      <c r="K104" s="251" t="inlineStr">
        <is>
          <t>%</t>
        </is>
      </c>
      <c r="M104" s="269" t="n">
        <v>91</v>
      </c>
      <c r="P104" s="235" t="inlineStr"/>
      <c r="Q104" s="264" t="n">
        <v>91</v>
      </c>
      <c r="R104" s="251" t="inlineStr"/>
      <c r="S104" s="251" t="inlineStr"/>
      <c r="T104" s="251" t="inlineStr"/>
      <c r="X104" s="251" t="inlineStr"/>
      <c r="Z104" s="264" t="n">
        <v>30.59</v>
      </c>
    </row>
    <row r="105" ht="24.6" customHeight="1" s="197">
      <c r="C105" s="251" t="inlineStr">
        <is>
          <t>774/пр_2020_прил._т._п.101_гр.3</t>
        </is>
      </c>
      <c r="H105" s="251" t="inlineStr">
        <is>
          <t>СП (Электромонтажные работы)</t>
        </is>
      </c>
      <c r="K105" s="251" t="inlineStr">
        <is>
          <t>%</t>
        </is>
      </c>
      <c r="M105" s="269" t="n">
        <v>48</v>
      </c>
      <c r="P105" s="235" t="inlineStr"/>
      <c r="Q105" s="264" t="n">
        <v>48</v>
      </c>
      <c r="R105" s="251" t="inlineStr"/>
      <c r="S105" s="251" t="inlineStr"/>
      <c r="T105" s="251" t="inlineStr"/>
      <c r="X105" s="251" t="inlineStr"/>
      <c r="Z105" s="264" t="n">
        <v>16.13</v>
      </c>
    </row>
    <row r="106">
      <c r="A106" s="273" t="n"/>
      <c r="B106" s="273" t="n"/>
      <c r="C106" s="273" t="n"/>
      <c r="D106" s="273" t="n"/>
      <c r="E106" s="273" t="n"/>
      <c r="F106" s="273" t="n"/>
      <c r="G106" s="273" t="n"/>
      <c r="H106" s="273" t="n"/>
      <c r="I106" s="273" t="n"/>
      <c r="J106" s="273" t="n"/>
      <c r="K106" s="273" t="n"/>
      <c r="L106" s="273" t="n"/>
      <c r="M106" s="273" t="n"/>
      <c r="N106" s="273" t="n"/>
      <c r="O106" s="273" t="n"/>
      <c r="P106" s="273" t="n"/>
      <c r="Q106" s="273" t="n"/>
      <c r="R106" s="273" t="n"/>
      <c r="S106" s="273" t="n"/>
      <c r="T106" s="273" t="n"/>
      <c r="U106" s="273" t="n"/>
      <c r="V106" s="273" t="n"/>
      <c r="W106" s="273" t="n"/>
      <c r="X106" s="273" t="n"/>
      <c r="Y106" s="273" t="n"/>
      <c r="Z106" s="273" t="n"/>
      <c r="AA106" s="273" t="n"/>
      <c r="AB106" s="273" t="n"/>
      <c r="AC106" s="273" t="n"/>
    </row>
    <row r="107" ht="12.2" customHeight="1" s="197">
      <c r="H107" s="260" t="inlineStr">
        <is>
          <t>Всего по позиции</t>
        </is>
      </c>
      <c r="S107" s="251" t="inlineStr"/>
      <c r="T107" s="262" t="n">
        <v>8033</v>
      </c>
      <c r="X107" s="251" t="inlineStr"/>
      <c r="Z107" s="262" t="n">
        <v>80.33</v>
      </c>
    </row>
    <row r="108" ht="24.6" customHeight="1" s="197">
      <c r="A108" s="251" t="inlineStr">
        <is>
          <t>7</t>
        </is>
      </c>
      <c r="B108" s="260" t="inlineStr">
        <is>
          <t>7</t>
        </is>
      </c>
      <c r="C108" s="260" t="inlineStr">
        <is>
          <t>20.3.02.12-0010</t>
        </is>
      </c>
      <c r="H108" s="260" t="inlineStr">
        <is>
          <t>Лампа энергосберегающая с цоколем E27, мощность 14 Вт</t>
        </is>
      </c>
      <c r="K108" s="260" t="inlineStr">
        <is>
          <t>шт</t>
        </is>
      </c>
      <c r="M108" s="269" t="n">
        <v>1</v>
      </c>
      <c r="P108" s="235" t="inlineStr"/>
      <c r="Q108" s="262" t="n">
        <v>1</v>
      </c>
      <c r="R108" s="264" t="n">
        <v>19.84</v>
      </c>
      <c r="S108" s="264" t="n">
        <v>1.41</v>
      </c>
      <c r="T108" s="264" t="n">
        <v>27.97</v>
      </c>
      <c r="X108" s="235" t="inlineStr"/>
      <c r="Z108" s="264" t="n">
        <v>27.97</v>
      </c>
    </row>
    <row r="109" ht="12.2" customHeight="1" s="197">
      <c r="C109" s="251" t="inlineStr"/>
      <c r="H109" s="251" t="inlineStr"/>
      <c r="K109" s="251" t="inlineStr"/>
      <c r="M109" s="235" t="inlineStr"/>
      <c r="P109" s="235" t="inlineStr"/>
      <c r="Q109" s="235" t="inlineStr"/>
      <c r="R109" s="251" t="inlineStr"/>
      <c r="S109" s="251" t="inlineStr"/>
      <c r="T109" s="251" t="inlineStr"/>
      <c r="X109" s="251" t="inlineStr"/>
      <c r="Z109" s="235" t="inlineStr"/>
    </row>
    <row r="110">
      <c r="A110" s="273" t="n"/>
      <c r="B110" s="273" t="n"/>
      <c r="C110" s="273" t="n"/>
      <c r="D110" s="273" t="n"/>
      <c r="E110" s="273" t="n"/>
      <c r="F110" s="273" t="n"/>
      <c r="G110" s="273" t="n"/>
      <c r="H110" s="273" t="n"/>
      <c r="I110" s="273" t="n"/>
      <c r="J110" s="273" t="n"/>
      <c r="K110" s="273" t="n"/>
      <c r="L110" s="273" t="n"/>
      <c r="M110" s="273" t="n"/>
      <c r="N110" s="273" t="n"/>
      <c r="O110" s="273" t="n"/>
      <c r="P110" s="273" t="n"/>
      <c r="Q110" s="273" t="n"/>
      <c r="R110" s="273" t="n"/>
      <c r="S110" s="273" t="n"/>
      <c r="T110" s="273" t="n"/>
      <c r="U110" s="273" t="n"/>
      <c r="V110" s="273" t="n"/>
      <c r="W110" s="273" t="n"/>
      <c r="X110" s="273" t="n"/>
      <c r="Y110" s="273" t="n"/>
      <c r="Z110" s="273" t="n"/>
      <c r="AA110" s="273" t="n"/>
      <c r="AB110" s="273" t="n"/>
      <c r="AC110" s="273" t="n"/>
    </row>
    <row r="111" ht="12.2" customHeight="1" s="197">
      <c r="H111" s="260" t="inlineStr">
        <is>
          <t>Всего по позиции</t>
        </is>
      </c>
      <c r="S111" s="251" t="inlineStr"/>
      <c r="T111" s="262" t="n">
        <v>27.97</v>
      </c>
      <c r="X111" s="251" t="inlineStr"/>
      <c r="Z111" s="262" t="n">
        <v>27.97</v>
      </c>
    </row>
    <row r="112" ht="12.2" customHeight="1" s="197">
      <c r="C112" s="276" t="inlineStr"/>
      <c r="H112" s="276" t="inlineStr">
        <is>
          <t>Итого по подразделу</t>
        </is>
      </c>
      <c r="Q112" s="276" t="inlineStr"/>
      <c r="R112" s="276" t="inlineStr"/>
      <c r="Z112" s="277" t="n">
        <v>7796.27</v>
      </c>
    </row>
    <row r="113">
      <c r="A113" s="273" t="n"/>
      <c r="B113" s="273" t="n"/>
      <c r="C113" s="273" t="n"/>
      <c r="D113" s="273" t="n"/>
      <c r="E113" s="273" t="n"/>
      <c r="F113" s="273" t="n"/>
      <c r="G113" s="273" t="n"/>
      <c r="H113" s="273" t="n"/>
      <c r="I113" s="273" t="n"/>
      <c r="J113" s="273" t="n"/>
      <c r="K113" s="273" t="n"/>
      <c r="L113" s="273" t="n"/>
      <c r="M113" s="273" t="n"/>
      <c r="N113" s="273" t="n"/>
      <c r="O113" s="273" t="n"/>
      <c r="P113" s="273" t="n"/>
      <c r="Q113" s="273" t="n"/>
      <c r="R113" s="273" t="n"/>
      <c r="S113" s="273" t="n"/>
      <c r="T113" s="273" t="n"/>
      <c r="U113" s="273" t="n"/>
      <c r="V113" s="273" t="n"/>
      <c r="W113" s="273" t="n"/>
      <c r="X113" s="273" t="n"/>
      <c r="Y113" s="273" t="n"/>
      <c r="Z113" s="273" t="n"/>
      <c r="AA113" s="273" t="n"/>
      <c r="AB113" s="273" t="n"/>
      <c r="AC113" s="273" t="n"/>
    </row>
    <row r="114" ht="12.2" customHeight="1" s="197">
      <c r="C114" s="251" t="inlineStr"/>
      <c r="H114" s="251" t="inlineStr">
        <is>
          <t>Итого прямые затраты по разделу "ул Молодежная д 8"</t>
        </is>
      </c>
      <c r="Q114" s="251" t="inlineStr"/>
      <c r="R114" s="251" t="inlineStr"/>
      <c r="Z114" s="264" t="n">
        <v>27176.33</v>
      </c>
    </row>
    <row r="115" ht="12.2" customHeight="1" s="197">
      <c r="C115" s="265" t="inlineStr"/>
      <c r="H115" s="265" t="inlineStr">
        <is>
          <t xml:space="preserve">   в том числе:</t>
        </is>
      </c>
      <c r="Q115" s="265" t="inlineStr"/>
      <c r="R115" s="265" t="inlineStr"/>
      <c r="Z115" s="266" t="inlineStr"/>
    </row>
    <row r="116" ht="12.2" customHeight="1" s="197">
      <c r="C116" s="251" t="inlineStr"/>
      <c r="H116" s="251" t="inlineStr">
        <is>
          <t xml:space="preserve">   оплата труда (ОТ)</t>
        </is>
      </c>
      <c r="Q116" s="251" t="inlineStr"/>
      <c r="R116" s="251" t="inlineStr"/>
      <c r="Z116" s="264" t="n">
        <v>25381.53</v>
      </c>
    </row>
    <row r="117" ht="12.2" customHeight="1" s="197">
      <c r="C117" s="251" t="inlineStr"/>
      <c r="H117" s="251" t="inlineStr">
        <is>
          <t xml:space="preserve">   эксплуатация машин и механизмов</t>
        </is>
      </c>
      <c r="Q117" s="251" t="inlineStr"/>
      <c r="R117" s="251" t="inlineStr"/>
      <c r="Z117" s="264" t="n">
        <v>6.09</v>
      </c>
    </row>
    <row r="118" ht="12.2" customHeight="1" s="197">
      <c r="C118" s="251" t="inlineStr"/>
      <c r="H118" s="251" t="inlineStr">
        <is>
          <t xml:space="preserve">   оплата труда машинистов (ОТм)            </t>
        </is>
      </c>
      <c r="Q118" s="251" t="inlineStr"/>
      <c r="R118" s="251" t="inlineStr"/>
      <c r="Z118" s="264" t="n">
        <v>5.07</v>
      </c>
    </row>
    <row r="119" ht="12.2" customHeight="1" s="197">
      <c r="C119" s="251" t="inlineStr"/>
      <c r="H119" s="251" t="inlineStr">
        <is>
          <t xml:space="preserve">   материальные ресурсы</t>
        </is>
      </c>
      <c r="Q119" s="251" t="inlineStr"/>
      <c r="R119" s="251" t="inlineStr"/>
      <c r="Z119" s="264" t="n">
        <v>1783.64</v>
      </c>
    </row>
    <row r="120" ht="12.2" customHeight="1" s="197">
      <c r="C120" s="251" t="inlineStr"/>
      <c r="H120" s="251" t="inlineStr">
        <is>
          <t xml:space="preserve">   перевозка</t>
        </is>
      </c>
      <c r="Q120" s="251" t="inlineStr"/>
      <c r="R120" s="251" t="inlineStr"/>
      <c r="Z120" s="264" t="n">
        <v>0</v>
      </c>
    </row>
    <row r="121" ht="12.2" customHeight="1" s="197">
      <c r="C121" s="251" t="inlineStr"/>
      <c r="H121" s="251" t="inlineStr">
        <is>
          <t>Итого ФОТ (справочно)</t>
        </is>
      </c>
      <c r="Q121" s="251" t="inlineStr"/>
      <c r="R121" s="251" t="inlineStr"/>
      <c r="Z121" s="264" t="n">
        <v>25386.6</v>
      </c>
    </row>
    <row r="122" ht="12.2" customHeight="1" s="197">
      <c r="C122" s="251" t="inlineStr"/>
      <c r="H122" s="251" t="inlineStr">
        <is>
          <t>Итого накладные расходы</t>
        </is>
      </c>
      <c r="Q122" s="251" t="inlineStr"/>
      <c r="R122" s="251" t="inlineStr"/>
      <c r="Z122" s="264" t="n">
        <v>25758.16</v>
      </c>
    </row>
    <row r="123" ht="12.2" customHeight="1" s="197">
      <c r="C123" s="251" t="inlineStr"/>
      <c r="H123" s="251" t="inlineStr">
        <is>
          <t>Итого сметная прибыль</t>
        </is>
      </c>
      <c r="Q123" s="251" t="inlineStr"/>
      <c r="R123" s="251" t="inlineStr"/>
      <c r="Z123" s="264" t="n">
        <v>13071.01</v>
      </c>
    </row>
    <row r="124" ht="12.2" customHeight="1" s="197">
      <c r="C124" s="251" t="inlineStr"/>
      <c r="H124" s="251" t="inlineStr">
        <is>
          <t>Итого оборудование</t>
        </is>
      </c>
      <c r="Q124" s="251" t="inlineStr"/>
      <c r="R124" s="251" t="inlineStr"/>
      <c r="Z124" s="264" t="n">
        <v>0</v>
      </c>
    </row>
    <row r="125" ht="12.2" customHeight="1" s="197">
      <c r="C125" s="251" t="inlineStr"/>
      <c r="H125" s="251" t="inlineStr">
        <is>
          <t>Итого прочие затраты</t>
        </is>
      </c>
      <c r="Q125" s="251" t="inlineStr"/>
      <c r="R125" s="251" t="inlineStr"/>
      <c r="Z125" s="264" t="n">
        <v>0</v>
      </c>
    </row>
    <row r="126" ht="12.2" customHeight="1" s="197">
      <c r="C126" s="260" t="inlineStr"/>
      <c r="H126" s="260" t="inlineStr">
        <is>
          <t>Итого по разделу "ул Молодежная д 8"</t>
        </is>
      </c>
      <c r="Q126" s="260" t="inlineStr"/>
      <c r="R126" s="260" t="inlineStr"/>
      <c r="Z126" s="262" t="n">
        <v>66005.5</v>
      </c>
    </row>
    <row r="127" ht="12.2" customHeight="1" s="197">
      <c r="C127" s="265" t="inlineStr"/>
      <c r="H127" s="265" t="inlineStr">
        <is>
          <t xml:space="preserve">   в том числе:</t>
        </is>
      </c>
      <c r="Q127" s="265" t="inlineStr"/>
      <c r="R127" s="265" t="inlineStr"/>
      <c r="Z127" s="266" t="inlineStr"/>
    </row>
    <row r="128" ht="12.2" customHeight="1" s="197">
      <c r="C128" s="251" t="inlineStr"/>
      <c r="H128" s="251" t="inlineStr">
        <is>
          <t xml:space="preserve">   материальные ресурсы, отсутствующие в ФРСН </t>
        </is>
      </c>
      <c r="Q128" s="251" t="inlineStr"/>
      <c r="R128" s="251" t="inlineStr"/>
      <c r="Z128" s="264" t="n">
        <v>0</v>
      </c>
    </row>
    <row r="129" ht="12.2" customHeight="1" s="197">
      <c r="C129" s="251" t="inlineStr"/>
      <c r="H129" s="251" t="inlineStr">
        <is>
          <t xml:space="preserve">   оборудование, отсутствующее в ФРСН </t>
        </is>
      </c>
      <c r="Q129" s="251" t="inlineStr"/>
      <c r="R129" s="251" t="inlineStr"/>
      <c r="Z129" s="264" t="n">
        <v>0</v>
      </c>
    </row>
    <row r="130" ht="12.2" customHeight="1" s="197">
      <c r="C130" s="251" t="inlineStr"/>
      <c r="H130" s="251" t="inlineStr">
        <is>
          <t xml:space="preserve">   затраты труда рабочих</t>
        </is>
      </c>
      <c r="Q130" s="235" t="inlineStr">
        <is>
          <t>54,85</t>
        </is>
      </c>
      <c r="R130" s="251" t="inlineStr"/>
      <c r="Z130" s="235" t="inlineStr"/>
    </row>
    <row r="131" ht="12.2" customHeight="1" s="197">
      <c r="C131" s="251" t="inlineStr"/>
      <c r="H131" s="251" t="inlineStr">
        <is>
          <t xml:space="preserve">   затраты труда машинистов</t>
        </is>
      </c>
      <c r="Q131" s="235" t="inlineStr">
        <is>
          <t>0,0095</t>
        </is>
      </c>
      <c r="R131" s="251" t="inlineStr"/>
      <c r="Z131" s="235" t="inlineStr"/>
    </row>
    <row r="132">
      <c r="A132" s="278" t="n"/>
      <c r="B132" s="278" t="n"/>
      <c r="C132" s="278" t="n"/>
      <c r="D132" s="278" t="n"/>
      <c r="E132" s="278" t="n"/>
      <c r="F132" s="278" t="n"/>
      <c r="G132" s="278" t="n"/>
      <c r="H132" s="278" t="n"/>
      <c r="I132" s="278" t="n"/>
      <c r="J132" s="278" t="n"/>
      <c r="K132" s="278" t="n"/>
      <c r="L132" s="278" t="n"/>
      <c r="M132" s="278" t="n"/>
      <c r="N132" s="278" t="n"/>
      <c r="O132" s="278" t="n"/>
      <c r="P132" s="278" t="n"/>
      <c r="Q132" s="278" t="n"/>
      <c r="R132" s="278" t="n"/>
      <c r="S132" s="278" t="n"/>
      <c r="T132" s="278" t="n"/>
      <c r="U132" s="278" t="n"/>
      <c r="V132" s="278" t="n"/>
      <c r="W132" s="278" t="n"/>
      <c r="X132" s="278" t="n"/>
      <c r="Y132" s="278" t="n"/>
      <c r="Z132" s="278" t="n"/>
      <c r="AA132" s="278" t="n"/>
      <c r="AB132" s="278" t="n"/>
      <c r="AC132" s="278" t="n"/>
    </row>
    <row r="133" ht="12.2" customHeight="1" s="197">
      <c r="C133" s="260" t="inlineStr"/>
      <c r="H133" s="260" t="inlineStr">
        <is>
          <t>ВСЕГО строительные работы</t>
        </is>
      </c>
      <c r="Q133" s="260" t="inlineStr"/>
      <c r="R133" s="260" t="inlineStr"/>
      <c r="Z133" s="262" t="n">
        <v>66005.5</v>
      </c>
    </row>
    <row r="134" ht="12.2" customHeight="1" s="197">
      <c r="C134" s="265" t="inlineStr"/>
      <c r="H134" s="265" t="inlineStr">
        <is>
          <t xml:space="preserve">   в том числе:</t>
        </is>
      </c>
      <c r="Q134" s="265" t="inlineStr"/>
      <c r="R134" s="265" t="inlineStr"/>
      <c r="Z134" s="266" t="inlineStr"/>
    </row>
    <row r="135" ht="12.2" customHeight="1" s="197">
      <c r="C135" s="251" t="inlineStr"/>
      <c r="H135" s="251" t="inlineStr">
        <is>
          <t xml:space="preserve">   всего прямые затраты</t>
        </is>
      </c>
      <c r="Q135" s="251" t="inlineStr"/>
      <c r="R135" s="251" t="inlineStr"/>
      <c r="Z135" s="264" t="n">
        <v>27176.33</v>
      </c>
    </row>
    <row r="136" ht="12.2" customHeight="1" s="197">
      <c r="C136" s="265" t="inlineStr"/>
      <c r="H136" s="265" t="inlineStr">
        <is>
          <t xml:space="preserve">      в том числе:</t>
        </is>
      </c>
      <c r="Q136" s="265" t="inlineStr"/>
      <c r="R136" s="265" t="inlineStr"/>
      <c r="Z136" s="266" t="inlineStr"/>
    </row>
    <row r="137" ht="12.2" customHeight="1" s="197">
      <c r="C137" s="251" t="inlineStr"/>
      <c r="H137" s="251" t="inlineStr">
        <is>
          <t xml:space="preserve">      оплата труда (ОТ)</t>
        </is>
      </c>
      <c r="Q137" s="251" t="inlineStr"/>
      <c r="R137" s="251" t="inlineStr"/>
      <c r="Z137" s="264" t="n">
        <v>25381.53</v>
      </c>
    </row>
    <row r="138" ht="12.2" customHeight="1" s="197">
      <c r="C138" s="251" t="inlineStr"/>
      <c r="H138" s="251" t="inlineStr">
        <is>
          <t xml:space="preserve">      эксплуатация машин и механизмов</t>
        </is>
      </c>
      <c r="Q138" s="251" t="inlineStr"/>
      <c r="R138" s="251" t="inlineStr"/>
      <c r="Z138" s="264" t="n">
        <v>6.09</v>
      </c>
    </row>
    <row r="139" ht="12.2" customHeight="1" s="197">
      <c r="C139" s="251" t="inlineStr"/>
      <c r="H139" s="251" t="inlineStr">
        <is>
          <t xml:space="preserve">      оплата труда машинистов (ОТм)            </t>
        </is>
      </c>
      <c r="Q139" s="251" t="inlineStr"/>
      <c r="R139" s="251" t="inlineStr"/>
      <c r="Z139" s="264" t="n">
        <v>5.07</v>
      </c>
    </row>
    <row r="140" ht="12.2" customHeight="1" s="197">
      <c r="C140" s="251" t="inlineStr"/>
      <c r="H140" s="251" t="inlineStr">
        <is>
          <t xml:space="preserve">      материальные ресурсы</t>
        </is>
      </c>
      <c r="Q140" s="251" t="inlineStr"/>
      <c r="R140" s="251" t="inlineStr"/>
      <c r="Z140" s="264" t="n">
        <v>1783.64</v>
      </c>
    </row>
    <row r="141" ht="12.2" customHeight="1" s="197">
      <c r="C141" s="251" t="inlineStr"/>
      <c r="H141" s="251" t="inlineStr">
        <is>
          <t xml:space="preserve">      перевозка</t>
        </is>
      </c>
      <c r="Q141" s="251" t="inlineStr"/>
      <c r="R141" s="251" t="inlineStr"/>
      <c r="Z141" s="264" t="n">
        <v>0</v>
      </c>
    </row>
    <row r="142" ht="12.2" customHeight="1" s="197">
      <c r="C142" s="251" t="inlineStr"/>
      <c r="H142" s="251" t="inlineStr">
        <is>
          <t xml:space="preserve">   всего ФОТ</t>
        </is>
      </c>
      <c r="Q142" s="251" t="inlineStr"/>
      <c r="R142" s="251" t="inlineStr"/>
      <c r="Z142" s="264" t="n">
        <v>25386.6</v>
      </c>
    </row>
    <row r="143" ht="12.2" customHeight="1" s="197">
      <c r="C143" s="251" t="inlineStr"/>
      <c r="H143" s="251" t="inlineStr">
        <is>
          <t xml:space="preserve">   всего накладные расходы</t>
        </is>
      </c>
      <c r="Q143" s="251" t="inlineStr"/>
      <c r="R143" s="251" t="inlineStr"/>
      <c r="Z143" s="264" t="n">
        <v>25758.16</v>
      </c>
    </row>
    <row r="144" ht="12.2" customHeight="1" s="197">
      <c r="C144" s="251" t="inlineStr"/>
      <c r="H144" s="251" t="inlineStr">
        <is>
          <t xml:space="preserve">   всего сметная прибыль</t>
        </is>
      </c>
      <c r="Q144" s="251" t="inlineStr"/>
      <c r="R144" s="251" t="inlineStr"/>
      <c r="Z144" s="264" t="n">
        <v>13071.01</v>
      </c>
    </row>
    <row r="145" ht="12.2" customHeight="1" s="197">
      <c r="C145" s="260" t="inlineStr"/>
      <c r="H145" s="260" t="inlineStr">
        <is>
          <t>ВСЕГО монтажные работы</t>
        </is>
      </c>
      <c r="Q145" s="260" t="inlineStr"/>
      <c r="R145" s="260" t="inlineStr"/>
      <c r="Z145" s="262" t="n">
        <v>0</v>
      </c>
    </row>
    <row r="146" ht="12.2" customHeight="1" s="197">
      <c r="C146" s="265" t="inlineStr"/>
      <c r="H146" s="265" t="inlineStr">
        <is>
          <t xml:space="preserve">   в том числе:</t>
        </is>
      </c>
      <c r="Q146" s="265" t="inlineStr"/>
      <c r="R146" s="265" t="inlineStr"/>
      <c r="Z146" s="266" t="inlineStr"/>
    </row>
    <row r="147" ht="12.2" customHeight="1" s="197">
      <c r="C147" s="251" t="inlineStr"/>
      <c r="H147" s="251" t="inlineStr">
        <is>
          <t xml:space="preserve">   всего прямые затраты</t>
        </is>
      </c>
      <c r="Q147" s="251" t="inlineStr"/>
      <c r="R147" s="251" t="inlineStr"/>
      <c r="Z147" s="264" t="n">
        <v>0</v>
      </c>
    </row>
    <row r="148" ht="12.2" customHeight="1" s="197">
      <c r="C148" s="265" t="inlineStr"/>
      <c r="H148" s="265" t="inlineStr">
        <is>
          <t xml:space="preserve">      в том числе:</t>
        </is>
      </c>
      <c r="Q148" s="265" t="inlineStr"/>
      <c r="R148" s="265" t="inlineStr"/>
      <c r="Z148" s="266" t="inlineStr"/>
    </row>
    <row r="149" ht="12.2" customHeight="1" s="197">
      <c r="C149" s="251" t="inlineStr"/>
      <c r="H149" s="251" t="inlineStr">
        <is>
          <t xml:space="preserve">      оплата труда (ОТ)</t>
        </is>
      </c>
      <c r="Q149" s="251" t="inlineStr"/>
      <c r="R149" s="251" t="inlineStr"/>
      <c r="Z149" s="264" t="n">
        <v>0</v>
      </c>
    </row>
    <row r="150" ht="12.2" customHeight="1" s="197">
      <c r="C150" s="251" t="inlineStr"/>
      <c r="H150" s="251" t="inlineStr">
        <is>
          <t xml:space="preserve">      эксплуатация машин и механизмов</t>
        </is>
      </c>
      <c r="Q150" s="251" t="inlineStr"/>
      <c r="R150" s="251" t="inlineStr"/>
      <c r="Z150" s="264" t="n">
        <v>0</v>
      </c>
    </row>
    <row r="151" ht="12.2" customHeight="1" s="197">
      <c r="C151" s="251" t="inlineStr"/>
      <c r="H151" s="251" t="inlineStr">
        <is>
          <t xml:space="preserve">      оплата труда машинистов (ОТм)            </t>
        </is>
      </c>
      <c r="Q151" s="251" t="inlineStr"/>
      <c r="R151" s="251" t="inlineStr"/>
      <c r="Z151" s="264" t="n">
        <v>0</v>
      </c>
    </row>
    <row r="152" ht="12.2" customHeight="1" s="197">
      <c r="C152" s="251" t="inlineStr"/>
      <c r="H152" s="251" t="inlineStr">
        <is>
          <t xml:space="preserve">      материальные ресурсы</t>
        </is>
      </c>
      <c r="Q152" s="251" t="inlineStr"/>
      <c r="R152" s="251" t="inlineStr"/>
      <c r="Z152" s="264" t="n">
        <v>0</v>
      </c>
    </row>
    <row r="153" ht="12.2" customHeight="1" s="197">
      <c r="C153" s="251" t="inlineStr"/>
      <c r="H153" s="251" t="inlineStr">
        <is>
          <t xml:space="preserve">      перевозка</t>
        </is>
      </c>
      <c r="Q153" s="251" t="inlineStr"/>
      <c r="R153" s="251" t="inlineStr"/>
      <c r="Z153" s="264" t="n">
        <v>0</v>
      </c>
    </row>
    <row r="154" ht="12.2" customHeight="1" s="197">
      <c r="C154" s="251" t="inlineStr"/>
      <c r="H154" s="251" t="inlineStr">
        <is>
          <t xml:space="preserve">   всего ФОТ</t>
        </is>
      </c>
      <c r="Q154" s="251" t="inlineStr"/>
      <c r="R154" s="251" t="inlineStr"/>
      <c r="Z154" s="264" t="n">
        <v>0</v>
      </c>
    </row>
    <row r="155" ht="12.2" customHeight="1" s="197">
      <c r="C155" s="251" t="inlineStr"/>
      <c r="H155" s="251" t="inlineStr">
        <is>
          <t xml:space="preserve">   всего накладные расходы</t>
        </is>
      </c>
      <c r="Q155" s="251" t="inlineStr"/>
      <c r="R155" s="251" t="inlineStr"/>
      <c r="Z155" s="264" t="n">
        <v>0</v>
      </c>
    </row>
    <row r="156" ht="12.2" customHeight="1" s="197">
      <c r="C156" s="251" t="inlineStr"/>
      <c r="H156" s="251" t="inlineStr">
        <is>
          <t xml:space="preserve">   всего сметная прибыль</t>
        </is>
      </c>
      <c r="Q156" s="251" t="inlineStr"/>
      <c r="R156" s="251" t="inlineStr"/>
      <c r="Z156" s="264" t="n">
        <v>0</v>
      </c>
    </row>
    <row r="157" ht="12.2" customHeight="1" s="197">
      <c r="C157" s="260" t="inlineStr"/>
      <c r="H157" s="260" t="inlineStr">
        <is>
          <t>ВСЕГО оборудование</t>
        </is>
      </c>
      <c r="Q157" s="260" t="inlineStr"/>
      <c r="R157" s="260" t="inlineStr"/>
      <c r="Z157" s="262" t="n">
        <v>0</v>
      </c>
    </row>
    <row r="158" ht="12.2" customHeight="1" s="197">
      <c r="C158" s="260" t="inlineStr"/>
      <c r="H158" s="260" t="inlineStr">
        <is>
          <t>ВСЕГО прочие затраты</t>
        </is>
      </c>
      <c r="Q158" s="260" t="inlineStr"/>
      <c r="R158" s="260" t="inlineStr"/>
      <c r="Z158" s="262" t="n">
        <v>0</v>
      </c>
    </row>
    <row r="159" ht="12.2" customHeight="1" s="197">
      <c r="C159" s="265" t="inlineStr"/>
      <c r="H159" s="265" t="inlineStr">
        <is>
          <t xml:space="preserve">   в том числе:</t>
        </is>
      </c>
      <c r="Q159" s="265" t="inlineStr"/>
      <c r="R159" s="265" t="inlineStr"/>
      <c r="Z159" s="266" t="inlineStr"/>
    </row>
    <row r="160" ht="12.2" customHeight="1" s="197">
      <c r="C160" s="251" t="inlineStr"/>
      <c r="H160" s="251" t="inlineStr">
        <is>
          <t xml:space="preserve">   прочие затраты</t>
        </is>
      </c>
      <c r="Q160" s="251" t="inlineStr"/>
      <c r="R160" s="251" t="inlineStr"/>
      <c r="Z160" s="264" t="n">
        <v>0</v>
      </c>
    </row>
    <row r="161" ht="12.2" customHeight="1" s="197">
      <c r="C161" s="251" t="inlineStr"/>
      <c r="H161" s="251" t="inlineStr">
        <is>
          <t xml:space="preserve">   прочие работы</t>
        </is>
      </c>
      <c r="Q161" s="251" t="inlineStr"/>
      <c r="R161" s="251" t="inlineStr"/>
      <c r="Z161" s="264" t="n">
        <v>0</v>
      </c>
    </row>
    <row r="162" ht="12.2" customHeight="1" s="197">
      <c r="C162" s="265" t="inlineStr"/>
      <c r="H162" s="265" t="inlineStr">
        <is>
          <t xml:space="preserve">   в том числе:</t>
        </is>
      </c>
      <c r="Q162" s="265" t="inlineStr"/>
      <c r="R162" s="265" t="inlineStr"/>
      <c r="Z162" s="266" t="inlineStr"/>
    </row>
    <row r="163" ht="12.2" customHeight="1" s="197">
      <c r="C163" s="251" t="inlineStr"/>
      <c r="H163" s="251" t="inlineStr">
        <is>
          <t xml:space="preserve">   всего прямые затраты</t>
        </is>
      </c>
      <c r="Q163" s="251" t="inlineStr"/>
      <c r="R163" s="251" t="inlineStr"/>
      <c r="Z163" s="264" t="n">
        <v>0</v>
      </c>
    </row>
    <row r="164" ht="12.2" customHeight="1" s="197">
      <c r="C164" s="265" t="inlineStr"/>
      <c r="H164" s="265" t="inlineStr">
        <is>
          <t xml:space="preserve">      в том числе:</t>
        </is>
      </c>
      <c r="Q164" s="265" t="inlineStr"/>
      <c r="R164" s="265" t="inlineStr"/>
      <c r="Z164" s="266" t="inlineStr"/>
    </row>
    <row r="165" ht="12.2" customHeight="1" s="197">
      <c r="C165" s="251" t="inlineStr"/>
      <c r="H165" s="251" t="inlineStr">
        <is>
          <t xml:space="preserve">      оплата труда (ОТ)</t>
        </is>
      </c>
      <c r="Q165" s="251" t="inlineStr"/>
      <c r="R165" s="251" t="inlineStr"/>
      <c r="Z165" s="264" t="n">
        <v>0</v>
      </c>
    </row>
    <row r="166" ht="12.2" customHeight="1" s="197">
      <c r="C166" s="251" t="inlineStr"/>
      <c r="H166" s="251" t="inlineStr">
        <is>
          <t xml:space="preserve">      эксплуатация машин и механизмов</t>
        </is>
      </c>
      <c r="Q166" s="251" t="inlineStr"/>
      <c r="R166" s="251" t="inlineStr"/>
      <c r="Z166" s="264" t="n">
        <v>0</v>
      </c>
    </row>
    <row r="167" ht="12.2" customHeight="1" s="197">
      <c r="C167" s="251" t="inlineStr"/>
      <c r="H167" s="251" t="inlineStr">
        <is>
          <t xml:space="preserve">      оплата труда машинистов (ОТм)            </t>
        </is>
      </c>
      <c r="Q167" s="251" t="inlineStr"/>
      <c r="R167" s="251" t="inlineStr"/>
      <c r="Z167" s="264" t="n">
        <v>0</v>
      </c>
    </row>
    <row r="168" ht="12.2" customHeight="1" s="197">
      <c r="C168" s="251" t="inlineStr"/>
      <c r="H168" s="251" t="inlineStr">
        <is>
          <t xml:space="preserve">      материальные ресурсы</t>
        </is>
      </c>
      <c r="Q168" s="251" t="inlineStr"/>
      <c r="R168" s="251" t="inlineStr"/>
      <c r="Z168" s="264" t="n">
        <v>0</v>
      </c>
    </row>
    <row r="169" ht="12.2" customHeight="1" s="197">
      <c r="C169" s="251" t="inlineStr"/>
      <c r="H169" s="251" t="inlineStr">
        <is>
          <t xml:space="preserve">      перевозка</t>
        </is>
      </c>
      <c r="Q169" s="251" t="inlineStr"/>
      <c r="R169" s="251" t="inlineStr"/>
      <c r="Z169" s="264" t="n">
        <v>0</v>
      </c>
    </row>
    <row r="170" ht="12.2" customHeight="1" s="197">
      <c r="C170" s="251" t="inlineStr"/>
      <c r="H170" s="251" t="inlineStr">
        <is>
          <t xml:space="preserve">   всего ФОТ</t>
        </is>
      </c>
      <c r="Q170" s="251" t="inlineStr"/>
      <c r="R170" s="251" t="inlineStr"/>
      <c r="Z170" s="264" t="n">
        <v>0</v>
      </c>
    </row>
    <row r="171" ht="12.2" customHeight="1" s="197">
      <c r="C171" s="251" t="inlineStr"/>
      <c r="H171" s="251" t="inlineStr">
        <is>
          <t xml:space="preserve">   всего накладные расходы</t>
        </is>
      </c>
      <c r="Q171" s="251" t="inlineStr"/>
      <c r="R171" s="251" t="inlineStr"/>
      <c r="Z171" s="264" t="n">
        <v>0</v>
      </c>
    </row>
    <row r="172" ht="12.2" customHeight="1" s="197">
      <c r="C172" s="251" t="inlineStr"/>
      <c r="H172" s="251" t="inlineStr">
        <is>
          <t xml:space="preserve">   всего сметная прибыль</t>
        </is>
      </c>
      <c r="Q172" s="251" t="inlineStr"/>
      <c r="R172" s="251" t="inlineStr"/>
      <c r="Z172" s="264" t="n">
        <v>0</v>
      </c>
    </row>
    <row r="173" ht="12.2" customHeight="1" s="197">
      <c r="C173" s="260" t="inlineStr"/>
      <c r="H173" s="260" t="inlineStr">
        <is>
          <t>ВСЕГО по акту</t>
        </is>
      </c>
      <c r="Q173" s="260" t="inlineStr"/>
      <c r="R173" s="260" t="inlineStr"/>
      <c r="Z173" s="262" t="n">
        <v>66005.5</v>
      </c>
    </row>
    <row r="174" ht="12.2" customHeight="1" s="197">
      <c r="C174" s="265" t="inlineStr"/>
      <c r="H174" s="265" t="inlineStr">
        <is>
          <t xml:space="preserve">   в том числе:</t>
        </is>
      </c>
      <c r="Q174" s="265" t="inlineStr"/>
      <c r="R174" s="265" t="inlineStr"/>
      <c r="Z174" s="266" t="inlineStr"/>
    </row>
    <row r="175" ht="12.2" customHeight="1" s="197">
      <c r="C175" s="251" t="inlineStr"/>
      <c r="H175" s="251" t="inlineStr">
        <is>
          <t xml:space="preserve">   Всего прямые затраты по акту</t>
        </is>
      </c>
      <c r="Q175" s="251" t="inlineStr"/>
      <c r="R175" s="251" t="inlineStr"/>
      <c r="Z175" s="264" t="n">
        <v>27176.33</v>
      </c>
    </row>
    <row r="176" ht="12.2" customHeight="1" s="197">
      <c r="C176" s="265" t="inlineStr"/>
      <c r="H176" s="265" t="inlineStr">
        <is>
          <t xml:space="preserve">      в том числе:</t>
        </is>
      </c>
      <c r="Q176" s="265" t="inlineStr"/>
      <c r="R176" s="265" t="inlineStr"/>
      <c r="Z176" s="266" t="inlineStr"/>
    </row>
    <row r="177" ht="12.2" customHeight="1" s="197">
      <c r="C177" s="251" t="inlineStr"/>
      <c r="H177" s="251" t="inlineStr">
        <is>
          <t xml:space="preserve">      оплата труда (ОТ)</t>
        </is>
      </c>
      <c r="Q177" s="251" t="inlineStr"/>
      <c r="R177" s="251" t="inlineStr"/>
      <c r="Z177" s="264" t="n">
        <v>25381.53</v>
      </c>
    </row>
    <row r="178" ht="12.2" customHeight="1" s="197">
      <c r="C178" s="251" t="inlineStr"/>
      <c r="H178" s="251" t="inlineStr">
        <is>
          <t xml:space="preserve">      эксплуатация машин и механизмов</t>
        </is>
      </c>
      <c r="Q178" s="251" t="inlineStr"/>
      <c r="R178" s="251" t="inlineStr"/>
      <c r="Z178" s="264" t="n">
        <v>6.09</v>
      </c>
    </row>
    <row r="179" ht="12.2" customHeight="1" s="197">
      <c r="C179" s="251" t="inlineStr"/>
      <c r="H179" s="251" t="inlineStr">
        <is>
          <t xml:space="preserve">      оплата труда машинистов (ОТм)            </t>
        </is>
      </c>
      <c r="Q179" s="251" t="inlineStr"/>
      <c r="R179" s="251" t="inlineStr"/>
      <c r="Z179" s="264" t="n">
        <v>5.07</v>
      </c>
    </row>
    <row r="180" ht="12.2" customHeight="1" s="197">
      <c r="C180" s="251" t="inlineStr"/>
      <c r="H180" s="251" t="inlineStr">
        <is>
          <t xml:space="preserve">      материальные ресурсы</t>
        </is>
      </c>
      <c r="Q180" s="251" t="inlineStr"/>
      <c r="R180" s="251" t="inlineStr"/>
      <c r="Z180" s="264" t="n">
        <v>1783.64</v>
      </c>
    </row>
    <row r="181" ht="12.2" customHeight="1" s="197">
      <c r="C181" s="251" t="inlineStr"/>
      <c r="H181" s="251" t="inlineStr">
        <is>
          <t xml:space="preserve">      перевозка</t>
        </is>
      </c>
      <c r="Q181" s="251" t="inlineStr"/>
      <c r="R181" s="251" t="inlineStr"/>
      <c r="Z181" s="264" t="n">
        <v>0</v>
      </c>
    </row>
    <row r="182" ht="12.2" customHeight="1" s="197">
      <c r="C182" s="251" t="inlineStr"/>
      <c r="H182" s="251" t="inlineStr">
        <is>
          <t xml:space="preserve">   Всего ФОТ</t>
        </is>
      </c>
      <c r="Q182" s="251" t="inlineStr"/>
      <c r="R182" s="251" t="inlineStr"/>
      <c r="Z182" s="264" t="n">
        <v>25386.6</v>
      </c>
    </row>
    <row r="183" ht="12.2" customHeight="1" s="197">
      <c r="C183" s="251" t="inlineStr"/>
      <c r="H183" s="251" t="inlineStr">
        <is>
          <t xml:space="preserve">   Всего накладные расходы</t>
        </is>
      </c>
      <c r="Q183" s="251" t="inlineStr"/>
      <c r="R183" s="251" t="inlineStr"/>
      <c r="Z183" s="264" t="n">
        <v>25758.16</v>
      </c>
    </row>
    <row r="184" ht="12.2" customHeight="1" s="197">
      <c r="C184" s="251" t="inlineStr"/>
      <c r="H184" s="251" t="inlineStr">
        <is>
          <t xml:space="preserve">   Всего сметная прибыль</t>
        </is>
      </c>
      <c r="Q184" s="251" t="inlineStr"/>
      <c r="R184" s="251" t="inlineStr"/>
      <c r="Z184" s="264" t="n">
        <v>13071.01</v>
      </c>
    </row>
    <row r="185" ht="12.2" customHeight="1" s="197">
      <c r="C185" s="251" t="inlineStr"/>
      <c r="H185" s="251" t="inlineStr">
        <is>
          <t xml:space="preserve">   Всего оборудование</t>
        </is>
      </c>
      <c r="Q185" s="251" t="inlineStr"/>
      <c r="R185" s="251" t="inlineStr"/>
      <c r="Z185" s="264" t="n">
        <v>0</v>
      </c>
    </row>
    <row r="186" ht="12.2" customHeight="1" s="197">
      <c r="C186" s="251" t="inlineStr"/>
      <c r="H186" s="251" t="inlineStr">
        <is>
          <t xml:space="preserve">   Всего прочие затраты</t>
        </is>
      </c>
      <c r="Q186" s="251" t="inlineStr"/>
      <c r="R186" s="251" t="inlineStr"/>
      <c r="Z186" s="264" t="n">
        <v>0</v>
      </c>
    </row>
    <row r="187" ht="12.2" customHeight="1" s="197">
      <c r="C187" s="276" t="inlineStr"/>
      <c r="H187" s="276" t="inlineStr">
        <is>
          <t>Справочно</t>
        </is>
      </c>
      <c r="Q187" s="276" t="inlineStr"/>
      <c r="R187" s="276" t="inlineStr"/>
      <c r="Z187" s="279" t="inlineStr"/>
    </row>
    <row r="188" ht="12.2" customHeight="1" s="197">
      <c r="C188" s="251" t="inlineStr"/>
      <c r="H188" s="251" t="inlineStr">
        <is>
          <t xml:space="preserve">   материальные ресурсы, отсутствующие в ФРСН </t>
        </is>
      </c>
      <c r="Q188" s="251" t="inlineStr"/>
      <c r="R188" s="251" t="inlineStr"/>
      <c r="Z188" s="264" t="n">
        <v>0</v>
      </c>
    </row>
    <row r="189" ht="12.2" customHeight="1" s="197">
      <c r="C189" s="251" t="inlineStr"/>
      <c r="H189" s="251" t="inlineStr">
        <is>
          <t xml:space="preserve">   оборудование, отсутствующее в ФРСН </t>
        </is>
      </c>
      <c r="Q189" s="251" t="inlineStr"/>
      <c r="R189" s="251" t="inlineStr"/>
      <c r="Z189" s="264" t="n">
        <v>0</v>
      </c>
    </row>
    <row r="190" ht="12.2" customHeight="1" s="197">
      <c r="C190" s="251" t="inlineStr"/>
      <c r="H190" s="251" t="inlineStr">
        <is>
          <t xml:space="preserve">   затраты труда рабочих</t>
        </is>
      </c>
      <c r="Q190" s="235" t="inlineStr">
        <is>
          <t>54,85</t>
        </is>
      </c>
      <c r="R190" s="251" t="inlineStr"/>
      <c r="Z190" s="235" t="inlineStr"/>
    </row>
    <row r="191" ht="12.2" customHeight="1" s="197">
      <c r="C191" s="251" t="inlineStr"/>
      <c r="H191" s="251" t="inlineStr">
        <is>
          <t xml:space="preserve">   затраты труда машинистов</t>
        </is>
      </c>
      <c r="Q191" s="235" t="inlineStr">
        <is>
          <t>0,0095</t>
        </is>
      </c>
      <c r="R191" s="251" t="inlineStr"/>
      <c r="Z191" s="235" t="inlineStr"/>
    </row>
    <row r="192" ht="12.2" customHeight="1" s="197">
      <c r="C192" s="251" t="inlineStr"/>
      <c r="H192" s="251" t="inlineStr">
        <is>
          <t>НДС, %</t>
        </is>
      </c>
      <c r="Q192" s="235" t="inlineStr">
        <is>
          <t>20,00</t>
        </is>
      </c>
      <c r="R192" s="251" t="inlineStr"/>
      <c r="Z192" s="264" t="n">
        <v>13201.1</v>
      </c>
    </row>
    <row r="193" ht="12.2" customHeight="1" s="197">
      <c r="C193" s="260" t="inlineStr"/>
      <c r="H193" s="260" t="inlineStr">
        <is>
          <t>Всего</t>
        </is>
      </c>
      <c r="Q193" s="260" t="inlineStr"/>
      <c r="R193" s="260" t="inlineStr"/>
      <c r="Z193" s="262" t="n">
        <v>79206.60000000001</v>
      </c>
    </row>
    <row r="194" ht="24.6" customHeight="1" s="197">
      <c r="A194" s="251" t="inlineStr"/>
    </row>
    <row r="195" ht="36.75" customHeight="1" s="197">
      <c r="A195" s="280" t="inlineStr">
        <is>
          <t xml:space="preserve">Сдал: </t>
        </is>
      </c>
      <c r="F195" s="281" t="inlineStr">
        <is>
          <t xml:space="preserve"> Генеральный директор </t>
        </is>
      </c>
      <c r="G195" s="242" t="n"/>
      <c r="H195" s="242" t="n"/>
      <c r="I195" s="280" t="inlineStr">
        <is>
          <t xml:space="preserve"> _____________________ </t>
        </is>
      </c>
      <c r="J195" s="281" t="inlineStr">
        <is>
          <t xml:space="preserve"> </t>
        </is>
      </c>
      <c r="K195" s="242" t="n"/>
      <c r="L195" s="242" t="n"/>
      <c r="M195" s="242" t="n"/>
      <c r="N195" s="242" t="n"/>
      <c r="O195" s="242" t="n"/>
      <c r="P195" s="242" t="n"/>
      <c r="Q195" s="242" t="n"/>
      <c r="R195" s="242" t="n"/>
      <c r="S195" s="242" t="n"/>
      <c r="T195" s="242" t="n"/>
      <c r="U195" s="242" t="n"/>
      <c r="V195" s="242" t="n"/>
      <c r="W195" s="242" t="n"/>
      <c r="X195" s="242" t="n"/>
      <c r="Y195" s="242" t="n"/>
      <c r="Z195" s="242" t="n"/>
      <c r="AA195" s="242" t="n"/>
      <c r="AB195" s="242" t="n"/>
      <c r="AC195" s="242" t="n"/>
    </row>
    <row r="196" ht="12.2" customHeight="1" s="197">
      <c r="A196" s="251" t="inlineStr"/>
      <c r="F196" s="251" t="inlineStr">
        <is>
          <t xml:space="preserve">      (должность)</t>
        </is>
      </c>
      <c r="I196" s="251" t="inlineStr">
        <is>
          <t xml:space="preserve">       (подпись)</t>
        </is>
      </c>
      <c r="J196" s="251" t="inlineStr">
        <is>
          <t xml:space="preserve"> (расшифровка подписи)</t>
        </is>
      </c>
    </row>
    <row r="197" ht="14.85" customHeight="1" s="197">
      <c r="A197" s="282" t="inlineStr">
        <is>
          <t xml:space="preserve">    М.П.</t>
        </is>
      </c>
    </row>
    <row r="198" ht="36.75" customHeight="1" s="197">
      <c r="A198" s="280" t="inlineStr">
        <is>
          <t xml:space="preserve">Принял: </t>
        </is>
      </c>
      <c r="F198" s="281" t="inlineStr">
        <is>
          <t xml:space="preserve">  </t>
        </is>
      </c>
      <c r="G198" s="242" t="n"/>
      <c r="H198" s="242" t="n"/>
      <c r="I198" s="280" t="inlineStr">
        <is>
          <t xml:space="preserve"> _____________________ </t>
        </is>
      </c>
      <c r="J198" s="281" t="inlineStr">
        <is>
          <t xml:space="preserve"> </t>
        </is>
      </c>
      <c r="K198" s="242" t="n"/>
      <c r="L198" s="242" t="n"/>
      <c r="M198" s="242" t="n"/>
      <c r="N198" s="242" t="n"/>
      <c r="O198" s="242" t="n"/>
      <c r="P198" s="242" t="n"/>
      <c r="Q198" s="242" t="n"/>
      <c r="R198" s="242" t="n"/>
      <c r="S198" s="242" t="n"/>
      <c r="T198" s="242" t="n"/>
      <c r="U198" s="242" t="n"/>
      <c r="V198" s="242" t="n"/>
      <c r="W198" s="242" t="n"/>
      <c r="X198" s="242" t="n"/>
      <c r="Y198" s="242" t="n"/>
      <c r="Z198" s="242" t="n"/>
      <c r="AA198" s="242" t="n"/>
      <c r="AB198" s="242" t="n"/>
      <c r="AC198" s="242" t="n"/>
    </row>
    <row r="199" ht="12.2" customHeight="1" s="197">
      <c r="A199" s="251" t="inlineStr"/>
      <c r="F199" s="251" t="inlineStr">
        <is>
          <t xml:space="preserve">      (должность)</t>
        </is>
      </c>
      <c r="I199" s="251" t="inlineStr">
        <is>
          <t xml:space="preserve">       (подпись)</t>
        </is>
      </c>
      <c r="J199" s="251" t="inlineStr">
        <is>
          <t xml:space="preserve"> (расшифровка подписи)</t>
        </is>
      </c>
    </row>
    <row r="200" ht="14.85" customHeight="1" s="197">
      <c r="A200" s="282" t="inlineStr">
        <is>
          <t xml:space="preserve">    М.П.</t>
        </is>
      </c>
    </row>
  </sheetData>
  <mergeCells count="1322">
    <mergeCell ref="T52:W52"/>
    <mergeCell ref="AA4:AC4"/>
    <mergeCell ref="H109:J109"/>
    <mergeCell ref="Q187"/>
    <mergeCell ref="B62"/>
    <mergeCell ref="H75:J75"/>
    <mergeCell ref="B72"/>
    <mergeCell ref="Q189"/>
    <mergeCell ref="H170:P170"/>
    <mergeCell ref="H104:J104"/>
    <mergeCell ref="S42"/>
    <mergeCell ref="T42:W42"/>
    <mergeCell ref="S77"/>
    <mergeCell ref="T78:W78"/>
    <mergeCell ref="H172:P172"/>
    <mergeCell ref="T50:W50"/>
    <mergeCell ref="Q190"/>
    <mergeCell ref="T44:W44"/>
    <mergeCell ref="H171:P171"/>
    <mergeCell ref="T80:W80"/>
    <mergeCell ref="H165:P165"/>
    <mergeCell ref="B88"/>
    <mergeCell ref="T73:W73"/>
    <mergeCell ref="D12:V12"/>
    <mergeCell ref="S88"/>
    <mergeCell ref="A196:E196"/>
    <mergeCell ref="C85:G85"/>
    <mergeCell ref="C112:G112"/>
    <mergeCell ref="G9:V9"/>
    <mergeCell ref="K41:L41"/>
    <mergeCell ref="A51"/>
    <mergeCell ref="S90"/>
    <mergeCell ref="R29"/>
    <mergeCell ref="A198:E198"/>
    <mergeCell ref="X74:Y74"/>
    <mergeCell ref="C114:G114"/>
    <mergeCell ref="G11:V11"/>
    <mergeCell ref="X68:Y68"/>
    <mergeCell ref="K43:L43"/>
    <mergeCell ref="X76:Y76"/>
    <mergeCell ref="X69:Y69"/>
    <mergeCell ref="R51"/>
    <mergeCell ref="H121:P121"/>
    <mergeCell ref="A35"/>
    <mergeCell ref="A62"/>
    <mergeCell ref="C104:G104"/>
    <mergeCell ref="H123:P123"/>
    <mergeCell ref="S27:S28"/>
    <mergeCell ref="A72"/>
    <mergeCell ref="A28"/>
    <mergeCell ref="K54:L54"/>
    <mergeCell ref="A1:AC1"/>
    <mergeCell ref="H105:J105"/>
    <mergeCell ref="C99:G99"/>
    <mergeCell ref="R44"/>
    <mergeCell ref="H71:J71"/>
    <mergeCell ref="A88"/>
    <mergeCell ref="A54"/>
    <mergeCell ref="S38"/>
    <mergeCell ref="A90"/>
    <mergeCell ref="T74:W74"/>
    <mergeCell ref="H134:P134"/>
    <mergeCell ref="A56"/>
    <mergeCell ref="Z58:AC58"/>
    <mergeCell ref="H102:J102"/>
    <mergeCell ref="S40"/>
    <mergeCell ref="P39"/>
    <mergeCell ref="C72:G72"/>
    <mergeCell ref="Q186"/>
    <mergeCell ref="T40:W40"/>
    <mergeCell ref="C186:G186"/>
    <mergeCell ref="T76:W76"/>
    <mergeCell ref="R97"/>
    <mergeCell ref="T69:W69"/>
    <mergeCell ref="H169:P169"/>
    <mergeCell ref="S35"/>
    <mergeCell ref="Z84:AC84"/>
    <mergeCell ref="C54:G54"/>
    <mergeCell ref="M45:O45"/>
    <mergeCell ref="B81"/>
    <mergeCell ref="S93"/>
    <mergeCell ref="C56:G56"/>
    <mergeCell ref="M47:O47"/>
    <mergeCell ref="H189:P189"/>
    <mergeCell ref="AB16"/>
    <mergeCell ref="P52"/>
    <mergeCell ref="T59:W59"/>
    <mergeCell ref="K39:L39"/>
    <mergeCell ref="R108"/>
    <mergeCell ref="T89:W89"/>
    <mergeCell ref="T88:W88"/>
    <mergeCell ref="U21"/>
    <mergeCell ref="Q46"/>
    <mergeCell ref="B99"/>
    <mergeCell ref="J198:AC198"/>
    <mergeCell ref="R176:Y176"/>
    <mergeCell ref="Q48"/>
    <mergeCell ref="S104"/>
    <mergeCell ref="R178:Y178"/>
    <mergeCell ref="Q41"/>
    <mergeCell ref="Z99:AC99"/>
    <mergeCell ref="J199:AC199"/>
    <mergeCell ref="Q43"/>
    <mergeCell ref="S105"/>
    <mergeCell ref="Z101:AC101"/>
    <mergeCell ref="R38"/>
    <mergeCell ref="C129:G129"/>
    <mergeCell ref="A25:AC25"/>
    <mergeCell ref="K58:L58"/>
    <mergeCell ref="K52:L52"/>
    <mergeCell ref="H61:R61"/>
    <mergeCell ref="R40"/>
    <mergeCell ref="Q67"/>
    <mergeCell ref="H78:J78"/>
    <mergeCell ref="Q103"/>
    <mergeCell ref="K53:L53"/>
    <mergeCell ref="H44:J44"/>
    <mergeCell ref="Q69"/>
    <mergeCell ref="R35"/>
    <mergeCell ref="C155:G155"/>
    <mergeCell ref="Z29:AC29"/>
    <mergeCell ref="K78:L78"/>
    <mergeCell ref="H73:J73"/>
    <mergeCell ref="R66"/>
    <mergeCell ref="L24:N24"/>
    <mergeCell ref="Z181:AC181"/>
    <mergeCell ref="C157:G157"/>
    <mergeCell ref="X111:Y111"/>
    <mergeCell ref="C151:G151"/>
    <mergeCell ref="A81"/>
    <mergeCell ref="R93"/>
    <mergeCell ref="R68"/>
    <mergeCell ref="C152:G152"/>
    <mergeCell ref="S62"/>
    <mergeCell ref="Z163:AC163"/>
    <mergeCell ref="Z57:AC57"/>
    <mergeCell ref="Z171:AC171"/>
    <mergeCell ref="P46"/>
    <mergeCell ref="M43:O43"/>
    <mergeCell ref="Q82"/>
    <mergeCell ref="A99"/>
    <mergeCell ref="Q118"/>
    <mergeCell ref="R121:Y121"/>
    <mergeCell ref="S57"/>
    <mergeCell ref="P48"/>
    <mergeCell ref="C81:G81"/>
    <mergeCell ref="A101"/>
    <mergeCell ref="C170:G170"/>
    <mergeCell ref="P43"/>
    <mergeCell ref="H108:J108"/>
    <mergeCell ref="R105"/>
    <mergeCell ref="Q169"/>
    <mergeCell ref="B63"/>
    <mergeCell ref="M77:O77"/>
    <mergeCell ref="S75"/>
    <mergeCell ref="P74"/>
    <mergeCell ref="R174:Y174"/>
    <mergeCell ref="A8:F8"/>
    <mergeCell ref="J195:AC195"/>
    <mergeCell ref="C26:G28"/>
    <mergeCell ref="P76"/>
    <mergeCell ref="Q164"/>
    <mergeCell ref="M62:O62"/>
    <mergeCell ref="A10:F10"/>
    <mergeCell ref="Z97:AC97"/>
    <mergeCell ref="P69"/>
    <mergeCell ref="S70"/>
    <mergeCell ref="H84:R84"/>
    <mergeCell ref="M59:O59"/>
    <mergeCell ref="A23:AC23"/>
    <mergeCell ref="A17:Z17"/>
    <mergeCell ref="Q180"/>
    <mergeCell ref="Z121:AC121"/>
    <mergeCell ref="M88:O88"/>
    <mergeCell ref="M82:O82"/>
    <mergeCell ref="Q188"/>
    <mergeCell ref="Q65"/>
    <mergeCell ref="Z123:AC123"/>
    <mergeCell ref="M54:O54"/>
    <mergeCell ref="M90:O90"/>
    <mergeCell ref="Z152:AC152"/>
    <mergeCell ref="P89"/>
    <mergeCell ref="V20:Z20"/>
    <mergeCell ref="Z118:AC118"/>
    <mergeCell ref="R64"/>
    <mergeCell ref="R57"/>
    <mergeCell ref="C148:G148"/>
    <mergeCell ref="K77:L77"/>
    <mergeCell ref="Q85"/>
    <mergeCell ref="Z134:AC134"/>
    <mergeCell ref="Z47:AC47"/>
    <mergeCell ref="Q122"/>
    <mergeCell ref="Q78"/>
    <mergeCell ref="Q114"/>
    <mergeCell ref="W12:Z12"/>
    <mergeCell ref="R75"/>
    <mergeCell ref="Z48:AC48"/>
    <mergeCell ref="C166:G166"/>
    <mergeCell ref="Z162:AC162"/>
    <mergeCell ref="K89:L89"/>
    <mergeCell ref="Q138"/>
    <mergeCell ref="K88:L88"/>
    <mergeCell ref="Q104"/>
    <mergeCell ref="Q140"/>
    <mergeCell ref="K90:L90"/>
    <mergeCell ref="R145:Y145"/>
    <mergeCell ref="R139:Y139"/>
    <mergeCell ref="C192:G192"/>
    <mergeCell ref="Z66:AC66"/>
    <mergeCell ref="P72"/>
    <mergeCell ref="AA8:AC8"/>
    <mergeCell ref="R147:Y147"/>
    <mergeCell ref="P65"/>
    <mergeCell ref="R140:Y140"/>
    <mergeCell ref="AA10:AC10"/>
    <mergeCell ref="T51:W51"/>
    <mergeCell ref="C189:G189"/>
    <mergeCell ref="C34:G34"/>
    <mergeCell ref="Q178"/>
    <mergeCell ref="Q153"/>
    <mergeCell ref="T67:W67"/>
    <mergeCell ref="R158:Y158"/>
    <mergeCell ref="Z148:AC148"/>
    <mergeCell ref="R193:Y193"/>
    <mergeCell ref="C118:G118"/>
    <mergeCell ref="AA21:AC21"/>
    <mergeCell ref="R160:Y160"/>
    <mergeCell ref="A13:C13"/>
    <mergeCell ref="T35:W35"/>
    <mergeCell ref="X27:Y28"/>
    <mergeCell ref="R184:Y184"/>
    <mergeCell ref="Z130:AC130"/>
    <mergeCell ref="M70:O70"/>
    <mergeCell ref="H188:P188"/>
    <mergeCell ref="M99:O99"/>
    <mergeCell ref="W8:Z8"/>
    <mergeCell ref="E6:V6"/>
    <mergeCell ref="R27:R28"/>
    <mergeCell ref="A87:AC87"/>
    <mergeCell ref="Q136"/>
    <mergeCell ref="Q102"/>
    <mergeCell ref="H53:J53"/>
    <mergeCell ref="Q131"/>
    <mergeCell ref="H112:P112"/>
    <mergeCell ref="Z189:AC189"/>
    <mergeCell ref="B29"/>
    <mergeCell ref="H55:J55"/>
    <mergeCell ref="X84:Y84"/>
    <mergeCell ref="R136:Y136"/>
    <mergeCell ref="AA6:AC6"/>
    <mergeCell ref="H114:P114"/>
    <mergeCell ref="C185:G185"/>
    <mergeCell ref="H138:P138"/>
    <mergeCell ref="Q149"/>
    <mergeCell ref="H37:J37"/>
    <mergeCell ref="Q115"/>
    <mergeCell ref="H140:P140"/>
    <mergeCell ref="Q151"/>
    <mergeCell ref="A45"/>
    <mergeCell ref="P56"/>
    <mergeCell ref="S39"/>
    <mergeCell ref="X104:Y104"/>
    <mergeCell ref="AA17:AC17"/>
    <mergeCell ref="B42"/>
    <mergeCell ref="B44"/>
    <mergeCell ref="R151:Y151"/>
    <mergeCell ref="R180:Y180"/>
    <mergeCell ref="B37"/>
    <mergeCell ref="Q170"/>
    <mergeCell ref="R182:Y182"/>
    <mergeCell ref="Y15:Z15"/>
    <mergeCell ref="C45:G45"/>
    <mergeCell ref="R20:T20"/>
    <mergeCell ref="Q172"/>
    <mergeCell ref="H153:P153"/>
    <mergeCell ref="S50"/>
    <mergeCell ref="X34:Y34"/>
    <mergeCell ref="C47:G47"/>
    <mergeCell ref="H186:P186"/>
    <mergeCell ref="R177:Y177"/>
    <mergeCell ref="C40:G40"/>
    <mergeCell ref="X29:Y29"/>
    <mergeCell ref="A7:D7"/>
    <mergeCell ref="C71:G71"/>
    <mergeCell ref="B98"/>
    <mergeCell ref="X54:Y54"/>
    <mergeCell ref="S103"/>
    <mergeCell ref="T104:W104"/>
    <mergeCell ref="Z185:AC185"/>
    <mergeCell ref="X56:Y56"/>
    <mergeCell ref="H51:J51"/>
    <mergeCell ref="T70:W70"/>
    <mergeCell ref="A16:X16"/>
    <mergeCell ref="H85:P85"/>
    <mergeCell ref="T105:W105"/>
    <mergeCell ref="T99:W99"/>
    <mergeCell ref="H50:R50"/>
    <mergeCell ref="Z186:AC186"/>
    <mergeCell ref="X57:Y57"/>
    <mergeCell ref="K51:L51"/>
    <mergeCell ref="T107:W107"/>
    <mergeCell ref="R39"/>
    <mergeCell ref="T101:W101"/>
    <mergeCell ref="H77:J77"/>
    <mergeCell ref="H136:P136"/>
    <mergeCell ref="H35:J35"/>
    <mergeCell ref="X75:Y75"/>
    <mergeCell ref="R120:Y120"/>
    <mergeCell ref="H59:J59"/>
    <mergeCell ref="H89:J89"/>
    <mergeCell ref="H88:J88"/>
    <mergeCell ref="X97:Y97"/>
    <mergeCell ref="B41"/>
    <mergeCell ref="B35"/>
    <mergeCell ref="Z46:AC46"/>
    <mergeCell ref="Z40:AC40"/>
    <mergeCell ref="H90:J90"/>
    <mergeCell ref="H155:P155"/>
    <mergeCell ref="H149:P149"/>
    <mergeCell ref="C168:G168"/>
    <mergeCell ref="S46"/>
    <mergeCell ref="A98"/>
    <mergeCell ref="B66"/>
    <mergeCell ref="R173:Y173"/>
    <mergeCell ref="Z41:AC41"/>
    <mergeCell ref="H151:P151"/>
    <mergeCell ref="S48"/>
    <mergeCell ref="H150:P150"/>
    <mergeCell ref="Z43:AC43"/>
    <mergeCell ref="B67"/>
    <mergeCell ref="Q184"/>
    <mergeCell ref="C67:G67"/>
    <mergeCell ref="B69"/>
    <mergeCell ref="C69:G69"/>
    <mergeCell ref="H177:P177"/>
    <mergeCell ref="S74"/>
    <mergeCell ref="C62:G62"/>
    <mergeCell ref="K108:L108"/>
    <mergeCell ref="C98:G98"/>
    <mergeCell ref="C187:G187"/>
    <mergeCell ref="S76"/>
    <mergeCell ref="C64:G64"/>
    <mergeCell ref="P58"/>
    <mergeCell ref="X53:Y53"/>
    <mergeCell ref="C93:G93"/>
    <mergeCell ref="X47:Y47"/>
    <mergeCell ref="T103:W103"/>
    <mergeCell ref="T97:W97"/>
    <mergeCell ref="X55:Y55"/>
    <mergeCell ref="Q29"/>
    <mergeCell ref="Z112:AC112"/>
    <mergeCell ref="C82:G82"/>
    <mergeCell ref="K38:L38"/>
    <mergeCell ref="X71:Y71"/>
    <mergeCell ref="S89"/>
    <mergeCell ref="A43"/>
    <mergeCell ref="R46"/>
    <mergeCell ref="Z138:AC138"/>
    <mergeCell ref="X66:Y66"/>
    <mergeCell ref="K35:L35"/>
    <mergeCell ref="R48"/>
    <mergeCell ref="P104"/>
    <mergeCell ref="C137:G137"/>
    <mergeCell ref="Q42"/>
    <mergeCell ref="H120:P120"/>
    <mergeCell ref="C139:G139"/>
    <mergeCell ref="A69"/>
    <mergeCell ref="R74"/>
    <mergeCell ref="Z39:AC39"/>
    <mergeCell ref="R76"/>
    <mergeCell ref="H148:P148"/>
    <mergeCell ref="Q129"/>
    <mergeCell ref="B65"/>
    <mergeCell ref="Z153:AC153"/>
    <mergeCell ref="H99:J99"/>
    <mergeCell ref="R92"/>
    <mergeCell ref="Z65:AC65"/>
    <mergeCell ref="C183:G183"/>
    <mergeCell ref="S72"/>
    <mergeCell ref="P29"/>
    <mergeCell ref="H101:J101"/>
    <mergeCell ref="R94"/>
    <mergeCell ref="C176:G176"/>
    <mergeCell ref="K105:L105"/>
    <mergeCell ref="I195"/>
    <mergeCell ref="C178:G178"/>
    <mergeCell ref="T68:W68"/>
    <mergeCell ref="R89"/>
    <mergeCell ref="AA16"/>
    <mergeCell ref="R155:Y155"/>
    <mergeCell ref="H192:P192"/>
    <mergeCell ref="Z103:AC103"/>
    <mergeCell ref="Z78:AC78"/>
    <mergeCell ref="P42"/>
    <mergeCell ref="K29:L29"/>
    <mergeCell ref="H187:P187"/>
    <mergeCell ref="Z80:AC80"/>
    <mergeCell ref="Z136:AC136"/>
    <mergeCell ref="M103:O103"/>
    <mergeCell ref="Q55"/>
    <mergeCell ref="R175:Y175"/>
    <mergeCell ref="S111"/>
    <mergeCell ref="Q38"/>
    <mergeCell ref="J196:AC196"/>
    <mergeCell ref="C135:G135"/>
    <mergeCell ref="Z131:AC131"/>
    <mergeCell ref="Q40"/>
    <mergeCell ref="M98:O98"/>
    <mergeCell ref="K57:L57"/>
    <mergeCell ref="P103"/>
    <mergeCell ref="C136:G136"/>
    <mergeCell ref="C92:G92"/>
    <mergeCell ref="P97"/>
    <mergeCell ref="R72"/>
    <mergeCell ref="Q66"/>
    <mergeCell ref="Z149:AC149"/>
    <mergeCell ref="C146:G146"/>
    <mergeCell ref="K75:L75"/>
    <mergeCell ref="Q68"/>
    <mergeCell ref="Z151:AC151"/>
    <mergeCell ref="R63"/>
    <mergeCell ref="Z178:AC178"/>
    <mergeCell ref="Z150:AC150"/>
    <mergeCell ref="Z144:AC144"/>
    <mergeCell ref="C120:G120"/>
    <mergeCell ref="K70:L70"/>
    <mergeCell ref="Z175:AC175"/>
    <mergeCell ref="C174:G174"/>
    <mergeCell ref="C149:G149"/>
    <mergeCell ref="H41:J41"/>
    <mergeCell ref="K103:L103"/>
    <mergeCell ref="R91"/>
    <mergeCell ref="R127:Y127"/>
    <mergeCell ref="W9:Z9"/>
    <mergeCell ref="Q148"/>
    <mergeCell ref="H129:P129"/>
    <mergeCell ref="M40:O40"/>
    <mergeCell ref="S54"/>
    <mergeCell ref="Z74:AC74"/>
    <mergeCell ref="S56"/>
    <mergeCell ref="P55"/>
    <mergeCell ref="M41:O41"/>
    <mergeCell ref="C44:G44"/>
    <mergeCell ref="P38"/>
    <mergeCell ref="Z76:AC76"/>
    <mergeCell ref="P40"/>
    <mergeCell ref="Q130"/>
    <mergeCell ref="H185:P185"/>
    <mergeCell ref="M66:O66"/>
    <mergeCell ref="Q166"/>
    <mergeCell ref="A2:AC2"/>
    <mergeCell ref="R104"/>
    <mergeCell ref="M68:O68"/>
    <mergeCell ref="Q159"/>
    <mergeCell ref="A5:Z5"/>
    <mergeCell ref="R171:Y171"/>
    <mergeCell ref="M67:O67"/>
    <mergeCell ref="R181:Y181"/>
    <mergeCell ref="Q167"/>
    <mergeCell ref="O24:AC24"/>
    <mergeCell ref="Q161"/>
    <mergeCell ref="M69:O69"/>
    <mergeCell ref="P66"/>
    <mergeCell ref="R166:Y166"/>
    <mergeCell ref="Q192"/>
    <mergeCell ref="P93"/>
    <mergeCell ref="P68"/>
    <mergeCell ref="K55:L55"/>
    <mergeCell ref="Z89:AC89"/>
    <mergeCell ref="Q179"/>
    <mergeCell ref="Q62"/>
    <mergeCell ref="Z120:AC120"/>
    <mergeCell ref="R192:Y192"/>
    <mergeCell ref="Q64"/>
    <mergeCell ref="X45:Y45"/>
    <mergeCell ref="H80:R80"/>
    <mergeCell ref="Z115:AC115"/>
    <mergeCell ref="Q93"/>
    <mergeCell ref="A15:X15"/>
    <mergeCell ref="K66:L66"/>
    <mergeCell ref="X46:Y46"/>
    <mergeCell ref="R54"/>
    <mergeCell ref="C145:G145"/>
    <mergeCell ref="K74:L74"/>
    <mergeCell ref="K68:L68"/>
    <mergeCell ref="X48:Y48"/>
    <mergeCell ref="R56"/>
    <mergeCell ref="R123:Y123"/>
    <mergeCell ref="R21:T21"/>
    <mergeCell ref="Q75"/>
    <mergeCell ref="R124:Y124"/>
    <mergeCell ref="R118:Y118"/>
    <mergeCell ref="Z159:AC159"/>
    <mergeCell ref="E7:V7"/>
    <mergeCell ref="R126:Y126"/>
    <mergeCell ref="Z184:AC184"/>
    <mergeCell ref="C158:G158"/>
    <mergeCell ref="Q157"/>
    <mergeCell ref="C191:G191"/>
    <mergeCell ref="M65:O65"/>
    <mergeCell ref="P62"/>
    <mergeCell ref="Z187:AC187"/>
    <mergeCell ref="T46:W46"/>
    <mergeCell ref="R137:Y137"/>
    <mergeCell ref="AA7:AC7"/>
    <mergeCell ref="H115:P115"/>
    <mergeCell ref="C184:G184"/>
    <mergeCell ref="P64"/>
    <mergeCell ref="T48:W48"/>
    <mergeCell ref="B52"/>
    <mergeCell ref="N21:Q21"/>
    <mergeCell ref="Q185"/>
    <mergeCell ref="R188:Y188"/>
    <mergeCell ref="H166:P166"/>
    <mergeCell ref="Z109:AC109"/>
    <mergeCell ref="Q193"/>
    <mergeCell ref="B53"/>
    <mergeCell ref="R190:Y190"/>
    <mergeCell ref="Q176"/>
    <mergeCell ref="H168:P168"/>
    <mergeCell ref="C53:G53"/>
    <mergeCell ref="Z111:AC111"/>
    <mergeCell ref="A200:AC200"/>
    <mergeCell ref="Z147:AC147"/>
    <mergeCell ref="H167:P167"/>
    <mergeCell ref="M78:O78"/>
    <mergeCell ref="P75"/>
    <mergeCell ref="H161:P161"/>
    <mergeCell ref="A24:K24"/>
    <mergeCell ref="A197:AC197"/>
    <mergeCell ref="S91"/>
    <mergeCell ref="Q27:Q28"/>
    <mergeCell ref="X72:Y72"/>
    <mergeCell ref="V21:Z21"/>
    <mergeCell ref="A29"/>
    <mergeCell ref="Q101"/>
    <mergeCell ref="Q128"/>
    <mergeCell ref="C128:G128"/>
    <mergeCell ref="X82:Y82"/>
    <mergeCell ref="C100:G100"/>
    <mergeCell ref="C94:G94"/>
    <mergeCell ref="C180:G180"/>
    <mergeCell ref="C182:G182"/>
    <mergeCell ref="H67:J67"/>
    <mergeCell ref="M26:Q26"/>
    <mergeCell ref="H103:J103"/>
    <mergeCell ref="M27:O28"/>
    <mergeCell ref="H137:P137"/>
    <mergeCell ref="S34"/>
    <mergeCell ref="A42"/>
    <mergeCell ref="H130:P130"/>
    <mergeCell ref="H98:J98"/>
    <mergeCell ref="S36"/>
    <mergeCell ref="B51"/>
    <mergeCell ref="T72:W72"/>
    <mergeCell ref="S29"/>
    <mergeCell ref="R146:Y146"/>
    <mergeCell ref="P27:P28"/>
    <mergeCell ref="M46:O46"/>
    <mergeCell ref="C55:G55"/>
    <mergeCell ref="T29:W29"/>
    <mergeCell ref="Q112"/>
    <mergeCell ref="AA11:AC11"/>
    <mergeCell ref="A70"/>
    <mergeCell ref="T58:W58"/>
    <mergeCell ref="T54:W54"/>
    <mergeCell ref="H175:P175"/>
    <mergeCell ref="H82:J82"/>
    <mergeCell ref="C52:G52"/>
    <mergeCell ref="C37:G37"/>
    <mergeCell ref="H193:P193"/>
    <mergeCell ref="H176:P176"/>
    <mergeCell ref="T84:W84"/>
    <mergeCell ref="H178:P178"/>
    <mergeCell ref="B89"/>
    <mergeCell ref="B97"/>
    <mergeCell ref="S100"/>
    <mergeCell ref="C63:G63"/>
    <mergeCell ref="C124:G124"/>
    <mergeCell ref="B90"/>
    <mergeCell ref="H48:J48"/>
    <mergeCell ref="S102"/>
    <mergeCell ref="C90:G90"/>
    <mergeCell ref="Q39"/>
    <mergeCell ref="R34"/>
    <mergeCell ref="C119:G119"/>
    <mergeCell ref="K48:L48"/>
    <mergeCell ref="H43:J43"/>
    <mergeCell ref="R36"/>
    <mergeCell ref="X81:Y81"/>
    <mergeCell ref="H74:J74"/>
    <mergeCell ref="H68:J68"/>
    <mergeCell ref="B108"/>
    <mergeCell ref="H133:P133"/>
    <mergeCell ref="A26:B27"/>
    <mergeCell ref="H69:J69"/>
    <mergeCell ref="A67"/>
    <mergeCell ref="C109:G109"/>
    <mergeCell ref="H128:P128"/>
    <mergeCell ref="C147:G147"/>
    <mergeCell ref="K76:L76"/>
    <mergeCell ref="AC16"/>
    <mergeCell ref="X92:Y92"/>
    <mergeCell ref="K67:L67"/>
    <mergeCell ref="X94:Y94"/>
    <mergeCell ref="R116:Y116"/>
    <mergeCell ref="A66"/>
    <mergeCell ref="Z37:AC37"/>
    <mergeCell ref="H146:P146"/>
    <mergeCell ref="C165:G165"/>
    <mergeCell ref="Z167:AC167"/>
    <mergeCell ref="M39:O39"/>
    <mergeCell ref="Z161:AC161"/>
    <mergeCell ref="R117:Y117"/>
    <mergeCell ref="S53"/>
    <mergeCell ref="Z38:AC38"/>
    <mergeCell ref="S45"/>
    <mergeCell ref="C77:G77"/>
    <mergeCell ref="A97"/>
    <mergeCell ref="R119:Y119"/>
    <mergeCell ref="S55"/>
    <mergeCell ref="T56:W56"/>
    <mergeCell ref="C160:G160"/>
    <mergeCell ref="A20:M20"/>
    <mergeCell ref="Z63:AC63"/>
    <mergeCell ref="R102"/>
    <mergeCell ref="M57:O57"/>
    <mergeCell ref="R103"/>
    <mergeCell ref="S71"/>
    <mergeCell ref="M29:O29"/>
    <mergeCell ref="C59:G59"/>
    <mergeCell ref="Z91:AC91"/>
    <mergeCell ref="S73"/>
    <mergeCell ref="M58:O58"/>
    <mergeCell ref="A108"/>
    <mergeCell ref="Z93:AC93"/>
    <mergeCell ref="S66"/>
    <mergeCell ref="X44:Y44"/>
    <mergeCell ref="S68"/>
    <mergeCell ref="Z122:AC122"/>
    <mergeCell ref="T66:W66"/>
    <mergeCell ref="Z119:AC119"/>
    <mergeCell ref="M42:O42"/>
    <mergeCell ref="H65:J65"/>
    <mergeCell ref="Z104:AC104"/>
    <mergeCell ref="X63:Y63"/>
    <mergeCell ref="R45"/>
    <mergeCell ref="K65:L65"/>
    <mergeCell ref="R55"/>
    <mergeCell ref="W7:Z7"/>
    <mergeCell ref="R47"/>
    <mergeCell ref="Q81"/>
    <mergeCell ref="Q74"/>
    <mergeCell ref="Z34:AC34"/>
    <mergeCell ref="Q76"/>
    <mergeCell ref="A68"/>
    <mergeCell ref="R71"/>
    <mergeCell ref="C162:G162"/>
    <mergeCell ref="S51"/>
    <mergeCell ref="K91:L91"/>
    <mergeCell ref="Z36:AC36"/>
    <mergeCell ref="R73"/>
    <mergeCell ref="C164:G164"/>
    <mergeCell ref="Z61:AC61"/>
    <mergeCell ref="T47:W47"/>
    <mergeCell ref="Q92"/>
    <mergeCell ref="R141:Y141"/>
    <mergeCell ref="Q94"/>
    <mergeCell ref="Z62:AC62"/>
    <mergeCell ref="Z56:AC56"/>
    <mergeCell ref="M48:O48"/>
    <mergeCell ref="R143:Y143"/>
    <mergeCell ref="C190:G190"/>
    <mergeCell ref="Z64:AC64"/>
    <mergeCell ref="Q89"/>
    <mergeCell ref="C175:G175"/>
    <mergeCell ref="C58:G58"/>
    <mergeCell ref="S64"/>
    <mergeCell ref="K104:L104"/>
    <mergeCell ref="Q120"/>
    <mergeCell ref="M81:O81"/>
    <mergeCell ref="B75"/>
    <mergeCell ref="N20:Q20"/>
    <mergeCell ref="K99:L99"/>
    <mergeCell ref="M76:O76"/>
    <mergeCell ref="R154:Y154"/>
    <mergeCell ref="B70"/>
    <mergeCell ref="Z75:AC75"/>
    <mergeCell ref="S82"/>
    <mergeCell ref="P81"/>
    <mergeCell ref="T65:W65"/>
    <mergeCell ref="R156:Y156"/>
    <mergeCell ref="H184:P184"/>
    <mergeCell ref="A4:Z4"/>
    <mergeCell ref="Q44"/>
    <mergeCell ref="C101:G101"/>
    <mergeCell ref="M94:O94"/>
    <mergeCell ref="S108"/>
    <mergeCell ref="Q45"/>
    <mergeCell ref="Z128:AC128"/>
    <mergeCell ref="P92"/>
    <mergeCell ref="M89:O89"/>
    <mergeCell ref="Q47"/>
    <mergeCell ref="A64"/>
    <mergeCell ref="P100"/>
    <mergeCell ref="M97:O97"/>
    <mergeCell ref="C133:G133"/>
    <mergeCell ref="C127:G127"/>
    <mergeCell ref="P94"/>
    <mergeCell ref="Z129:AC129"/>
    <mergeCell ref="W6:Z6"/>
    <mergeCell ref="K56:L56"/>
    <mergeCell ref="Q63"/>
    <mergeCell ref="H111:R111"/>
    <mergeCell ref="Q119"/>
    <mergeCell ref="M108:O108"/>
    <mergeCell ref="W11:Z11"/>
    <mergeCell ref="Q116"/>
    <mergeCell ref="R82"/>
    <mergeCell ref="Z55:AC55"/>
    <mergeCell ref="Q145"/>
    <mergeCell ref="Q117"/>
    <mergeCell ref="Q147"/>
    <mergeCell ref="A41"/>
    <mergeCell ref="R125:Y125"/>
    <mergeCell ref="R150:Y150"/>
    <mergeCell ref="K97:L97"/>
    <mergeCell ref="Z71:AC71"/>
    <mergeCell ref="X100:Y100"/>
    <mergeCell ref="AA13:AC13"/>
    <mergeCell ref="R152:Y152"/>
    <mergeCell ref="Z27:AC28"/>
    <mergeCell ref="B38"/>
    <mergeCell ref="Z73:AC73"/>
    <mergeCell ref="X102:Y102"/>
    <mergeCell ref="AA15:AC15"/>
    <mergeCell ref="P37"/>
    <mergeCell ref="B40"/>
    <mergeCell ref="F198:H198"/>
    <mergeCell ref="P47"/>
    <mergeCell ref="F199:H199"/>
    <mergeCell ref="I196"/>
    <mergeCell ref="Q158"/>
    <mergeCell ref="C41:G41"/>
    <mergeCell ref="S47"/>
    <mergeCell ref="Q77"/>
    <mergeCell ref="M91:O91"/>
    <mergeCell ref="P63"/>
    <mergeCell ref="I198"/>
    <mergeCell ref="T45:W45"/>
    <mergeCell ref="Q160"/>
    <mergeCell ref="R163:Y163"/>
    <mergeCell ref="C43:G43"/>
    <mergeCell ref="A6:D6"/>
    <mergeCell ref="M93:O93"/>
    <mergeCell ref="C36:G36"/>
    <mergeCell ref="R165:Y165"/>
    <mergeCell ref="Q72"/>
    <mergeCell ref="S101"/>
    <mergeCell ref="P91"/>
    <mergeCell ref="R191:Y191"/>
    <mergeCell ref="X52:Y52"/>
    <mergeCell ref="M104:O104"/>
    <mergeCell ref="T102:W102"/>
    <mergeCell ref="W13:Z13"/>
    <mergeCell ref="Q56"/>
    <mergeCell ref="X37:Y37"/>
    <mergeCell ref="P109"/>
    <mergeCell ref="K26:L28"/>
    <mergeCell ref="Z168:AC168"/>
    <mergeCell ref="X38:Y38"/>
    <mergeCell ref="H29:J29"/>
    <mergeCell ref="Z165:AC165"/>
    <mergeCell ref="R115:Y115"/>
    <mergeCell ref="H58:J58"/>
    <mergeCell ref="X96:Y96"/>
    <mergeCell ref="H117:P117"/>
    <mergeCell ref="Z166:AC166"/>
    <mergeCell ref="R53"/>
    <mergeCell ref="X98:Y98"/>
    <mergeCell ref="H119:P119"/>
    <mergeCell ref="B36"/>
    <mergeCell ref="X91:Y91"/>
    <mergeCell ref="H57:J57"/>
    <mergeCell ref="H42:J42"/>
    <mergeCell ref="B39"/>
    <mergeCell ref="H145:P145"/>
    <mergeCell ref="M56:O56"/>
    <mergeCell ref="R134:Y134"/>
    <mergeCell ref="C39:G39"/>
    <mergeCell ref="R37"/>
    <mergeCell ref="Q155"/>
    <mergeCell ref="H147:P147"/>
    <mergeCell ref="X109:Y109"/>
    <mergeCell ref="Q182"/>
    <mergeCell ref="H163:P163"/>
    <mergeCell ref="H70:J70"/>
    <mergeCell ref="R187:Y187"/>
    <mergeCell ref="Q183"/>
    <mergeCell ref="H158:P158"/>
    <mergeCell ref="R189:Y189"/>
    <mergeCell ref="H160:P160"/>
    <mergeCell ref="X51:Y51"/>
    <mergeCell ref="A194:AC194"/>
    <mergeCell ref="X36:Y36"/>
    <mergeCell ref="C78:G78"/>
    <mergeCell ref="K34:L34"/>
    <mergeCell ref="X67:Y67"/>
    <mergeCell ref="X61:Y61"/>
    <mergeCell ref="K36:L36"/>
    <mergeCell ref="T111:W111"/>
    <mergeCell ref="C73:G73"/>
    <mergeCell ref="A39"/>
    <mergeCell ref="X62:Y62"/>
    <mergeCell ref="R114:Y114"/>
    <mergeCell ref="Q37"/>
    <mergeCell ref="Z193:AC193"/>
    <mergeCell ref="X64:Y64"/>
    <mergeCell ref="A19:U19"/>
    <mergeCell ref="X93:Y93"/>
    <mergeCell ref="H143:P143"/>
    <mergeCell ref="H118:P118"/>
    <mergeCell ref="R62"/>
    <mergeCell ref="A52"/>
    <mergeCell ref="H100:J100"/>
    <mergeCell ref="T36:W36"/>
    <mergeCell ref="H66:J66"/>
    <mergeCell ref="Q91"/>
    <mergeCell ref="R88"/>
    <mergeCell ref="X108:Y108"/>
    <mergeCell ref="H154:P154"/>
    <mergeCell ref="Z53:AC53"/>
    <mergeCell ref="H97:J97"/>
    <mergeCell ref="R90"/>
    <mergeCell ref="Q181"/>
    <mergeCell ref="T62:W62"/>
    <mergeCell ref="H162:P162"/>
    <mergeCell ref="C181:G181"/>
    <mergeCell ref="H156:P156"/>
    <mergeCell ref="B73"/>
    <mergeCell ref="T64:W64"/>
    <mergeCell ref="Q109"/>
    <mergeCell ref="S84"/>
    <mergeCell ref="H157:P157"/>
    <mergeCell ref="B74"/>
    <mergeCell ref="B68"/>
    <mergeCell ref="Q163"/>
    <mergeCell ref="H182:P182"/>
    <mergeCell ref="C103:G103"/>
    <mergeCell ref="P45"/>
    <mergeCell ref="H190:P190"/>
    <mergeCell ref="S81"/>
    <mergeCell ref="T82:W82"/>
    <mergeCell ref="H183:P183"/>
    <mergeCell ref="X58:Y58"/>
    <mergeCell ref="Q35"/>
    <mergeCell ref="Q34"/>
    <mergeCell ref="Z117:AC117"/>
    <mergeCell ref="Z92:AC92"/>
    <mergeCell ref="P98"/>
    <mergeCell ref="S99"/>
    <mergeCell ref="C131:G131"/>
    <mergeCell ref="Q36"/>
    <mergeCell ref="S92"/>
    <mergeCell ref="Z94:AC94"/>
    <mergeCell ref="C89:G89"/>
    <mergeCell ref="C116:G116"/>
    <mergeCell ref="K45:L45"/>
    <mergeCell ref="C88:G88"/>
    <mergeCell ref="S94"/>
    <mergeCell ref="C126:G126"/>
    <mergeCell ref="K47:L47"/>
    <mergeCell ref="C117:G117"/>
    <mergeCell ref="K46:L46"/>
    <mergeCell ref="K40:L40"/>
    <mergeCell ref="Z145:AC145"/>
    <mergeCell ref="X73:Y73"/>
    <mergeCell ref="Q54"/>
    <mergeCell ref="C115:G115"/>
    <mergeCell ref="K71:L71"/>
    <mergeCell ref="Z174:AC174"/>
    <mergeCell ref="C150:G150"/>
    <mergeCell ref="H125:P125"/>
    <mergeCell ref="C144:G144"/>
    <mergeCell ref="A74"/>
    <mergeCell ref="K73:L73"/>
    <mergeCell ref="Z140:AC140"/>
    <mergeCell ref="H127:P127"/>
    <mergeCell ref="X99:Y99"/>
    <mergeCell ref="Q105"/>
    <mergeCell ref="R81"/>
    <mergeCell ref="A63"/>
    <mergeCell ref="X101:Y101"/>
    <mergeCell ref="Q100"/>
    <mergeCell ref="M36:O36"/>
    <mergeCell ref="Z158:AC158"/>
    <mergeCell ref="C134:G134"/>
    <mergeCell ref="Z77:AC77"/>
    <mergeCell ref="P41"/>
    <mergeCell ref="Z160:AC160"/>
    <mergeCell ref="C188:G188"/>
    <mergeCell ref="C163:G163"/>
    <mergeCell ref="S52"/>
    <mergeCell ref="P34"/>
    <mergeCell ref="A3:AC3"/>
    <mergeCell ref="C76:G76"/>
    <mergeCell ref="R99"/>
    <mergeCell ref="Z72:AC72"/>
    <mergeCell ref="P36"/>
    <mergeCell ref="S37"/>
    <mergeCell ref="A89"/>
    <mergeCell ref="H181:P181"/>
    <mergeCell ref="T27:W28"/>
    <mergeCell ref="R101"/>
    <mergeCell ref="Q162"/>
    <mergeCell ref="R100"/>
    <mergeCell ref="M64:O64"/>
    <mergeCell ref="R167:Y167"/>
    <mergeCell ref="Z88:AC88"/>
    <mergeCell ref="R169:Y169"/>
    <mergeCell ref="Z90:AC90"/>
    <mergeCell ref="S63"/>
    <mergeCell ref="R162:Y162"/>
    <mergeCell ref="P54"/>
    <mergeCell ref="R164:Y164"/>
    <mergeCell ref="Q146"/>
    <mergeCell ref="Z85:AC85"/>
    <mergeCell ref="X42:Y42"/>
    <mergeCell ref="A18:AC18"/>
    <mergeCell ref="Q175"/>
    <mergeCell ref="Q58"/>
    <mergeCell ref="Z116:AC116"/>
    <mergeCell ref="A14:Z14"/>
    <mergeCell ref="Q177"/>
    <mergeCell ref="C140:G140"/>
    <mergeCell ref="P82"/>
    <mergeCell ref="K69:L69"/>
    <mergeCell ref="H64:J64"/>
    <mergeCell ref="X43:Y43"/>
    <mergeCell ref="C141:G141"/>
    <mergeCell ref="A12:C12"/>
    <mergeCell ref="K64:L64"/>
    <mergeCell ref="R52"/>
    <mergeCell ref="C143:G143"/>
    <mergeCell ref="K72:L72"/>
    <mergeCell ref="Q71"/>
    <mergeCell ref="Z154:AC154"/>
    <mergeCell ref="C130:G130"/>
    <mergeCell ref="Q73"/>
    <mergeCell ref="Z156:AC156"/>
    <mergeCell ref="Z183:AC183"/>
    <mergeCell ref="R112:Y112"/>
    <mergeCell ref="C159:G159"/>
    <mergeCell ref="C153:G153"/>
    <mergeCell ref="Z155:AC155"/>
    <mergeCell ref="K82:L82"/>
    <mergeCell ref="R122:Y122"/>
    <mergeCell ref="C125:G125"/>
    <mergeCell ref="R70"/>
    <mergeCell ref="C161:G161"/>
    <mergeCell ref="Z157:AC157"/>
    <mergeCell ref="C154:G154"/>
    <mergeCell ref="H46:J46"/>
    <mergeCell ref="Z182:AC182"/>
    <mergeCell ref="C156:G156"/>
    <mergeCell ref="R138:Y138"/>
    <mergeCell ref="Z59:AC59"/>
    <mergeCell ref="R98"/>
    <mergeCell ref="S59"/>
    <mergeCell ref="Z177:AC177"/>
    <mergeCell ref="R133:Y133"/>
    <mergeCell ref="Z54:AC54"/>
    <mergeCell ref="S61"/>
    <mergeCell ref="R135:Y135"/>
    <mergeCell ref="Q142"/>
    <mergeCell ref="Z81:AC81"/>
    <mergeCell ref="M44:O44"/>
    <mergeCell ref="Q171"/>
    <mergeCell ref="A21:M21"/>
    <mergeCell ref="R109"/>
    <mergeCell ref="Q137"/>
    <mergeCell ref="M73:O73"/>
    <mergeCell ref="Q173"/>
    <mergeCell ref="Z114:AC114"/>
    <mergeCell ref="R186:Y186"/>
    <mergeCell ref="P78"/>
    <mergeCell ref="H164:P164"/>
    <mergeCell ref="Z107:AC107"/>
    <mergeCell ref="R153:Y153"/>
    <mergeCell ref="Z143:AC143"/>
    <mergeCell ref="M74:O74"/>
    <mergeCell ref="T34:W34"/>
    <mergeCell ref="P71"/>
    <mergeCell ref="Q174"/>
    <mergeCell ref="Q168"/>
    <mergeCell ref="P73"/>
    <mergeCell ref="T57:W57"/>
    <mergeCell ref="M63:O63"/>
    <mergeCell ref="A195:E195"/>
    <mergeCell ref="G8:V8"/>
    <mergeCell ref="Z125:AC125"/>
    <mergeCell ref="M92:O92"/>
    <mergeCell ref="G10:V10"/>
    <mergeCell ref="Z127:AC127"/>
    <mergeCell ref="Q98"/>
    <mergeCell ref="K81:L81"/>
    <mergeCell ref="Q124"/>
    <mergeCell ref="Y16:Z16"/>
    <mergeCell ref="Q126"/>
    <mergeCell ref="R129:Y129"/>
    <mergeCell ref="X80:Y80"/>
    <mergeCell ref="Z50:AC50"/>
    <mergeCell ref="R131:Y131"/>
    <mergeCell ref="Z52:AC52"/>
    <mergeCell ref="K101:L101"/>
    <mergeCell ref="K92:L92"/>
    <mergeCell ref="Q108"/>
    <mergeCell ref="Z191:AC191"/>
    <mergeCell ref="C108:G108"/>
    <mergeCell ref="Q144"/>
    <mergeCell ref="A38"/>
    <mergeCell ref="A40"/>
    <mergeCell ref="R149:Y149"/>
    <mergeCell ref="Z192:AC192"/>
    <mergeCell ref="Q139"/>
    <mergeCell ref="R142:Y142"/>
    <mergeCell ref="AA12:AC12"/>
    <mergeCell ref="M72:O72"/>
    <mergeCell ref="P44"/>
    <mergeCell ref="T53:W53"/>
    <mergeCell ref="R144:Y144"/>
    <mergeCell ref="AA14:AC14"/>
    <mergeCell ref="C51:G51"/>
    <mergeCell ref="T55:W55"/>
    <mergeCell ref="F196:H196"/>
    <mergeCell ref="C38:G38"/>
    <mergeCell ref="R170:Y170"/>
    <mergeCell ref="H173:P173"/>
    <mergeCell ref="U20"/>
    <mergeCell ref="T81:W81"/>
    <mergeCell ref="R172:Y172"/>
    <mergeCell ref="T37:W37"/>
    <mergeCell ref="C35:G35"/>
    <mergeCell ref="P88"/>
    <mergeCell ref="C121:G121"/>
    <mergeCell ref="H174:P174"/>
    <mergeCell ref="V19:AC19"/>
    <mergeCell ref="B91"/>
    <mergeCell ref="K44:L44"/>
    <mergeCell ref="T38:W38"/>
    <mergeCell ref="S96"/>
    <mergeCell ref="T63:W63"/>
    <mergeCell ref="S98"/>
    <mergeCell ref="D13:V13"/>
    <mergeCell ref="C122:G122"/>
    <mergeCell ref="T71:W71"/>
    <mergeCell ref="A199:E199"/>
    <mergeCell ref="T92:W92"/>
    <mergeCell ref="H39:J39"/>
    <mergeCell ref="T100:W100"/>
    <mergeCell ref="T94:W94"/>
    <mergeCell ref="X77:Y77"/>
    <mergeCell ref="A34"/>
    <mergeCell ref="H72:J72"/>
    <mergeCell ref="Q53"/>
    <mergeCell ref="S109"/>
    <mergeCell ref="H131:P131"/>
    <mergeCell ref="Q133"/>
    <mergeCell ref="A36"/>
    <mergeCell ref="C105:G105"/>
    <mergeCell ref="H124:P124"/>
    <mergeCell ref="Q135"/>
    <mergeCell ref="H116:P116"/>
    <mergeCell ref="X89:Y89"/>
    <mergeCell ref="A65"/>
    <mergeCell ref="H126:P126"/>
    <mergeCell ref="X88:Y88"/>
    <mergeCell ref="H54:J54"/>
    <mergeCell ref="X90:Y90"/>
    <mergeCell ref="B34"/>
    <mergeCell ref="B28"/>
    <mergeCell ref="H56:J56"/>
    <mergeCell ref="AA5:AC5"/>
    <mergeCell ref="H142:P142"/>
    <mergeCell ref="A91"/>
    <mergeCell ref="Z35:AC35"/>
    <mergeCell ref="H144:P144"/>
    <mergeCell ref="S41"/>
    <mergeCell ref="C29:G29"/>
    <mergeCell ref="C65:G65"/>
    <mergeCell ref="T77:W77"/>
    <mergeCell ref="R168:Y168"/>
    <mergeCell ref="B54"/>
    <mergeCell ref="S43"/>
    <mergeCell ref="H139:P139"/>
    <mergeCell ref="B56"/>
    <mergeCell ref="H92:J92"/>
    <mergeCell ref="M53:O53"/>
    <mergeCell ref="S67"/>
    <mergeCell ref="A75"/>
    <mergeCell ref="C91:G91"/>
    <mergeCell ref="M55:O55"/>
    <mergeCell ref="S69"/>
    <mergeCell ref="C57:G57"/>
    <mergeCell ref="T61:W61"/>
    <mergeCell ref="R179:Y179"/>
    <mergeCell ref="P53"/>
    <mergeCell ref="X40:Y40"/>
    <mergeCell ref="C42:G42"/>
    <mergeCell ref="T96:W96"/>
    <mergeCell ref="T90:W90"/>
    <mergeCell ref="M37:O37"/>
    <mergeCell ref="T98:W98"/>
    <mergeCell ref="B100"/>
    <mergeCell ref="Z105:AC105"/>
    <mergeCell ref="T91:W91"/>
    <mergeCell ref="C75:G75"/>
    <mergeCell ref="B102"/>
    <mergeCell ref="M38:O38"/>
    <mergeCell ref="T93:W93"/>
    <mergeCell ref="Q51"/>
    <mergeCell ref="Z100:AC100"/>
    <mergeCell ref="S107"/>
    <mergeCell ref="T108:W108"/>
    <mergeCell ref="C70:G70"/>
    <mergeCell ref="A33:AC33"/>
    <mergeCell ref="Z102:AC102"/>
    <mergeCell ref="H96:R96"/>
    <mergeCell ref="H122:P122"/>
    <mergeCell ref="Z188:AC188"/>
    <mergeCell ref="X59:Y59"/>
    <mergeCell ref="T109:W109"/>
    <mergeCell ref="R41"/>
    <mergeCell ref="T75:W75"/>
    <mergeCell ref="H52:J52"/>
    <mergeCell ref="R43"/>
    <mergeCell ref="H45:J45"/>
    <mergeCell ref="H81:J81"/>
    <mergeCell ref="H47:J47"/>
    <mergeCell ref="R67"/>
    <mergeCell ref="R59"/>
    <mergeCell ref="H76:J76"/>
    <mergeCell ref="R69"/>
    <mergeCell ref="H141:P141"/>
    <mergeCell ref="H135:P135"/>
    <mergeCell ref="H63:J63"/>
    <mergeCell ref="Q88"/>
    <mergeCell ref="H26:J28"/>
    <mergeCell ref="A71"/>
    <mergeCell ref="Z42:AC42"/>
    <mergeCell ref="Q90"/>
    <mergeCell ref="M51:O51"/>
    <mergeCell ref="S65"/>
    <mergeCell ref="A100"/>
    <mergeCell ref="Z44:AC44"/>
    <mergeCell ref="H94:J94"/>
    <mergeCell ref="B55"/>
    <mergeCell ref="C172:G172"/>
    <mergeCell ref="A102"/>
    <mergeCell ref="C171:G171"/>
    <mergeCell ref="K100:L100"/>
    <mergeCell ref="Z45:AC45"/>
    <mergeCell ref="K94:L94"/>
    <mergeCell ref="P51"/>
    <mergeCell ref="C173:G173"/>
    <mergeCell ref="K102:L102"/>
    <mergeCell ref="B71"/>
    <mergeCell ref="Z70:AC70"/>
    <mergeCell ref="H179:P179"/>
    <mergeCell ref="M34:O34"/>
    <mergeCell ref="P67"/>
    <mergeCell ref="Z96:AC96"/>
    <mergeCell ref="P77"/>
    <mergeCell ref="S78"/>
    <mergeCell ref="C66:G66"/>
    <mergeCell ref="C102:G102"/>
    <mergeCell ref="H180:P180"/>
    <mergeCell ref="Z98:AC98"/>
    <mergeCell ref="S80"/>
    <mergeCell ref="C68:G68"/>
    <mergeCell ref="A31:AC31"/>
    <mergeCell ref="C97:G97"/>
    <mergeCell ref="Z124:AC124"/>
    <mergeCell ref="Z126:AC126"/>
    <mergeCell ref="K42:L42"/>
    <mergeCell ref="P90"/>
    <mergeCell ref="C123:G123"/>
    <mergeCell ref="R65"/>
    <mergeCell ref="A55"/>
    <mergeCell ref="K37:L37"/>
    <mergeCell ref="Q59"/>
    <mergeCell ref="H107:R107"/>
    <mergeCell ref="Z142:AC142"/>
    <mergeCell ref="X70:Y70"/>
    <mergeCell ref="M109:O109"/>
    <mergeCell ref="M75:O75"/>
    <mergeCell ref="P108"/>
    <mergeCell ref="A44"/>
    <mergeCell ref="Z137:AC137"/>
    <mergeCell ref="Z173:AC173"/>
    <mergeCell ref="K63:L63"/>
    <mergeCell ref="A73"/>
    <mergeCell ref="Z139:AC139"/>
    <mergeCell ref="C167:G167"/>
    <mergeCell ref="C142:G142"/>
    <mergeCell ref="R78"/>
    <mergeCell ref="C169:G169"/>
    <mergeCell ref="K98:L98"/>
    <mergeCell ref="Q141"/>
    <mergeCell ref="Z68:AC68"/>
    <mergeCell ref="Q143"/>
    <mergeCell ref="Q99"/>
    <mergeCell ref="M35:O35"/>
    <mergeCell ref="K93:L93"/>
    <mergeCell ref="Z67:AC67"/>
    <mergeCell ref="R148:Y148"/>
    <mergeCell ref="B64"/>
    <mergeCell ref="Z69:AC69"/>
    <mergeCell ref="R26:AC26"/>
    <mergeCell ref="S44"/>
    <mergeCell ref="K109:L109"/>
    <mergeCell ref="P35"/>
    <mergeCell ref="Q125"/>
    <mergeCell ref="I199"/>
    <mergeCell ref="F195:H195"/>
    <mergeCell ref="Q127"/>
    <mergeCell ref="Q154"/>
    <mergeCell ref="P59"/>
    <mergeCell ref="Q156"/>
    <mergeCell ref="R159:Y159"/>
    <mergeCell ref="R161:Y161"/>
    <mergeCell ref="S97"/>
    <mergeCell ref="Z82:AC82"/>
    <mergeCell ref="H191:P191"/>
    <mergeCell ref="M105:O105"/>
    <mergeCell ref="Q57"/>
    <mergeCell ref="M101:O101"/>
    <mergeCell ref="W10:Z10"/>
    <mergeCell ref="Z108:AC108"/>
    <mergeCell ref="Z133:AC133"/>
    <mergeCell ref="Z169:AC169"/>
    <mergeCell ref="M100:O100"/>
    <mergeCell ref="K59:L59"/>
    <mergeCell ref="Q52"/>
    <mergeCell ref="Z141:AC141"/>
    <mergeCell ref="Z135:AC135"/>
    <mergeCell ref="C138:G138"/>
    <mergeCell ref="P105"/>
    <mergeCell ref="R85:Y85"/>
    <mergeCell ref="P99"/>
    <mergeCell ref="M102:O102"/>
    <mergeCell ref="X41:Y41"/>
    <mergeCell ref="Z164:AC164"/>
    <mergeCell ref="X35:Y35"/>
    <mergeCell ref="P101"/>
    <mergeCell ref="K62:L62"/>
    <mergeCell ref="P102"/>
    <mergeCell ref="Q70"/>
    <mergeCell ref="R77"/>
    <mergeCell ref="Z190:AC190"/>
    <mergeCell ref="Z146:AC146"/>
    <mergeCell ref="C193:G193"/>
    <mergeCell ref="Q121"/>
    <mergeCell ref="Z179:AC179"/>
    <mergeCell ref="Q150"/>
    <mergeCell ref="H38:J38"/>
    <mergeCell ref="Z180:AC180"/>
    <mergeCell ref="M52:O52"/>
    <mergeCell ref="A22:AC22"/>
    <mergeCell ref="Q152"/>
    <mergeCell ref="R130:Y130"/>
    <mergeCell ref="H40:J40"/>
    <mergeCell ref="P57"/>
    <mergeCell ref="X105:Y105"/>
    <mergeCell ref="T41:W41"/>
    <mergeCell ref="R157:Y157"/>
    <mergeCell ref="C179:G179"/>
    <mergeCell ref="X107:Y107"/>
    <mergeCell ref="AA20:AC20"/>
    <mergeCell ref="T43:W43"/>
    <mergeCell ref="B45"/>
    <mergeCell ref="Q134"/>
    <mergeCell ref="H159:P159"/>
    <mergeCell ref="R183:Y183"/>
    <mergeCell ref="S58"/>
    <mergeCell ref="C46:G46"/>
    <mergeCell ref="A9:F9"/>
    <mergeCell ref="M71:O71"/>
    <mergeCell ref="R185:Y185"/>
    <mergeCell ref="Q165"/>
    <mergeCell ref="B101"/>
    <mergeCell ref="C48:G48"/>
    <mergeCell ref="A11:F11"/>
    <mergeCell ref="P70"/>
    <mergeCell ref="X39:Y39"/>
    <mergeCell ref="Q191"/>
    <mergeCell ref="C74:G74"/>
    <mergeCell ref="X65:Y65"/>
    <mergeCell ref="Q97"/>
    <mergeCell ref="X50:Y50"/>
    <mergeCell ref="H34:J34"/>
    <mergeCell ref="Z176:AC176"/>
    <mergeCell ref="Z170:AC170"/>
    <mergeCell ref="Q123"/>
    <mergeCell ref="H36:J36"/>
    <mergeCell ref="A53"/>
    <mergeCell ref="Z172:AC172"/>
    <mergeCell ref="R128:Y128"/>
    <mergeCell ref="R58"/>
    <mergeCell ref="X103:Y103"/>
    <mergeCell ref="X78:Y78"/>
    <mergeCell ref="T39:W39"/>
    <mergeCell ref="C177:G177"/>
    <mergeCell ref="H62:J62"/>
    <mergeCell ref="B43"/>
    <mergeCell ref="H91:J91"/>
    <mergeCell ref="A37"/>
    <mergeCell ref="H93:J93"/>
    <mergeCell ref="AA9:AC9"/>
    <mergeCell ref="R42"/>
    <mergeCell ref="H152:P152"/>
    <mergeCell ref="Z51:AC5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O249"/>
  <sheetViews>
    <sheetView workbookViewId="0">
      <selection activeCell="A1" sqref="A1"/>
    </sheetView>
  </sheetViews>
  <sheetFormatPr baseColWidth="8" defaultRowHeight="15"/>
  <cols>
    <col width="5.7109375" customWidth="1" style="197" min="1" max="1"/>
    <col width="20.7109375" customWidth="1" style="197" min="2" max="2"/>
    <col width="40.7109375" customWidth="1" style="197" min="3" max="3"/>
    <col width="10.7109375" customWidth="1" style="197" min="4" max="4"/>
    <col width="15.7109375" customWidth="1" style="197" min="5" max="5"/>
    <col width="13" customWidth="1" style="197" min="6" max="6"/>
    <col width="13" customWidth="1" style="197" min="7" max="7"/>
    <col width="13" customWidth="1" style="197" min="8" max="8"/>
    <col width="13" customWidth="1" style="197" min="9" max="9"/>
    <col width="13" customWidth="1" style="197" min="10" max="10"/>
    <col width="13" customWidth="1" style="197" min="11" max="11"/>
    <col width="13" customWidth="1" style="197" min="12" max="12"/>
    <col width="13" customWidth="1" style="197" min="13" max="13"/>
    <col width="13" customWidth="1" style="197" min="14" max="14"/>
    <col width="13" customWidth="1" style="197" min="16" max="16"/>
    <col width="13" customWidth="1" style="197" min="17" max="17"/>
    <col width="13" customWidth="1" style="197" min="18" max="18"/>
    <col width="13" customWidth="1" style="197" min="19" max="19"/>
    <col width="13" customWidth="1" style="197" min="20" max="20"/>
    <col width="13" customWidth="1" style="197" min="21" max="21"/>
    <col width="13" customWidth="1" style="197" min="22" max="22"/>
    <col width="13" customWidth="1" style="197" min="23" max="23"/>
    <col width="13" customWidth="1" style="197" min="24" max="24"/>
    <col width="13" customWidth="1" style="197" min="25" max="25"/>
    <col width="13" customWidth="1" style="197" min="26" max="26"/>
    <col width="13" customWidth="1" style="197" min="27" max="27"/>
    <col width="13" customWidth="1" style="197" min="28" max="28"/>
    <col width="13" customWidth="1" style="197" min="29" max="29"/>
    <col width="13" customWidth="1" style="197" min="30" max="30"/>
    <col width="13" customWidth="1" style="197" min="31" max="31"/>
    <col width="13" customWidth="1" style="197" min="32" max="32"/>
    <col width="13" customWidth="1" style="197" min="33" max="33"/>
    <col width="13" customWidth="1" style="197" min="34" max="34"/>
    <col width="13" customWidth="1" style="197" min="35" max="35"/>
    <col width="13" customWidth="1" style="197" min="36" max="36"/>
    <col width="13" customWidth="1" style="197" min="37" max="37"/>
    <col width="13" customWidth="1" style="197" min="38" max="38"/>
    <col width="13" customWidth="1" style="197" min="39" max="39"/>
    <col width="13" customWidth="1" style="197" min="40" max="40"/>
    <col width="13" customWidth="1" style="197" min="41" max="41"/>
    <col width="13" customWidth="1" style="197" min="42" max="42"/>
    <col width="13" customWidth="1" style="197" min="43" max="43"/>
    <col width="13" customWidth="1" style="197" min="44" max="44"/>
    <col width="13" customWidth="1" style="197" min="45" max="45"/>
    <col width="13" customWidth="1" style="197" min="46" max="46"/>
    <col width="13" customWidth="1" style="197" min="47" max="47"/>
    <col width="13" customWidth="1" style="197" min="48" max="48"/>
    <col width="13" customWidth="1" style="197" min="49" max="49"/>
    <col width="13" customWidth="1" style="197" min="50" max="50"/>
    <col width="13" customWidth="1" style="197" min="51" max="51"/>
    <col width="13" customWidth="1" style="197" min="52" max="52"/>
    <col width="13" customWidth="1" style="197" min="53" max="53"/>
    <col width="13" customWidth="1" style="197" min="54" max="54"/>
    <col width="13" customWidth="1" style="197" min="55" max="55"/>
    <col width="13" customWidth="1" style="197" min="56" max="56"/>
    <col width="13" customWidth="1" style="197" min="57" max="57"/>
    <col width="13" customWidth="1" style="197" min="58" max="58"/>
    <col width="13" customWidth="1" style="197" min="59" max="59"/>
    <col width="13" customWidth="1" style="197" min="60" max="60"/>
    <col width="13" customWidth="1" style="197" min="61" max="61"/>
    <col width="13" customWidth="1" style="197" min="62" max="62"/>
    <col width="13" customWidth="1" style="197" min="63" max="63"/>
    <col width="13" customWidth="1" style="197" min="64" max="64"/>
    <col width="13" customWidth="1" style="197" min="65" max="65"/>
    <col width="13" customWidth="1" style="197" min="66" max="66"/>
    <col width="13" customWidth="1" style="197" min="67" max="67"/>
    <col width="13" customWidth="1" style="197" min="68" max="68"/>
    <col width="13" customWidth="1" style="197" min="69" max="69"/>
    <col width="13" customWidth="1" style="197" min="70" max="70"/>
    <col width="13" customWidth="1" style="197" min="71" max="71"/>
    <col width="13" customWidth="1" style="197" min="72" max="72"/>
    <col width="13" customWidth="1" style="197" min="73" max="73"/>
    <col width="13" customWidth="1" style="197" min="74" max="74"/>
    <col width="13" customWidth="1" style="197" min="75" max="75"/>
    <col width="13" customWidth="1" style="197" min="76" max="76"/>
    <col width="13" customWidth="1" style="197" min="77" max="77"/>
    <col width="13" customWidth="1" style="197" min="78" max="78"/>
    <col width="13" customWidth="1" style="197" min="79" max="79"/>
    <col width="13" customWidth="1" style="197" min="80" max="80"/>
    <col width="13" customWidth="1" style="197" min="81" max="81"/>
    <col width="13" customWidth="1" style="197" min="82" max="82"/>
    <col width="13" customWidth="1" style="197" min="83" max="83"/>
    <col width="13" customWidth="1" style="197" min="84" max="84"/>
    <col width="13" customWidth="1" style="197" min="85" max="85"/>
    <col width="13" customWidth="1" style="197" min="86" max="86"/>
    <col width="13" customWidth="1" style="197" min="87" max="87"/>
    <col width="13" customWidth="1" style="197" min="88" max="88"/>
    <col width="13" customWidth="1" style="197" min="89" max="89"/>
    <col width="13" customWidth="1" style="197" min="90" max="90"/>
    <col width="13" customWidth="1" style="197" min="91" max="91"/>
    <col width="13" customWidth="1" style="197" min="92" max="92"/>
    <col width="108.7109375" customWidth="1" style="197" min="93" max="93"/>
  </cols>
  <sheetData>
    <row r="1">
      <c r="A1" s="283" t="inlineStr">
        <is>
          <t>Smeta.RU Flash  (495) 974-1589</t>
        </is>
      </c>
    </row>
    <row r="2" ht="12.75" customHeight="1" s="197">
      <c r="A2" s="284" t="n"/>
      <c r="B2" s="284" t="n"/>
      <c r="C2" s="284" t="n"/>
      <c r="D2" s="284" t="n"/>
      <c r="E2" s="284" t="n"/>
      <c r="F2" s="284" t="n"/>
      <c r="G2" s="284" t="n"/>
      <c r="H2" s="284" t="n"/>
      <c r="I2" s="284" t="n"/>
      <c r="J2" s="284" t="n"/>
      <c r="K2" s="284" t="n"/>
      <c r="L2" s="284" t="n"/>
    </row>
    <row r="3" ht="16.5" customHeight="1" s="197">
      <c r="A3" s="285" t="n"/>
      <c r="B3" s="286" t="inlineStr">
        <is>
          <t>"СОГЛАСОВАНО"</t>
        </is>
      </c>
      <c r="F3" s="287" t="n"/>
      <c r="G3" s="287" t="n"/>
      <c r="H3" s="286" t="inlineStr">
        <is>
          <t>"УТВЕРЖДАЮ"</t>
        </is>
      </c>
    </row>
    <row r="4" ht="14.25" customHeight="1" s="197">
      <c r="A4" s="287" t="n"/>
      <c r="B4" s="288" t="inlineStr">
        <is>
          <t>ООО "ГОРИЗОНТ+"</t>
        </is>
      </c>
      <c r="F4" s="287" t="n"/>
      <c r="G4" s="287" t="n"/>
      <c r="H4" s="288" t="inlineStr">
        <is>
          <t>МУП "МЩВ" Филиал Жилищник"</t>
        </is>
      </c>
    </row>
    <row r="5" ht="14.25" customHeight="1" s="197">
      <c r="A5" s="287" t="n"/>
      <c r="B5" s="287" t="n"/>
      <c r="C5" s="288" t="inlineStr">
        <is>
          <t>/Стародубцев.И.И  /</t>
        </is>
      </c>
      <c r="D5" s="288" t="n"/>
      <c r="E5" s="288" t="n"/>
      <c r="F5" s="287" t="n"/>
      <c r="G5" s="287" t="n"/>
      <c r="H5" s="288" t="n"/>
      <c r="I5" s="288" t="inlineStr">
        <is>
          <t>Петросян А.В.</t>
        </is>
      </c>
      <c r="J5" s="288" t="n"/>
      <c r="K5" s="288" t="n"/>
      <c r="L5" s="288" t="n"/>
    </row>
    <row r="6" ht="14.25" customHeight="1" s="197">
      <c r="A6" s="288" t="n"/>
      <c r="B6" s="288" t="inlineStr">
        <is>
          <t xml:space="preserve">______________________ </t>
        </is>
      </c>
      <c r="F6" s="287" t="n"/>
      <c r="G6" s="287" t="n"/>
      <c r="H6" s="288" t="inlineStr">
        <is>
          <t xml:space="preserve">______________________ </t>
        </is>
      </c>
    </row>
    <row r="7" ht="14.25" customHeight="1" s="197">
      <c r="A7" s="289" t="n"/>
      <c r="B7" s="290" t="inlineStr">
        <is>
          <t>"_____"________________ 2025 г.</t>
        </is>
      </c>
      <c r="F7" s="287" t="n"/>
      <c r="G7" s="287" t="n"/>
      <c r="H7" s="290" t="inlineStr">
        <is>
          <t>"_____"________________ 2025 г.</t>
        </is>
      </c>
    </row>
    <row r="8"/>
    <row r="9"/>
    <row r="10" ht="12.75" customHeight="1" s="197">
      <c r="A10" s="291" t="inlineStr">
        <is>
          <t>Наименование программного продукта</t>
        </is>
      </c>
      <c r="F10" s="292" t="inlineStr">
        <is>
          <t>Программа для ЭВМ «Программа: «Smeta.RU Flash» версия 11»</t>
        </is>
      </c>
      <c r="G10" s="198" t="n"/>
      <c r="H10" s="198" t="n"/>
      <c r="I10" s="198" t="n"/>
      <c r="J10" s="198" t="n"/>
      <c r="K10" s="198" t="n"/>
      <c r="L10" s="198" t="n"/>
    </row>
    <row r="11" ht="12.75" customHeight="1" s="197">
      <c r="A11" s="291" t="n"/>
      <c r="B11" s="291" t="n"/>
      <c r="C11" s="291" t="n"/>
      <c r="D11" s="291" t="n"/>
      <c r="E11" s="291" t="n"/>
      <c r="F11" s="293" t="n"/>
      <c r="G11" s="293" t="n"/>
      <c r="H11" s="293" t="n"/>
      <c r="I11" s="293" t="n"/>
      <c r="J11" s="293" t="n"/>
      <c r="K11" s="293" t="n"/>
      <c r="L11" s="293" t="n"/>
    </row>
    <row r="12" ht="38.25" customHeight="1" s="197">
      <c r="A12" s="291" t="inlineStr">
        <is>
          <t>Наименование редакции сметных нормативов</t>
        </is>
      </c>
      <c r="F12" s="292">
        <f>IF(Source!CQ12 &lt;&gt; "", Source!CQ12, "")</f>
        <v/>
      </c>
      <c r="G12" s="198" t="n"/>
      <c r="H12" s="198" t="n"/>
      <c r="I12" s="198" t="n"/>
      <c r="J12" s="198" t="n"/>
      <c r="K12" s="198" t="n"/>
      <c r="L12" s="198" t="n"/>
      <c r="CO12" s="292">
        <f>IF(Source!CQ12 &lt;&gt; "", Source!CQ12, "")</f>
        <v/>
      </c>
    </row>
    <row r="13" ht="12.75" customHeight="1" s="197">
      <c r="A13" s="291" t="n"/>
      <c r="B13" s="291" t="n"/>
      <c r="C13" s="291" t="n"/>
      <c r="D13" s="291" t="n"/>
      <c r="E13" s="291" t="n"/>
      <c r="F13" s="293" t="n"/>
      <c r="G13" s="293" t="n"/>
      <c r="H13" s="293" t="n"/>
      <c r="I13" s="293" t="n"/>
      <c r="J13" s="293" t="n"/>
      <c r="K13" s="293" t="n"/>
      <c r="L13" s="293" t="n"/>
    </row>
    <row r="14" ht="12.75" customHeight="1" s="197">
      <c r="A14" s="294" t="inlineStr">
        <is>
          <t>Реквизиты приказов об утверждении дополнений и изменений к сметным нормативам</t>
        </is>
      </c>
      <c r="F14" s="292">
        <f>IF(Source!CV12 &lt;&gt; "", Source!CV12, "")</f>
        <v/>
      </c>
      <c r="G14" s="198" t="n"/>
      <c r="H14" s="198" t="n"/>
      <c r="I14" s="198" t="n"/>
      <c r="J14" s="198" t="n"/>
      <c r="K14" s="198" t="n"/>
      <c r="L14" s="198" t="n"/>
    </row>
    <row r="15" ht="12.75" customHeight="1" s="197">
      <c r="A15" s="291" t="n"/>
      <c r="B15" s="291" t="n"/>
      <c r="C15" s="291" t="n"/>
      <c r="D15" s="291" t="n"/>
      <c r="E15" s="291" t="n"/>
      <c r="F15" s="293" t="n"/>
      <c r="G15" s="293" t="n"/>
      <c r="H15" s="293" t="n"/>
      <c r="I15" s="293" t="n"/>
      <c r="J15" s="293" t="n"/>
      <c r="K15" s="293" t="n"/>
      <c r="L15" s="293" t="n"/>
    </row>
    <row r="16" ht="76.5" customHeight="1" s="197">
      <c r="A16" s="291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292" t="n"/>
      <c r="G16" s="198" t="n"/>
      <c r="H16" s="198" t="n"/>
      <c r="I16" s="198" t="n"/>
      <c r="J16" s="198" t="n"/>
      <c r="K16" s="198" t="n"/>
      <c r="L16" s="198" t="n"/>
    </row>
    <row r="17" ht="12.75" customHeight="1" s="197">
      <c r="A17" s="291" t="n"/>
      <c r="B17" s="291" t="n"/>
      <c r="C17" s="291" t="n"/>
      <c r="D17" s="291" t="n"/>
      <c r="E17" s="291" t="n"/>
      <c r="F17" s="293" t="n"/>
      <c r="G17" s="293" t="n"/>
      <c r="H17" s="293" t="n"/>
      <c r="I17" s="293" t="n"/>
      <c r="J17" s="293" t="n"/>
      <c r="K17" s="293" t="n"/>
      <c r="L17" s="293" t="n"/>
    </row>
    <row r="18" ht="38.25" customHeight="1" s="197">
      <c r="A18" s="291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292" t="n"/>
      <c r="G18" s="198" t="n"/>
      <c r="H18" s="198" t="n"/>
      <c r="I18" s="198" t="n"/>
      <c r="J18" s="198" t="n"/>
      <c r="K18" s="198" t="n"/>
      <c r="L18" s="198" t="n"/>
    </row>
    <row r="19" ht="12.75" customHeight="1" s="197">
      <c r="A19" s="294" t="n"/>
      <c r="B19" s="294" t="n"/>
      <c r="C19" s="294" t="n"/>
      <c r="D19" s="294" t="n"/>
      <c r="E19" s="294" t="n"/>
      <c r="F19" s="295" t="n"/>
      <c r="G19" s="295" t="n"/>
      <c r="H19" s="295" t="n"/>
      <c r="I19" s="295" t="n"/>
      <c r="J19" s="295" t="n"/>
      <c r="K19" s="295" t="n"/>
      <c r="L19" s="295" t="n"/>
    </row>
    <row r="20" ht="12.75" customHeight="1" s="197">
      <c r="A20" s="291" t="inlineStr">
        <is>
          <t>Наименование субъекта Российской Федерации</t>
        </is>
      </c>
      <c r="F20" s="292">
        <f>IF(Source!CZ12 &lt;&gt; "", Source!CZ12, "")</f>
        <v/>
      </c>
      <c r="G20" s="198" t="n"/>
      <c r="H20" s="198" t="n"/>
      <c r="I20" s="198" t="n"/>
      <c r="J20" s="198" t="n"/>
      <c r="K20" s="198" t="n"/>
      <c r="L20" s="198" t="n"/>
    </row>
    <row r="21" ht="12.75" customHeight="1" s="197">
      <c r="A21" s="294" t="n"/>
      <c r="B21" s="294" t="n"/>
      <c r="C21" s="294" t="n"/>
      <c r="D21" s="294" t="n"/>
      <c r="E21" s="294" t="n"/>
      <c r="F21" s="295" t="n"/>
      <c r="G21" s="295" t="n"/>
      <c r="H21" s="295" t="n"/>
      <c r="I21" s="295" t="n"/>
      <c r="J21" s="295" t="n"/>
      <c r="K21" s="295" t="n"/>
      <c r="L21" s="293" t="n"/>
    </row>
    <row r="22" ht="12.75" customHeight="1" s="197">
      <c r="A22" s="291" t="inlineStr">
        <is>
          <t>Наименование зоны субъекта Российской Федерации</t>
        </is>
      </c>
      <c r="F22" s="292">
        <f>IF(Source!DA12 &lt;&gt; "", Source!DA12, "")</f>
        <v/>
      </c>
      <c r="G22" s="198" t="n"/>
      <c r="H22" s="198" t="n"/>
      <c r="I22" s="198" t="n"/>
      <c r="J22" s="198" t="n"/>
      <c r="K22" s="198" t="n"/>
      <c r="L22" s="198" t="n"/>
    </row>
    <row r="23" ht="12.75" customHeight="1" s="197">
      <c r="A23" s="284" t="n"/>
      <c r="B23" s="284" t="n"/>
      <c r="C23" s="284" t="n"/>
      <c r="D23" s="284" t="n"/>
      <c r="E23" s="284" t="n"/>
      <c r="F23" s="296" t="n"/>
      <c r="G23" s="296" t="n"/>
      <c r="H23" s="296" t="n"/>
      <c r="I23" s="296" t="n"/>
      <c r="J23" s="296" t="n"/>
      <c r="K23" s="296" t="n"/>
      <c r="L23" s="296" t="n"/>
    </row>
    <row r="24" ht="12.75" customHeight="1" s="197">
      <c r="A24" s="284" t="n"/>
      <c r="B24" s="284" t="n"/>
      <c r="C24" s="284" t="n"/>
      <c r="D24" s="284" t="n"/>
      <c r="E24" s="284" t="n"/>
      <c r="F24" s="284" t="n"/>
      <c r="G24" s="284" t="n"/>
      <c r="H24" s="284" t="n"/>
      <c r="I24" s="284" t="n"/>
      <c r="J24" s="284" t="n"/>
      <c r="K24" s="284" t="n"/>
      <c r="L24" s="284" t="n"/>
    </row>
    <row r="25" ht="15.75" customHeight="1" s="197">
      <c r="A25" s="297" t="n"/>
      <c r="B25" s="198" t="n"/>
      <c r="C25" s="198" t="n"/>
      <c r="D25" s="198" t="n"/>
      <c r="E25" s="198" t="n"/>
      <c r="F25" s="198" t="n"/>
      <c r="G25" s="198" t="n"/>
      <c r="H25" s="198" t="n"/>
      <c r="I25" s="198" t="n"/>
      <c r="J25" s="198" t="n"/>
      <c r="K25" s="198" t="n"/>
      <c r="L25" s="198" t="n"/>
    </row>
    <row r="26" ht="14.25" customHeight="1" s="197">
      <c r="A26" s="298" t="inlineStr">
        <is>
          <t>(наименование стройки)</t>
        </is>
      </c>
      <c r="B26" s="199" t="n"/>
      <c r="C26" s="199" t="n"/>
      <c r="D26" s="199" t="n"/>
      <c r="E26" s="199" t="n"/>
      <c r="F26" s="199" t="n"/>
      <c r="G26" s="199" t="n"/>
      <c r="H26" s="199" t="n"/>
      <c r="I26" s="199" t="n"/>
      <c r="J26" s="199" t="n"/>
      <c r="K26" s="199" t="n"/>
      <c r="L26" s="199" t="n"/>
    </row>
    <row r="27" ht="14.25" customHeight="1" s="197">
      <c r="A27" s="287" t="n"/>
      <c r="B27" s="287" t="n"/>
      <c r="C27" s="287" t="n"/>
      <c r="D27" s="287" t="n"/>
      <c r="E27" s="287" t="n"/>
      <c r="F27" s="287" t="n"/>
      <c r="G27" s="287" t="n"/>
      <c r="H27" s="287" t="n"/>
      <c r="I27" s="287" t="n"/>
      <c r="J27" s="287" t="n"/>
      <c r="K27" s="287" t="n"/>
      <c r="L27" s="287" t="n"/>
    </row>
    <row r="28" ht="15.75" customHeight="1" s="197">
      <c r="A28" s="297">
        <f>IF(Source!G12&lt;&gt;"Новый объект", Source!G12, "")</f>
        <v/>
      </c>
      <c r="B28" s="198" t="n"/>
      <c r="C28" s="198" t="n"/>
      <c r="D28" s="198" t="n"/>
      <c r="E28" s="198" t="n"/>
      <c r="F28" s="198" t="n"/>
      <c r="G28" s="198" t="n"/>
      <c r="H28" s="198" t="n"/>
      <c r="I28" s="198" t="n"/>
      <c r="J28" s="198" t="n"/>
      <c r="K28" s="198" t="n"/>
      <c r="L28" s="198" t="n"/>
    </row>
    <row r="29" ht="14.25" customHeight="1" s="197">
      <c r="A29" s="298" t="inlineStr">
        <is>
          <t>(наименование объекта капитального строительства)</t>
        </is>
      </c>
      <c r="B29" s="199" t="n"/>
      <c r="C29" s="199" t="n"/>
      <c r="D29" s="199" t="n"/>
      <c r="E29" s="199" t="n"/>
      <c r="F29" s="199" t="n"/>
      <c r="G29" s="199" t="n"/>
      <c r="H29" s="199" t="n"/>
      <c r="I29" s="199" t="n"/>
      <c r="J29" s="199" t="n"/>
      <c r="K29" s="199" t="n"/>
      <c r="L29" s="199" t="n"/>
    </row>
    <row r="30" ht="14.25" customHeight="1" s="197">
      <c r="A30" s="287" t="n"/>
      <c r="B30" s="287" t="n"/>
      <c r="C30" s="287" t="n"/>
      <c r="D30" s="287" t="n"/>
      <c r="E30" s="287" t="n"/>
      <c r="F30" s="289" t="n"/>
      <c r="G30" s="289" t="n"/>
      <c r="H30" s="289" t="n"/>
      <c r="I30" s="289" t="n"/>
      <c r="J30" s="289" t="n"/>
      <c r="K30" s="289" t="n"/>
      <c r="L30" s="289" t="n"/>
    </row>
    <row r="31" ht="15.75" customHeight="1" s="197">
      <c r="A31" s="299">
        <f>CONCATENATE( "ЛОКАЛЬНАЯ СМЕТА № ", Source!L597, " ",Source!CM597)</f>
        <v/>
      </c>
    </row>
    <row r="32" ht="15" customHeight="1" s="197">
      <c r="A32" s="300" t="n"/>
      <c r="B32" s="301" t="n"/>
      <c r="C32" s="301" t="n"/>
      <c r="D32" s="301" t="n"/>
      <c r="E32" s="301" t="n"/>
      <c r="F32" s="301" t="n"/>
      <c r="G32" s="301" t="n"/>
      <c r="H32" s="301" t="n"/>
      <c r="I32" s="301" t="n"/>
      <c r="J32" s="301" t="n"/>
      <c r="K32" s="301" t="n"/>
      <c r="L32" s="300" t="n"/>
    </row>
    <row r="33" ht="18" customHeight="1" s="197">
      <c r="A33" s="302">
        <f>IF(Source!G597&lt;&gt;"Новая локальная смета", Source!G597, "")</f>
        <v/>
      </c>
      <c r="B33" s="198" t="n"/>
      <c r="C33" s="198" t="n"/>
      <c r="D33" s="198" t="n"/>
      <c r="E33" s="198" t="n"/>
      <c r="F33" s="198" t="n"/>
      <c r="G33" s="198" t="n"/>
      <c r="H33" s="198" t="n"/>
      <c r="I33" s="198" t="n"/>
      <c r="J33" s="198" t="n"/>
      <c r="K33" s="198" t="n"/>
      <c r="L33" s="198" t="n"/>
    </row>
    <row r="34" ht="14.25" customHeight="1" s="197">
      <c r="A34" s="298" t="inlineStr">
        <is>
          <t>(наименование работ и затрат)</t>
        </is>
      </c>
      <c r="B34" s="199" t="n"/>
      <c r="C34" s="199" t="n"/>
      <c r="D34" s="199" t="n"/>
      <c r="E34" s="199" t="n"/>
      <c r="F34" s="199" t="n"/>
      <c r="G34" s="199" t="n"/>
      <c r="H34" s="199" t="n"/>
      <c r="I34" s="199" t="n"/>
      <c r="J34" s="199" t="n"/>
      <c r="K34" s="199" t="n"/>
      <c r="L34" s="199" t="n"/>
    </row>
    <row r="35" ht="14.25" customHeight="1" s="197">
      <c r="A35" s="287" t="n"/>
      <c r="B35" s="287" t="n"/>
      <c r="C35" s="287" t="n"/>
      <c r="D35" s="287" t="n"/>
      <c r="E35" s="287" t="n"/>
      <c r="F35" s="287" t="n"/>
      <c r="G35" s="287" t="n"/>
      <c r="H35" s="287" t="n"/>
      <c r="I35" s="287" t="n"/>
      <c r="J35" s="287" t="n"/>
      <c r="K35" s="287" t="n"/>
      <c r="L35" s="287" t="n"/>
    </row>
    <row r="36" ht="14.25" customHeight="1" s="197">
      <c r="A36" s="287" t="n"/>
      <c r="B36" s="287" t="n"/>
      <c r="C36" s="287" t="n"/>
      <c r="D36" s="287" t="n"/>
      <c r="E36" s="287" t="n"/>
      <c r="F36" s="287" t="n"/>
      <c r="G36" s="287" t="n"/>
      <c r="H36" s="287" t="n"/>
      <c r="I36" s="287" t="n"/>
      <c r="J36" s="287" t="n"/>
      <c r="K36" s="287" t="n"/>
      <c r="L36" s="287" t="n"/>
    </row>
    <row r="37" ht="12.75" customHeight="1" s="197">
      <c r="A37" s="303" t="inlineStr">
        <is>
          <t>Составлен</t>
        </is>
      </c>
      <c r="B37" s="303" t="n"/>
      <c r="C37" s="304" t="inlineStr">
        <is>
          <t>Базисно-индексным</t>
        </is>
      </c>
      <c r="D37" s="303" t="inlineStr">
        <is>
          <t>методом</t>
        </is>
      </c>
      <c r="E37" s="303" t="n"/>
      <c r="F37" s="303" t="n"/>
      <c r="G37" s="303" t="n"/>
      <c r="H37" s="303" t="n"/>
      <c r="I37" s="303" t="n"/>
      <c r="J37" s="303" t="n"/>
      <c r="K37" s="303" t="n"/>
      <c r="L37" s="303" t="n"/>
    </row>
    <row r="38" ht="12.75" customHeight="1" s="197">
      <c r="A38" s="303" t="n"/>
      <c r="B38" s="303" t="n"/>
      <c r="C38" s="305" t="n"/>
      <c r="D38" s="303" t="n"/>
      <c r="E38" s="303" t="n"/>
      <c r="F38" s="303" t="n"/>
      <c r="G38" s="303" t="n"/>
      <c r="H38" s="303" t="n"/>
      <c r="I38" s="303" t="n"/>
      <c r="J38" s="303" t="n"/>
      <c r="K38" s="303" t="n"/>
      <c r="L38" s="303" t="n"/>
    </row>
    <row r="39" ht="12.75" customHeight="1" s="197">
      <c r="A39" s="303" t="inlineStr">
        <is>
          <t>Основание</t>
        </is>
      </c>
      <c r="B39" s="303" t="n"/>
      <c r="C39" s="306" t="inlineStr">
        <is>
          <t>Дефектный акт</t>
        </is>
      </c>
      <c r="D39" s="198" t="n"/>
      <c r="E39" s="198" t="n"/>
      <c r="F39" s="198" t="n"/>
      <c r="G39" s="198" t="n"/>
      <c r="H39" s="198" t="n"/>
      <c r="I39" s="198" t="n"/>
      <c r="J39" s="198" t="n"/>
      <c r="K39" s="198" t="n"/>
      <c r="L39" s="198" t="n"/>
    </row>
    <row r="40" ht="14.25" customHeight="1" s="197">
      <c r="A40" s="307" t="n"/>
      <c r="B40" s="308" t="n"/>
      <c r="C40" s="298" t="inlineStr">
        <is>
          <t>(проектная и (или) иная техническая документация)</t>
        </is>
      </c>
      <c r="D40" s="199" t="n"/>
      <c r="E40" s="199" t="n"/>
      <c r="F40" s="199" t="n"/>
      <c r="G40" s="199" t="n"/>
      <c r="H40" s="199" t="n"/>
      <c r="I40" s="199" t="n"/>
      <c r="J40" s="199" t="n"/>
      <c r="K40" s="199" t="n"/>
      <c r="L40" s="199" t="n"/>
    </row>
    <row r="41" ht="14.25" customHeight="1" s="197">
      <c r="A41" s="287" t="n"/>
      <c r="B41" s="287" t="n"/>
      <c r="C41" s="287" t="n"/>
      <c r="D41" s="287" t="n"/>
      <c r="E41" s="287" t="n"/>
      <c r="F41" s="287" t="n"/>
      <c r="G41" s="287" t="n"/>
      <c r="H41" s="287" t="n"/>
      <c r="I41" s="287" t="n"/>
      <c r="J41" s="287" t="n"/>
      <c r="K41" s="287" t="n"/>
      <c r="L41" s="287" t="n"/>
    </row>
    <row r="42" ht="14.25" customHeight="1" s="197">
      <c r="A42" s="303" t="inlineStr">
        <is>
          <t>Составлена в ценах июнь 2025 года (1.01.2000)</t>
        </is>
      </c>
      <c r="B42" s="287" t="n"/>
      <c r="C42" s="287" t="n"/>
      <c r="D42" s="309" t="n"/>
      <c r="E42" s="287" t="n"/>
      <c r="F42" s="287" t="n"/>
      <c r="G42" s="287" t="n"/>
      <c r="H42" s="287" t="n"/>
      <c r="I42" s="287" t="n"/>
      <c r="J42" s="287" t="n"/>
      <c r="K42" s="287" t="n"/>
      <c r="L42" s="287" t="n"/>
    </row>
    <row r="43" ht="14.25" customHeight="1" s="197">
      <c r="A43" s="287" t="n"/>
      <c r="B43" s="287" t="n"/>
      <c r="C43" s="287" t="n"/>
      <c r="D43" s="287" t="n"/>
      <c r="E43" s="287" t="n"/>
      <c r="F43" s="287" t="n"/>
      <c r="G43" s="287" t="n"/>
      <c r="H43" s="287" t="n"/>
      <c r="I43" s="287" t="n"/>
      <c r="J43" s="287" t="n"/>
      <c r="K43" s="287" t="n"/>
      <c r="L43" s="287" t="n"/>
    </row>
    <row r="44" ht="14.25" customHeight="1" s="197">
      <c r="A44" s="310" t="inlineStr">
        <is>
          <t>Сметная стоимость</t>
        </is>
      </c>
      <c r="B44" s="287" t="n"/>
      <c r="C44" s="311">
        <f>C47+C48+C49+C50</f>
        <v/>
      </c>
      <c r="D44" s="311">
        <f>D47+D48+D49+D50</f>
        <v/>
      </c>
      <c r="F44" s="303" t="inlineStr">
        <is>
          <t>тыс. руб.</t>
        </is>
      </c>
      <c r="G44" s="284" t="n"/>
      <c r="H44" s="284" t="n"/>
      <c r="I44" s="284" t="n"/>
      <c r="J44" s="284" t="n"/>
      <c r="K44" s="284" t="n"/>
      <c r="L44" s="287" t="n"/>
    </row>
    <row r="45" ht="14.25" customHeight="1" s="197">
      <c r="A45" s="310" t="n"/>
      <c r="B45" s="287" t="n"/>
      <c r="C45" s="311" t="n"/>
      <c r="D45" s="311" t="n"/>
      <c r="E45" s="312" t="n"/>
      <c r="F45" s="303" t="n"/>
      <c r="G45" s="284" t="n"/>
      <c r="H45" s="284" t="n"/>
      <c r="I45" s="284" t="n"/>
      <c r="J45" s="284" t="n"/>
      <c r="K45" s="284" t="n"/>
      <c r="L45" s="287" t="n"/>
    </row>
    <row r="46" ht="14.25" customHeight="1" s="197">
      <c r="A46" s="287" t="n"/>
      <c r="B46" s="313" t="inlineStr">
        <is>
          <t>в том числе:</t>
        </is>
      </c>
      <c r="C46" s="314" t="n"/>
      <c r="D46" s="315" t="n"/>
      <c r="E46" s="316" t="n"/>
      <c r="F46" s="303" t="n"/>
      <c r="G46" s="303" t="inlineStr">
        <is>
          <t>Средства на оплату труда рабочих</t>
        </is>
      </c>
      <c r="H46" s="287" t="n"/>
      <c r="I46" s="314">
        <f>ROUND(SUM(AR58:AR242)/1000, 2)</f>
        <v/>
      </c>
      <c r="J46" s="314">
        <f>ROUND((SUM(S58:S242))/1000, 2)</f>
        <v/>
      </c>
      <c r="K46" s="303" t="inlineStr">
        <is>
          <t>тыс. руб.</t>
        </is>
      </c>
      <c r="L46" s="287" t="n"/>
    </row>
    <row r="47" ht="14.25" customHeight="1" s="197">
      <c r="A47" s="287" t="n"/>
      <c r="B47" s="310" t="inlineStr">
        <is>
          <t>строительных работ</t>
        </is>
      </c>
      <c r="C47" s="311">
        <f>ROUND((Source!F638)/1000, 2)</f>
        <v/>
      </c>
      <c r="D47" s="311">
        <f>ROUND((SUM(BH58:BH242)+SUMIF(CD58:CD242, 1, AG58:AG242)+SUMIF(CD58:CD242, 1, AF58:AF242))/1000, 2)</f>
        <v/>
      </c>
      <c r="F47" s="303" t="inlineStr">
        <is>
          <t>тыс. руб.</t>
        </is>
      </c>
      <c r="G47" s="303" t="inlineStr">
        <is>
          <t xml:space="preserve">Нормативные затраты труда рабочих </t>
        </is>
      </c>
      <c r="H47" s="287" t="n"/>
      <c r="I47" s="303" t="n"/>
      <c r="J47" s="317">
        <f>Source!F643</f>
        <v/>
      </c>
      <c r="K47" s="303" t="inlineStr">
        <is>
          <t>чел.-ч.</t>
        </is>
      </c>
      <c r="L47" s="287" t="n"/>
    </row>
    <row r="48" ht="14.25" customHeight="1" s="197">
      <c r="A48" s="287" t="n"/>
      <c r="B48" s="310" t="inlineStr">
        <is>
          <t xml:space="preserve">монтажных работ    </t>
        </is>
      </c>
      <c r="C48" s="311">
        <f>ROUND((Source!F639)/1000, 2)</f>
        <v/>
      </c>
      <c r="D48" s="311">
        <f>ROUND((SUM(BI58:BI242)+SUMIF(CD58:CD242, 2, AG58:AG242)+SUMIF(CD58:CD242, 2, AF58:AF242))/1000, 2)</f>
        <v/>
      </c>
      <c r="F48" s="303" t="inlineStr">
        <is>
          <t>тыс. руб.</t>
        </is>
      </c>
      <c r="G48" s="303" t="inlineStr">
        <is>
          <t xml:space="preserve">Нормативные затраты труда машинистов </t>
        </is>
      </c>
      <c r="H48" s="287" t="n"/>
      <c r="I48" s="303" t="n"/>
      <c r="J48" s="317">
        <f>Source!F644</f>
        <v/>
      </c>
      <c r="K48" s="303" t="inlineStr">
        <is>
          <t>чел.-ч.</t>
        </is>
      </c>
      <c r="L48" s="287" t="n"/>
    </row>
    <row r="49" ht="14.25" customHeight="1" s="197">
      <c r="A49" s="287" t="n"/>
      <c r="B49" s="310" t="inlineStr">
        <is>
          <t xml:space="preserve">оборудования         </t>
        </is>
      </c>
      <c r="C49" s="311">
        <f>ROUND((Source!F630)/1000, 2)</f>
        <v/>
      </c>
      <c r="D49" s="311">
        <f>ROUND((SUM(BJ58:BJ242)+SUM(AH58:AH242))/1000, 2)</f>
        <v/>
      </c>
      <c r="F49" s="303" t="inlineStr">
        <is>
          <t>тыс. руб.</t>
        </is>
      </c>
      <c r="G49" s="303" t="n"/>
      <c r="H49" s="303" t="n"/>
      <c r="I49" s="303" t="n"/>
      <c r="J49" s="303" t="n"/>
      <c r="K49" s="303" t="n"/>
      <c r="L49" s="287" t="n"/>
    </row>
    <row r="50" ht="14.25" customHeight="1" s="197">
      <c r="A50" s="287" t="n"/>
      <c r="B50" s="310" t="inlineStr">
        <is>
          <t xml:space="preserve">прочих затрат       </t>
        </is>
      </c>
      <c r="C50" s="311">
        <f>ROUND((Source!F640)/1000, 2)</f>
        <v/>
      </c>
      <c r="D50" s="311">
        <f>ROUND((SUM(BL58:BL242)+SUMIF(CD58:CD242, 4, AG58:AG242)+SUM(BM58:BM242)+SUM(BN58:BN242)+SUMIF(CD58:CD242, 4, AF58:AF242))/1000, 2)</f>
        <v/>
      </c>
      <c r="F50" s="303" t="inlineStr">
        <is>
          <t>тыс. руб.</t>
        </is>
      </c>
      <c r="G50" s="303" t="n"/>
      <c r="H50" s="303" t="n"/>
      <c r="I50" s="303" t="n"/>
      <c r="J50" s="303" t="n"/>
      <c r="K50" s="303" t="n"/>
      <c r="L50" s="287" t="n"/>
    </row>
    <row r="51" ht="14.25" customHeight="1" s="197">
      <c r="A51" s="318" t="n"/>
      <c r="B51" s="318" t="n"/>
      <c r="C51" s="318" t="n"/>
      <c r="D51" s="318" t="n"/>
      <c r="E51" s="318" t="n"/>
      <c r="F51" s="318" t="n"/>
      <c r="G51" s="318" t="n"/>
      <c r="H51" s="318" t="n"/>
      <c r="I51" s="318" t="n"/>
      <c r="J51" s="318" t="n"/>
      <c r="K51" s="318" t="n"/>
      <c r="L51" s="318" t="n"/>
    </row>
    <row r="52" ht="12.75" customHeight="1" s="197">
      <c r="A52" s="319" t="inlineStr">
        <is>
          <t>№ п/п</t>
        </is>
      </c>
      <c r="B52" s="319" t="inlineStr">
        <is>
          <t>Обоснование</t>
        </is>
      </c>
      <c r="C52" s="319" t="inlineStr">
        <is>
          <t>Наименование работ и затрат</t>
        </is>
      </c>
      <c r="D52" s="319" t="inlineStr">
        <is>
          <t>Единица измерения</t>
        </is>
      </c>
      <c r="E52" s="319" t="inlineStr">
        <is>
          <t>Количество</t>
        </is>
      </c>
      <c r="F52" s="199" t="n"/>
      <c r="G52" s="202" t="n"/>
      <c r="H52" s="320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199" t="n"/>
      <c r="J52" s="321" t="n"/>
      <c r="K52" s="322" t="inlineStr">
        <is>
          <t>Индексы</t>
        </is>
      </c>
      <c r="L52" s="319" t="inlineStr">
        <is>
          <t>Сметная стоимость в текущем уровне цен, руб.</t>
        </is>
      </c>
    </row>
    <row r="53" ht="12.75" customHeight="1" s="197">
      <c r="A53" s="211" t="n"/>
      <c r="B53" s="211" t="n"/>
      <c r="C53" s="211" t="n"/>
      <c r="D53" s="211" t="n"/>
      <c r="E53" s="209" t="n"/>
      <c r="G53" s="210" t="n"/>
      <c r="H53" s="209" t="n"/>
      <c r="J53" s="257" t="n"/>
      <c r="K53" s="323" t="n"/>
      <c r="L53" s="211" t="n"/>
    </row>
    <row r="54" ht="12.75" customHeight="1" s="197">
      <c r="A54" s="211" t="n"/>
      <c r="B54" s="211" t="n"/>
      <c r="C54" s="211" t="n"/>
      <c r="D54" s="211" t="n"/>
      <c r="E54" s="209" t="n"/>
      <c r="G54" s="210" t="n"/>
      <c r="H54" s="209" t="n"/>
      <c r="J54" s="257" t="n"/>
      <c r="K54" s="323" t="n"/>
      <c r="L54" s="211" t="n"/>
    </row>
    <row r="55" ht="12.75" customHeight="1" s="197">
      <c r="A55" s="211" t="n"/>
      <c r="B55" s="211" t="n"/>
      <c r="C55" s="211" t="n"/>
      <c r="D55" s="211" t="n"/>
      <c r="E55" s="205" t="n"/>
      <c r="F55" s="198" t="n"/>
      <c r="G55" s="206" t="n"/>
      <c r="H55" s="205" t="n"/>
      <c r="I55" s="198" t="n"/>
      <c r="J55" s="324" t="n"/>
      <c r="K55" s="323" t="n"/>
      <c r="L55" s="211" t="n"/>
    </row>
    <row r="56" ht="25.5" customHeight="1" s="197">
      <c r="A56" s="216" t="n"/>
      <c r="B56" s="216" t="n"/>
      <c r="C56" s="216" t="n"/>
      <c r="D56" s="216" t="n"/>
      <c r="E56" s="319" t="inlineStr">
        <is>
          <t>на единицу измерения</t>
        </is>
      </c>
      <c r="F56" s="319" t="inlineStr">
        <is>
          <t>коэффициенты</t>
        </is>
      </c>
      <c r="G56" s="325" t="inlineStr">
        <is>
          <t>всего с учетом коэффициентов</t>
        </is>
      </c>
      <c r="H56" s="319" t="inlineStr">
        <is>
          <t>на единицу измерения</t>
        </is>
      </c>
      <c r="I56" s="319" t="inlineStr">
        <is>
          <t>коэффициенты</t>
        </is>
      </c>
      <c r="J56" s="320" t="inlineStr">
        <is>
          <t>всего</t>
        </is>
      </c>
      <c r="K56" s="326" t="n"/>
      <c r="L56" s="216" t="n"/>
    </row>
    <row r="57" ht="14.25" customHeight="1" s="197">
      <c r="A57" s="327" t="n">
        <v>1</v>
      </c>
      <c r="B57" s="327" t="n">
        <v>2</v>
      </c>
      <c r="C57" s="327" t="n">
        <v>3</v>
      </c>
      <c r="D57" s="327" t="n">
        <v>4</v>
      </c>
      <c r="E57" s="327" t="n">
        <v>5</v>
      </c>
      <c r="F57" s="327" t="n">
        <v>6</v>
      </c>
      <c r="G57" s="327" t="n">
        <v>7</v>
      </c>
      <c r="H57" s="327" t="n">
        <v>8</v>
      </c>
      <c r="I57" s="327" t="n">
        <v>9</v>
      </c>
      <c r="J57" s="327" t="n">
        <v>10</v>
      </c>
      <c r="K57" s="328" t="n">
        <v>11</v>
      </c>
      <c r="L57" s="328" t="n">
        <v>12</v>
      </c>
    </row>
    <row r="58" ht="42.75" customHeight="1" s="197">
      <c r="A58" s="329" t="inlineStr">
        <is>
          <t>1</t>
        </is>
      </c>
      <c r="B58" s="329">
        <f>Source!F601</f>
        <v/>
      </c>
      <c r="C58" s="329">
        <f>Source!G601</f>
        <v/>
      </c>
      <c r="D58" s="330">
        <f>Source!H601</f>
        <v/>
      </c>
      <c r="E58" s="331">
        <f>Source!K601</f>
        <v/>
      </c>
      <c r="F58" s="331" t="n"/>
      <c r="G58" s="331">
        <f>Source!I601</f>
        <v/>
      </c>
      <c r="H58" s="332" t="n"/>
      <c r="I58" s="333" t="n"/>
      <c r="J58" s="332" t="n"/>
      <c r="K58" s="333" t="n"/>
      <c r="L58" s="334" t="n"/>
    </row>
    <row r="59">
      <c r="C59" s="335">
        <f>"Объем: "&amp;Source!I601&amp;"=75/"&amp;"100"</f>
        <v/>
      </c>
    </row>
    <row r="60" ht="14.25" customHeight="1" s="197">
      <c r="A60" s="329" t="n"/>
      <c r="B60" s="333" t="n">
        <v>1</v>
      </c>
      <c r="C60" s="329" t="inlineStr">
        <is>
          <t>ОТ</t>
        </is>
      </c>
      <c r="D60" s="330" t="n"/>
      <c r="E60" s="331" t="n"/>
      <c r="F60" s="331" t="n"/>
      <c r="G60" s="331" t="n"/>
      <c r="H60" s="332">
        <f>Source!AO601</f>
        <v/>
      </c>
      <c r="I60" s="333" t="n"/>
      <c r="J60" s="332">
        <f>ROUND(Source!AF601*Source!I601, 2)</f>
        <v/>
      </c>
      <c r="K60" s="333">
        <f>IF(Source!BA601&lt;&gt; 0, Source!BA601, 1)</f>
        <v/>
      </c>
      <c r="L60" s="334">
        <f>Source!S601</f>
        <v/>
      </c>
    </row>
    <row r="61" ht="14.25" customHeight="1" s="197">
      <c r="A61" s="329" t="n"/>
      <c r="B61" s="333" t="n">
        <v>2</v>
      </c>
      <c r="C61" s="329" t="inlineStr">
        <is>
          <t>ЭМ</t>
        </is>
      </c>
      <c r="D61" s="330" t="n"/>
      <c r="E61" s="331" t="n"/>
      <c r="F61" s="331" t="n"/>
      <c r="G61" s="331" t="n"/>
      <c r="H61" s="332">
        <f>Source!AM601</f>
        <v/>
      </c>
      <c r="I61" s="333" t="n"/>
      <c r="J61" s="332">
        <f>(ROUND((ROUND(((Source!ET601)*Source!I601),0)),0)+ROUND((ROUND(((Source!AE601-(Source!EU601))*Source!I601),0)),0))</f>
        <v/>
      </c>
      <c r="K61" s="333">
        <f>IF(Source!BB601&lt;&gt; 0, Source!BB601, 1)</f>
        <v/>
      </c>
      <c r="L61" s="334">
        <f>Source!Q601</f>
        <v/>
      </c>
    </row>
    <row r="62" ht="14.25" customHeight="1" s="197">
      <c r="A62" s="329" t="n"/>
      <c r="B62" s="333" t="n">
        <v>4</v>
      </c>
      <c r="C62" s="329" t="inlineStr">
        <is>
          <t>М</t>
        </is>
      </c>
      <c r="D62" s="330" t="n"/>
      <c r="E62" s="331" t="n"/>
      <c r="F62" s="331" t="n"/>
      <c r="G62" s="331" t="n"/>
      <c r="H62" s="332">
        <f>Source!AL601</f>
        <v/>
      </c>
      <c r="I62" s="333" t="n"/>
      <c r="J62" s="332">
        <f>ROUND(Source!AC601*Source!I601, 2)</f>
        <v/>
      </c>
      <c r="K62" s="333">
        <f>IF(Source!BC601&lt;&gt; 0, Source!BC601, 1)</f>
        <v/>
      </c>
      <c r="L62" s="334">
        <f>Source!P601</f>
        <v/>
      </c>
    </row>
    <row r="63" ht="14.25" customHeight="1" s="197">
      <c r="A63" s="329" t="n"/>
      <c r="B63" s="329" t="n"/>
      <c r="C63" s="336" t="inlineStr">
        <is>
          <t>ЗТ</t>
        </is>
      </c>
      <c r="D63" s="337" t="inlineStr">
        <is>
          <t>чел.-ч.</t>
        </is>
      </c>
      <c r="E63" s="338">
        <f>Source!AQ601</f>
        <v/>
      </c>
      <c r="F63" s="338" t="n"/>
      <c r="G63" s="338">
        <f>ROUND(Source!U601, 7)</f>
        <v/>
      </c>
      <c r="H63" s="339" t="n"/>
      <c r="I63" s="340" t="n"/>
      <c r="J63" s="339" t="n"/>
      <c r="K63" s="340" t="n"/>
      <c r="L63" s="341" t="n"/>
    </row>
    <row r="64" ht="14.25" customHeight="1" s="197">
      <c r="A64" s="329" t="n"/>
      <c r="B64" s="329" t="n"/>
      <c r="C64" s="329" t="inlineStr">
        <is>
          <t>Итого по расценке</t>
        </is>
      </c>
      <c r="D64" s="330" t="n"/>
      <c r="E64" s="331" t="n"/>
      <c r="F64" s="331" t="n"/>
      <c r="G64" s="331" t="n"/>
      <c r="H64" s="332">
        <f>H60+H61+H62</f>
        <v/>
      </c>
      <c r="I64" s="333" t="n"/>
      <c r="J64" s="332">
        <f>J60+J61+J62</f>
        <v/>
      </c>
      <c r="K64" s="333" t="n"/>
      <c r="L64" s="334">
        <f>L60+L61+L62</f>
        <v/>
      </c>
    </row>
    <row r="65" ht="14.25" customHeight="1" s="197">
      <c r="A65" s="329" t="n"/>
      <c r="B65" s="329" t="n"/>
      <c r="C65" s="329" t="inlineStr">
        <is>
          <t>ФОТ</t>
        </is>
      </c>
      <c r="D65" s="330" t="n"/>
      <c r="E65" s="331" t="n"/>
      <c r="F65" s="331" t="n"/>
      <c r="G65" s="331" t="n"/>
      <c r="H65" s="332" t="n"/>
      <c r="I65" s="333" t="n"/>
      <c r="J65" s="332">
        <f>SUM(S58:S68)+SUM(T58:T68)+SUM(X58:X68)+SUM(Y58:Y68)+SUM(Z58:Z68)</f>
        <v/>
      </c>
      <c r="K65" s="333" t="n"/>
      <c r="L65" s="334">
        <f>SUM(AR58:AR68)+SUM(AS58:AS68)+SUM(AT58:AT68)+SUM(AU58:AU68)+SUM(AV58:AV68)</f>
        <v/>
      </c>
    </row>
    <row r="66" ht="42.75" customHeight="1" s="197">
      <c r="A66" s="329" t="n"/>
      <c r="B66" s="329" t="inlineStr">
        <is>
          <t>Пр/812-099.2-1</t>
        </is>
      </c>
      <c r="C66" s="329" t="inlineStr">
        <is>
          <t>НР Внутренние санитарнотехнические работы: смена труб, санприборов, запорной арматуры и другое</t>
        </is>
      </c>
      <c r="D66" s="330" t="inlineStr">
        <is>
          <t>%</t>
        </is>
      </c>
      <c r="E66" s="331">
        <f>Source!BZ601</f>
        <v/>
      </c>
      <c r="F66" s="331" t="n"/>
      <c r="G66" s="331">
        <f>Source!AT601</f>
        <v/>
      </c>
      <c r="H66" s="332" t="n"/>
      <c r="I66" s="333" t="n"/>
      <c r="J66" s="332">
        <f>SUM(AD58:AD68)</f>
        <v/>
      </c>
      <c r="K66" s="333" t="n"/>
      <c r="L66" s="334">
        <f>SUM(AZ58:AZ68)</f>
        <v/>
      </c>
    </row>
    <row r="67" ht="42.75" customHeight="1" s="197">
      <c r="A67" s="336" t="n"/>
      <c r="B67" s="336" t="inlineStr">
        <is>
          <t>Пр/774-099.2</t>
        </is>
      </c>
      <c r="C67" s="336" t="inlineStr">
        <is>
          <t>СП Внутренние санитарнотехнические работы: смена труб, санприборов, запорной арматуры и другое</t>
        </is>
      </c>
      <c r="D67" s="337" t="inlineStr">
        <is>
          <t>%</t>
        </is>
      </c>
      <c r="E67" s="338">
        <f>Source!CA601</f>
        <v/>
      </c>
      <c r="F67" s="338" t="n"/>
      <c r="G67" s="338">
        <f>Source!AU601</f>
        <v/>
      </c>
      <c r="H67" s="339" t="n"/>
      <c r="I67" s="340" t="n"/>
      <c r="J67" s="339">
        <f>SUM(AE58:AE68)</f>
        <v/>
      </c>
      <c r="K67" s="340" t="n"/>
      <c r="L67" s="341">
        <f>SUM(BA58:BA68)</f>
        <v/>
      </c>
    </row>
    <row r="68" ht="15" customHeight="1" s="197">
      <c r="C68" s="342" t="inlineStr">
        <is>
          <t>Всего по позиции</t>
        </is>
      </c>
      <c r="I68" s="343">
        <f>J60+J61+J62+J66+J67</f>
        <v/>
      </c>
      <c r="J68" s="199" t="n"/>
      <c r="K68" s="344">
        <f>L60+L61+L62+L66+L67</f>
        <v/>
      </c>
      <c r="L68" s="199" t="n"/>
      <c r="O68" s="345">
        <f>J60+J61+J62+J66+J67</f>
        <v/>
      </c>
      <c r="P68" s="345">
        <f>J61</f>
        <v/>
      </c>
      <c r="R68" t="inlineStr">
        <is>
          <t>=</t>
        </is>
      </c>
      <c r="S68" s="345">
        <f>J60</f>
        <v/>
      </c>
      <c r="U68" s="345">
        <f>J60</f>
        <v/>
      </c>
      <c r="X68">
        <f>0</f>
        <v/>
      </c>
      <c r="Z68" t="inlineStr">
        <is>
          <t>=</t>
        </is>
      </c>
      <c r="AA68" s="345">
        <f>J62</f>
        <v/>
      </c>
      <c r="AD68">
        <f>ROUND((Source!AT601/100)*((ROUND(Source!AF601*Source!I601, 2)+(ROUND((ROUND(((Source!EU601)*Source!I601),0)),0)+ROUND((ROUND(((Source!AE601-(Source!EU601))*Source!I601),0)),0)))), 2)</f>
        <v/>
      </c>
      <c r="AE68">
        <f>ROUND((Source!AU601/100)*((ROUND(Source!AF601*Source!I601, 2)+(ROUND((ROUND(((Source!EU601)*Source!I601),0)),0)+ROUND((ROUND(((Source!AE601-(Source!EU601))*Source!I601),0)),0)))), 2)</f>
        <v/>
      </c>
      <c r="AN68" s="346">
        <f>L60+L61+L62+L66+L67</f>
        <v/>
      </c>
      <c r="AO68" s="346">
        <f>L61</f>
        <v/>
      </c>
      <c r="AQ68" t="inlineStr">
        <is>
          <t>=</t>
        </is>
      </c>
      <c r="AR68" s="346">
        <f>L60</f>
        <v/>
      </c>
      <c r="AT68">
        <f>0</f>
        <v/>
      </c>
      <c r="AV68" t="inlineStr">
        <is>
          <t>=</t>
        </is>
      </c>
      <c r="AW68" s="346">
        <f>L62</f>
        <v/>
      </c>
      <c r="AZ68">
        <f>Source!X601</f>
        <v/>
      </c>
      <c r="BA68">
        <f>Source!Y601</f>
        <v/>
      </c>
      <c r="BH68" s="345">
        <f>J60+J61+J62+J66+J67</f>
        <v/>
      </c>
      <c r="CD68" t="n">
        <v>1</v>
      </c>
    </row>
    <row r="69" ht="146.25" customHeight="1" s="197">
      <c r="A69" s="329" t="inlineStr">
        <is>
          <t>2</t>
        </is>
      </c>
      <c r="B69" s="329">
        <f>Source!F602</f>
        <v/>
      </c>
      <c r="C69" s="329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)*5;   
ЭМ )*5;   
ОТм )*5;   
ОТ )*5;   
ЗТ )*5;   
ЗТм )*5</t>
        </is>
      </c>
      <c r="D69" s="330">
        <f>Source!H602</f>
        <v/>
      </c>
      <c r="E69" s="331">
        <f>Source!K602</f>
        <v/>
      </c>
      <c r="F69" s="331" t="n"/>
      <c r="G69" s="331">
        <f>Source!I602</f>
        <v/>
      </c>
      <c r="H69" s="332" t="n"/>
      <c r="I69" s="333" t="n"/>
      <c r="J69" s="332" t="n"/>
      <c r="K69" s="333" t="n"/>
      <c r="L69" s="334" t="n"/>
    </row>
    <row r="70">
      <c r="C70" s="335">
        <f>"Объем: "&amp;Source!I602&amp;"=60/"&amp;"100"</f>
        <v/>
      </c>
    </row>
    <row r="71" ht="14.25" customHeight="1" s="197">
      <c r="A71" s="329" t="n"/>
      <c r="B71" s="333" t="n">
        <v>1</v>
      </c>
      <c r="C71" s="329" t="inlineStr">
        <is>
          <t>ОТ</t>
        </is>
      </c>
      <c r="D71" s="330" t="n"/>
      <c r="E71" s="331" t="n"/>
      <c r="F71" s="331" t="n"/>
      <c r="G71" s="331" t="n"/>
      <c r="H71" s="332">
        <f>Source!AO602</f>
        <v/>
      </c>
      <c r="I71" s="333">
        <f>ROUND(5,7)</f>
        <v/>
      </c>
      <c r="J71" s="332">
        <f>ROUND(Source!AF602*Source!I602, 2)</f>
        <v/>
      </c>
      <c r="K71" s="333">
        <f>IF(Source!BA602&lt;&gt; 0, Source!BA602, 1)</f>
        <v/>
      </c>
      <c r="L71" s="334">
        <f>Source!S602</f>
        <v/>
      </c>
    </row>
    <row r="72" ht="14.25" customHeight="1" s="197">
      <c r="A72" s="329" t="n"/>
      <c r="B72" s="333" t="n">
        <v>2</v>
      </c>
      <c r="C72" s="329" t="inlineStr">
        <is>
          <t>ЭМ</t>
        </is>
      </c>
      <c r="D72" s="330" t="n"/>
      <c r="E72" s="331" t="n"/>
      <c r="F72" s="331" t="n"/>
      <c r="G72" s="331" t="n"/>
      <c r="H72" s="332">
        <f>Source!AM602</f>
        <v/>
      </c>
      <c r="I72" s="333">
        <f>ROUND(5,7)</f>
        <v/>
      </c>
      <c r="J72" s="332">
        <f>(ROUND((ROUND((((Source!ET602*ROUND(5,7)))*Source!I602),0)),0)+ROUND((ROUND(((Source!AE602-((Source!EU602*ROUND(5,7))))*Source!I602),0)),0))</f>
        <v/>
      </c>
      <c r="K72" s="333">
        <f>IF(Source!BB602&lt;&gt; 0, Source!BB602, 1)</f>
        <v/>
      </c>
      <c r="L72" s="334">
        <f>Source!Q602</f>
        <v/>
      </c>
    </row>
    <row r="73" ht="14.25" customHeight="1" s="197">
      <c r="A73" s="329" t="n"/>
      <c r="B73" s="333" t="n">
        <v>4</v>
      </c>
      <c r="C73" s="329" t="inlineStr">
        <is>
          <t>М</t>
        </is>
      </c>
      <c r="D73" s="330" t="n"/>
      <c r="E73" s="331" t="n"/>
      <c r="F73" s="331" t="n"/>
      <c r="G73" s="331" t="n"/>
      <c r="H73" s="332">
        <f>Source!AL602</f>
        <v/>
      </c>
      <c r="I73" s="333">
        <f>ROUND(5,7)</f>
        <v/>
      </c>
      <c r="J73" s="332">
        <f>ROUND(Source!AC602*Source!I602, 2)</f>
        <v/>
      </c>
      <c r="K73" s="333">
        <f>IF(Source!BC602&lt;&gt; 0, Source!BC602, 1)</f>
        <v/>
      </c>
      <c r="L73" s="334">
        <f>Source!P602</f>
        <v/>
      </c>
    </row>
    <row r="74" ht="14.25" customHeight="1" s="197">
      <c r="A74" s="329" t="n"/>
      <c r="B74" s="329" t="n"/>
      <c r="C74" s="336" t="inlineStr">
        <is>
          <t>ЗТ</t>
        </is>
      </c>
      <c r="D74" s="337" t="inlineStr">
        <is>
          <t>чел.-ч.</t>
        </is>
      </c>
      <c r="E74" s="338">
        <f>Source!AQ602</f>
        <v/>
      </c>
      <c r="F74" s="338">
        <f>ROUND(5,7)</f>
        <v/>
      </c>
      <c r="G74" s="338">
        <f>ROUND(Source!U602, 7)</f>
        <v/>
      </c>
      <c r="H74" s="339" t="n"/>
      <c r="I74" s="340" t="n"/>
      <c r="J74" s="339" t="n"/>
      <c r="K74" s="340" t="n"/>
      <c r="L74" s="341" t="n"/>
    </row>
    <row r="75" ht="14.25" customHeight="1" s="197">
      <c r="A75" s="329" t="n"/>
      <c r="B75" s="329" t="n"/>
      <c r="C75" s="329" t="inlineStr">
        <is>
          <t>Итого по расценке</t>
        </is>
      </c>
      <c r="D75" s="330" t="n"/>
      <c r="E75" s="331" t="n"/>
      <c r="F75" s="331" t="n"/>
      <c r="G75" s="331" t="n"/>
      <c r="H75" s="332">
        <f>H71+H72+H73</f>
        <v/>
      </c>
      <c r="I75" s="333" t="n"/>
      <c r="J75" s="332">
        <f>J71+J72+J73</f>
        <v/>
      </c>
      <c r="K75" s="333" t="n"/>
      <c r="L75" s="334">
        <f>L71+L72+L73</f>
        <v/>
      </c>
    </row>
    <row r="76" ht="14.25" customHeight="1" s="197">
      <c r="A76" s="329" t="n"/>
      <c r="B76" s="329" t="n"/>
      <c r="C76" s="329" t="inlineStr">
        <is>
          <t>ФОТ</t>
        </is>
      </c>
      <c r="D76" s="330" t="n"/>
      <c r="E76" s="331" t="n"/>
      <c r="F76" s="331" t="n"/>
      <c r="G76" s="331" t="n"/>
      <c r="H76" s="332" t="n"/>
      <c r="I76" s="333" t="n"/>
      <c r="J76" s="332">
        <f>SUM(S69:S79)+SUM(T69:T79)+SUM(X69:X79)+SUM(Y69:Y79)+SUM(Z69:Z79)</f>
        <v/>
      </c>
      <c r="K76" s="333" t="n"/>
      <c r="L76" s="334">
        <f>SUM(AR69:AR79)+SUM(AS69:AS79)+SUM(AT69:AT79)+SUM(AU69:AU79)+SUM(AV69:AV79)</f>
        <v/>
      </c>
    </row>
    <row r="77" ht="71.25" customHeight="1" s="197">
      <c r="A77" s="329" t="n"/>
      <c r="B77" s="329" t="inlineStr">
        <is>
          <t>Пр/812-016.0-1</t>
        </is>
      </c>
      <c r="C77" s="32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77" s="330" t="inlineStr">
        <is>
          <t>%</t>
        </is>
      </c>
      <c r="E77" s="331">
        <f>Source!BZ602</f>
        <v/>
      </c>
      <c r="F77" s="331" t="n"/>
      <c r="G77" s="331">
        <f>Source!AT602</f>
        <v/>
      </c>
      <c r="H77" s="332" t="n"/>
      <c r="I77" s="333" t="n"/>
      <c r="J77" s="332">
        <f>SUM(AD69:AD79)</f>
        <v/>
      </c>
      <c r="K77" s="333" t="n"/>
      <c r="L77" s="334">
        <f>SUM(AZ69:AZ79)</f>
        <v/>
      </c>
    </row>
    <row r="78" ht="71.25" customHeight="1" s="197">
      <c r="A78" s="336" t="n"/>
      <c r="B78" s="336" t="inlineStr">
        <is>
          <t>Пр/774-016.0</t>
        </is>
      </c>
      <c r="C78" s="33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78" s="337" t="inlineStr">
        <is>
          <t>%</t>
        </is>
      </c>
      <c r="E78" s="338">
        <f>Source!CA602</f>
        <v/>
      </c>
      <c r="F78" s="338" t="n"/>
      <c r="G78" s="338">
        <f>Source!AU602</f>
        <v/>
      </c>
      <c r="H78" s="339" t="n"/>
      <c r="I78" s="340" t="n"/>
      <c r="J78" s="339">
        <f>SUM(AE69:AE79)</f>
        <v/>
      </c>
      <c r="K78" s="340" t="n"/>
      <c r="L78" s="341">
        <f>SUM(BA69:BA79)</f>
        <v/>
      </c>
    </row>
    <row r="79" ht="15" customHeight="1" s="197">
      <c r="C79" s="342" t="inlineStr">
        <is>
          <t>Всего по позиции</t>
        </is>
      </c>
      <c r="I79" s="343">
        <f>J71+J72+J73+J77+J78</f>
        <v/>
      </c>
      <c r="J79" s="199" t="n"/>
      <c r="K79" s="344">
        <f>L71+L72+L73+L77+L78</f>
        <v/>
      </c>
      <c r="L79" s="199" t="n"/>
      <c r="O79" s="345">
        <f>J71+J72+J73+J77+J78</f>
        <v/>
      </c>
      <c r="P79" s="345">
        <f>J72</f>
        <v/>
      </c>
      <c r="R79" t="inlineStr">
        <is>
          <t>=</t>
        </is>
      </c>
      <c r="S79" s="345">
        <f>J71</f>
        <v/>
      </c>
      <c r="U79" s="345">
        <f>J71</f>
        <v/>
      </c>
      <c r="X79">
        <f>0</f>
        <v/>
      </c>
      <c r="Z79" t="inlineStr">
        <is>
          <t>=</t>
        </is>
      </c>
      <c r="AA79" s="345">
        <f>J73</f>
        <v/>
      </c>
      <c r="AD79">
        <f>ROUND((Source!AT602/100)*((ROUND(Source!AF602*Source!I602, 2)+(ROUND((ROUND((((Source!EU602*ROUND(5,7)))*Source!I602),0)),0)+ROUND((ROUND(((Source!AE602-((Source!EU602*ROUND(5,7))))*Source!I602),0)),0)))), 2)</f>
        <v/>
      </c>
      <c r="AE79">
        <f>ROUND((Source!AU602/100)*((ROUND(Source!AF602*Source!I602, 2)+(ROUND((ROUND((((Source!EU602*ROUND(5,7)))*Source!I602),0)),0)+ROUND((ROUND(((Source!AE602-((Source!EU602*ROUND(5,7))))*Source!I602),0)),0)))), 2)</f>
        <v/>
      </c>
      <c r="AN79" s="346">
        <f>L71+L72+L73+L77+L78</f>
        <v/>
      </c>
      <c r="AO79" s="346">
        <f>L72</f>
        <v/>
      </c>
      <c r="AQ79" t="inlineStr">
        <is>
          <t>=</t>
        </is>
      </c>
      <c r="AR79" s="346">
        <f>L71</f>
        <v/>
      </c>
      <c r="AT79">
        <f>0</f>
        <v/>
      </c>
      <c r="AV79" t="inlineStr">
        <is>
          <t>=</t>
        </is>
      </c>
      <c r="AW79" s="346">
        <f>L73</f>
        <v/>
      </c>
      <c r="AZ79">
        <f>Source!X602</f>
        <v/>
      </c>
      <c r="BA79">
        <f>Source!Y602</f>
        <v/>
      </c>
      <c r="BH79" s="345">
        <f>J71+J72+J73+J77+J78</f>
        <v/>
      </c>
      <c r="CD79" t="n">
        <v>1</v>
      </c>
    </row>
    <row r="80" ht="14.25" customHeight="1" s="197">
      <c r="A80" s="329" t="inlineStr">
        <is>
          <t>3</t>
        </is>
      </c>
      <c r="B80" s="329">
        <f>Source!F603</f>
        <v/>
      </c>
      <c r="C80" s="329">
        <f>Source!G603</f>
        <v/>
      </c>
      <c r="D80" s="330">
        <f>Source!H603</f>
        <v/>
      </c>
      <c r="E80" s="331">
        <f>Source!K603</f>
        <v/>
      </c>
      <c r="F80" s="331" t="n"/>
      <c r="G80" s="331">
        <f>Source!I603</f>
        <v/>
      </c>
      <c r="H80" s="332" t="n"/>
      <c r="I80" s="333" t="n"/>
      <c r="J80" s="332" t="n"/>
      <c r="K80" s="333" t="n"/>
      <c r="L80" s="334" t="n"/>
    </row>
    <row r="81">
      <c r="C81" s="335">
        <f>"Объем: "&amp;Source!I603&amp;"=2/"&amp;"100"</f>
        <v/>
      </c>
    </row>
    <row r="82" ht="14.25" customHeight="1" s="197">
      <c r="A82" s="329" t="n"/>
      <c r="B82" s="333" t="n">
        <v>1</v>
      </c>
      <c r="C82" s="329" t="inlineStr">
        <is>
          <t>ОТ</t>
        </is>
      </c>
      <c r="D82" s="330" t="n"/>
      <c r="E82" s="331" t="n"/>
      <c r="F82" s="331" t="n"/>
      <c r="G82" s="331" t="n"/>
      <c r="H82" s="332">
        <f>Source!AO603</f>
        <v/>
      </c>
      <c r="I82" s="333" t="n"/>
      <c r="J82" s="332">
        <f>ROUND(Source!AF603*Source!I603, 2)</f>
        <v/>
      </c>
      <c r="K82" s="333">
        <f>IF(Source!BA603&lt;&gt; 0, Source!BA603, 1)</f>
        <v/>
      </c>
      <c r="L82" s="334">
        <f>Source!S603</f>
        <v/>
      </c>
    </row>
    <row r="83" ht="14.25" customHeight="1" s="197">
      <c r="A83" s="329" t="n"/>
      <c r="B83" s="333" t="n">
        <v>4</v>
      </c>
      <c r="C83" s="329" t="inlineStr">
        <is>
          <t>М</t>
        </is>
      </c>
      <c r="D83" s="330" t="n"/>
      <c r="E83" s="331" t="n"/>
      <c r="F83" s="331" t="n"/>
      <c r="G83" s="331" t="n"/>
      <c r="H83" s="332">
        <f>Source!AL603</f>
        <v/>
      </c>
      <c r="I83" s="333" t="n"/>
      <c r="J83" s="332">
        <f>ROUND(Source!AC603*Source!I603, 2)</f>
        <v/>
      </c>
      <c r="K83" s="333">
        <f>IF(Source!BC603&lt;&gt; 0, Source!BC603, 1)</f>
        <v/>
      </c>
      <c r="L83" s="334">
        <f>Source!P603</f>
        <v/>
      </c>
    </row>
    <row r="84" ht="14.25" customHeight="1" s="197">
      <c r="A84" s="329" t="n"/>
      <c r="B84" s="329" t="n"/>
      <c r="C84" s="336" t="inlineStr">
        <is>
          <t>ЗТ</t>
        </is>
      </c>
      <c r="D84" s="337" t="inlineStr">
        <is>
          <t>чел.-ч.</t>
        </is>
      </c>
      <c r="E84" s="338">
        <f>Source!AQ603</f>
        <v/>
      </c>
      <c r="F84" s="338" t="n"/>
      <c r="G84" s="338">
        <f>ROUND(Source!U603, 7)</f>
        <v/>
      </c>
      <c r="H84" s="339" t="n"/>
      <c r="I84" s="340" t="n"/>
      <c r="J84" s="339" t="n"/>
      <c r="K84" s="340" t="n"/>
      <c r="L84" s="341" t="n"/>
    </row>
    <row r="85" ht="14.25" customHeight="1" s="197">
      <c r="A85" s="329" t="n"/>
      <c r="B85" s="329" t="n"/>
      <c r="C85" s="329" t="inlineStr">
        <is>
          <t>Итого по расценке</t>
        </is>
      </c>
      <c r="D85" s="330" t="n"/>
      <c r="E85" s="331" t="n"/>
      <c r="F85" s="331" t="n"/>
      <c r="G85" s="331" t="n"/>
      <c r="H85" s="332">
        <f>H82+H83</f>
        <v/>
      </c>
      <c r="I85" s="333" t="n"/>
      <c r="J85" s="332">
        <f>J82+J83</f>
        <v/>
      </c>
      <c r="K85" s="333" t="n"/>
      <c r="L85" s="334">
        <f>L82+L83</f>
        <v/>
      </c>
    </row>
    <row r="86" ht="42.75" customHeight="1" s="197">
      <c r="A86" s="329" t="inlineStr">
        <is>
          <t>3.1</t>
        </is>
      </c>
      <c r="B86" s="329">
        <f>Source!F604</f>
        <v/>
      </c>
      <c r="C86" s="329">
        <f>Source!G604</f>
        <v/>
      </c>
      <c r="D86" s="330">
        <f>Source!H604</f>
        <v/>
      </c>
      <c r="E86" s="331">
        <f>SmtRes!AT296</f>
        <v/>
      </c>
      <c r="F86" s="331" t="n"/>
      <c r="G86" s="331">
        <f>Source!I604</f>
        <v/>
      </c>
      <c r="H86" s="332">
        <f>Source!AL604+Source!AO604+Source!AM604</f>
        <v/>
      </c>
      <c r="I86" s="333" t="n"/>
      <c r="J86" s="332">
        <f>ROUND(Source!AC604*Source!I604, 2)+(ROUND((ROUND(((Source!ET604)*Source!I604),0)),0)+ROUND((ROUND(((Source!AE604-(Source!EU604))*Source!I604),0)),0))+ROUND(Source!AF604*Source!I604, 2)</f>
        <v/>
      </c>
      <c r="K86" s="333">
        <f>IF(Source!BC604&lt;&gt; 0, Source!BC604, 1)</f>
        <v/>
      </c>
      <c r="L86" s="334">
        <f>Source!P604</f>
        <v/>
      </c>
      <c r="O86">
        <f>J86</f>
        <v/>
      </c>
      <c r="AA86">
        <f>J86</f>
        <v/>
      </c>
      <c r="AD86">
        <f>ROUND((Source!AT604/100)*((ROUND(Source!AF604*Source!I604, 2)+(ROUND((ROUND(((Source!EU604)*Source!I604),0)),0)+ROUND((ROUND(((Source!AE604-(Source!EU604))*Source!I604),0)),0)))), 2)</f>
        <v/>
      </c>
      <c r="AE86">
        <f>ROUND((Source!AU604/100)*((ROUND(Source!AF604*Source!I604, 2)+(ROUND((ROUND(((Source!EU604)*Source!I604),0)),0)+ROUND((ROUND(((Source!AE604-(Source!EU604))*Source!I604),0)),0)))), 2)</f>
        <v/>
      </c>
      <c r="AN86">
        <f>L86</f>
        <v/>
      </c>
      <c r="AW86">
        <f>L86</f>
        <v/>
      </c>
      <c r="AZ86">
        <f>Source!X604</f>
        <v/>
      </c>
      <c r="BA86">
        <f>Source!Y604</f>
        <v/>
      </c>
      <c r="BH86">
        <f>J86</f>
        <v/>
      </c>
      <c r="CD86" t="n">
        <v>1</v>
      </c>
    </row>
    <row r="87" ht="14.25" customHeight="1" s="197">
      <c r="A87" s="329" t="n"/>
      <c r="B87" s="329" t="n"/>
      <c r="C87" s="329" t="inlineStr">
        <is>
          <t>ФОТ</t>
        </is>
      </c>
      <c r="D87" s="330" t="n"/>
      <c r="E87" s="331" t="n"/>
      <c r="F87" s="331" t="n"/>
      <c r="G87" s="331" t="n"/>
      <c r="H87" s="332" t="n"/>
      <c r="I87" s="333" t="n"/>
      <c r="J87" s="332">
        <f>SUM(S80:S90)+SUM(T80:T90)+SUM(X80:X90)+SUM(Y80:Y90)+SUM(Z80:Z90)</f>
        <v/>
      </c>
      <c r="K87" s="333" t="n"/>
      <c r="L87" s="334">
        <f>SUM(AR80:AR90)+SUM(AS80:AS90)+SUM(AT80:AT90)+SUM(AU80:AU90)+SUM(AV80:AV90)</f>
        <v/>
      </c>
    </row>
    <row r="88" ht="14.25" customHeight="1" s="197">
      <c r="A88" s="329" t="n"/>
      <c r="B88" s="329" t="inlineStr">
        <is>
          <t>Пр/812-101.0-1</t>
        </is>
      </c>
      <c r="C88" s="329" t="inlineStr">
        <is>
          <t>НР Электромонтажные работы</t>
        </is>
      </c>
      <c r="D88" s="330" t="inlineStr">
        <is>
          <t>%</t>
        </is>
      </c>
      <c r="E88" s="331">
        <f>Source!BZ603</f>
        <v/>
      </c>
      <c r="F88" s="331" t="n"/>
      <c r="G88" s="331">
        <f>Source!AT603</f>
        <v/>
      </c>
      <c r="H88" s="332" t="n"/>
      <c r="I88" s="333" t="n"/>
      <c r="J88" s="332">
        <f>SUM(AD80:AD90)</f>
        <v/>
      </c>
      <c r="K88" s="333" t="n"/>
      <c r="L88" s="334">
        <f>SUM(AZ80:AZ90)</f>
        <v/>
      </c>
    </row>
    <row r="89" ht="14.25" customHeight="1" s="197">
      <c r="A89" s="336" t="n"/>
      <c r="B89" s="336" t="inlineStr">
        <is>
          <t>Пр/774-101.0</t>
        </is>
      </c>
      <c r="C89" s="336" t="inlineStr">
        <is>
          <t>СП Электромонтажные работы</t>
        </is>
      </c>
      <c r="D89" s="337" t="inlineStr">
        <is>
          <t>%</t>
        </is>
      </c>
      <c r="E89" s="338">
        <f>Source!CA603</f>
        <v/>
      </c>
      <c r="F89" s="338" t="n"/>
      <c r="G89" s="338">
        <f>Source!AU603</f>
        <v/>
      </c>
      <c r="H89" s="339" t="n"/>
      <c r="I89" s="340" t="n"/>
      <c r="J89" s="339">
        <f>SUM(AE80:AE90)</f>
        <v/>
      </c>
      <c r="K89" s="340" t="n"/>
      <c r="L89" s="341">
        <f>SUM(BA80:BA90)</f>
        <v/>
      </c>
    </row>
    <row r="90" ht="15" customHeight="1" s="197">
      <c r="C90" s="342" t="inlineStr">
        <is>
          <t>Всего по позиции</t>
        </is>
      </c>
      <c r="I90" s="343">
        <f>J82+J83+J88+J89+SUM(J86:J86)-SUMIF(CE86:CE86, 1, J86:J86)</f>
        <v/>
      </c>
      <c r="J90" s="199" t="n"/>
      <c r="K90" s="344">
        <f>L82+L83+L88+L89+SUM(L86:L86)-SUMIF(CE86:CE86, 1, L86:L86)</f>
        <v/>
      </c>
      <c r="L90" s="199" t="n"/>
      <c r="O90" s="345">
        <f>J82+J83+J88+J89</f>
        <v/>
      </c>
      <c r="P90">
        <f>0</f>
        <v/>
      </c>
      <c r="R90" t="inlineStr">
        <is>
          <t>=</t>
        </is>
      </c>
      <c r="S90" s="345">
        <f>J82</f>
        <v/>
      </c>
      <c r="U90" s="345">
        <f>J82</f>
        <v/>
      </c>
      <c r="X90">
        <f>0</f>
        <v/>
      </c>
      <c r="Z90" t="inlineStr">
        <is>
          <t>=</t>
        </is>
      </c>
      <c r="AA90" s="345">
        <f>J83</f>
        <v/>
      </c>
      <c r="AD90">
        <f>ROUND((Source!AT603/100)*((ROUND(Source!AF603*Source!I603, 2)+(ROUND((ROUND(((Source!EU603)*Source!I603),0)),0)+ROUND((ROUND(((Source!AE603-(Source!EU603))*Source!I603),0)),0)))), 2)</f>
        <v/>
      </c>
      <c r="AE90">
        <f>ROUND((Source!AU603/100)*((ROUND(Source!AF603*Source!I603, 2)+(ROUND((ROUND(((Source!EU603)*Source!I603),0)),0)+ROUND((ROUND(((Source!AE603-(Source!EU603))*Source!I603),0)),0)))), 2)</f>
        <v/>
      </c>
      <c r="AN90" s="346">
        <f>L82+L83+L88+L89</f>
        <v/>
      </c>
      <c r="AO90">
        <f>0</f>
        <v/>
      </c>
      <c r="AQ90" t="inlineStr">
        <is>
          <t>=</t>
        </is>
      </c>
      <c r="AR90" s="346">
        <f>L82</f>
        <v/>
      </c>
      <c r="AT90">
        <f>0</f>
        <v/>
      </c>
      <c r="AV90" t="inlineStr">
        <is>
          <t>=</t>
        </is>
      </c>
      <c r="AW90" s="346">
        <f>L83</f>
        <v/>
      </c>
      <c r="AZ90">
        <f>Source!X603</f>
        <v/>
      </c>
      <c r="BA90">
        <f>Source!Y603</f>
        <v/>
      </c>
      <c r="BH90" s="345">
        <f>J82+J83+J88+J89</f>
        <v/>
      </c>
      <c r="CD90" t="n">
        <v>1</v>
      </c>
    </row>
    <row r="91" ht="57" customHeight="1" s="197">
      <c r="A91" s="329" t="inlineStr">
        <is>
          <t>4</t>
        </is>
      </c>
      <c r="B91" s="329">
        <f>Source!F605</f>
        <v/>
      </c>
      <c r="C91" s="329">
        <f>Source!G605</f>
        <v/>
      </c>
      <c r="D91" s="330">
        <f>Source!H605</f>
        <v/>
      </c>
      <c r="E91" s="331">
        <f>Source!K605</f>
        <v/>
      </c>
      <c r="F91" s="331" t="n"/>
      <c r="G91" s="331">
        <f>Source!I605</f>
        <v/>
      </c>
      <c r="H91" s="332" t="n"/>
      <c r="I91" s="333" t="n"/>
      <c r="J91" s="332" t="n"/>
      <c r="K91" s="333" t="n"/>
      <c r="L91" s="334" t="n"/>
    </row>
    <row r="92">
      <c r="C92" s="335">
        <f>"Объем: "&amp;Source!I605&amp;"=8/"&amp;"100"</f>
        <v/>
      </c>
    </row>
    <row r="93" ht="14.25" customHeight="1" s="197">
      <c r="A93" s="329" t="n"/>
      <c r="B93" s="333" t="n">
        <v>1</v>
      </c>
      <c r="C93" s="329" t="inlineStr">
        <is>
          <t>ОТ</t>
        </is>
      </c>
      <c r="D93" s="330" t="n"/>
      <c r="E93" s="331" t="n"/>
      <c r="F93" s="331" t="n"/>
      <c r="G93" s="331" t="n"/>
      <c r="H93" s="332">
        <f>Source!AO605</f>
        <v/>
      </c>
      <c r="I93" s="333" t="n"/>
      <c r="J93" s="332">
        <f>ROUND(Source!AF605*Source!I605, 2)</f>
        <v/>
      </c>
      <c r="K93" s="333">
        <f>IF(Source!BA605&lt;&gt; 0, Source!BA605, 1)</f>
        <v/>
      </c>
      <c r="L93" s="334">
        <f>Source!S605</f>
        <v/>
      </c>
    </row>
    <row r="94" ht="14.25" customHeight="1" s="197">
      <c r="A94" s="329" t="n"/>
      <c r="B94" s="329" t="n"/>
      <c r="C94" s="336" t="inlineStr">
        <is>
          <t>ЗТ</t>
        </is>
      </c>
      <c r="D94" s="337" t="inlineStr">
        <is>
          <t>чел.-ч.</t>
        </is>
      </c>
      <c r="E94" s="338">
        <f>Source!AQ605</f>
        <v/>
      </c>
      <c r="F94" s="338" t="n"/>
      <c r="G94" s="338">
        <f>ROUND(Source!U605, 7)</f>
        <v/>
      </c>
      <c r="H94" s="339" t="n"/>
      <c r="I94" s="340" t="n"/>
      <c r="J94" s="339" t="n"/>
      <c r="K94" s="340" t="n"/>
      <c r="L94" s="341" t="n"/>
    </row>
    <row r="95" ht="14.25" customHeight="1" s="197">
      <c r="A95" s="329" t="n"/>
      <c r="B95" s="329" t="n"/>
      <c r="C95" s="329" t="inlineStr">
        <is>
          <t>Итого по расценке</t>
        </is>
      </c>
      <c r="D95" s="330" t="n"/>
      <c r="E95" s="331" t="n"/>
      <c r="F95" s="331" t="n"/>
      <c r="G95" s="331" t="n"/>
      <c r="H95" s="332">
        <f>H93</f>
        <v/>
      </c>
      <c r="I95" s="333" t="n"/>
      <c r="J95" s="332">
        <f>J93</f>
        <v/>
      </c>
      <c r="K95" s="333" t="n"/>
      <c r="L95" s="334">
        <f>L93</f>
        <v/>
      </c>
    </row>
    <row r="96" ht="14.25" customHeight="1" s="197">
      <c r="A96" s="329" t="n"/>
      <c r="B96" s="329" t="n"/>
      <c r="C96" s="329" t="inlineStr">
        <is>
          <t>ФОТ</t>
        </is>
      </c>
      <c r="D96" s="330" t="n"/>
      <c r="E96" s="331" t="n"/>
      <c r="F96" s="331" t="n"/>
      <c r="G96" s="331" t="n"/>
      <c r="H96" s="332" t="n"/>
      <c r="I96" s="333" t="n"/>
      <c r="J96" s="332">
        <f>SUM(S91:S99)+SUM(T91:T99)+SUM(X91:X99)+SUM(Y91:Y99)+SUM(Z91:Z99)</f>
        <v/>
      </c>
      <c r="K96" s="333" t="n"/>
      <c r="L96" s="334">
        <f>SUM(AR91:AR99)+SUM(AS91:AS99)+SUM(AT91:AT99)+SUM(AU91:AU99)+SUM(AV91:AV99)</f>
        <v/>
      </c>
    </row>
    <row r="97" ht="28.5" customHeight="1" s="197">
      <c r="A97" s="329" t="n"/>
      <c r="B97" s="329" t="inlineStr">
        <is>
          <t>Пр/812-099.1-1</t>
        </is>
      </c>
      <c r="C97" s="329" t="inlineStr">
        <is>
          <t>НР Внутренние санитарнотехнические работы: демонтаж и разборка</t>
        </is>
      </c>
      <c r="D97" s="330" t="inlineStr">
        <is>
          <t>%</t>
        </is>
      </c>
      <c r="E97" s="331">
        <f>Source!BZ605</f>
        <v/>
      </c>
      <c r="F97" s="331" t="n"/>
      <c r="G97" s="331">
        <f>Source!AT605</f>
        <v/>
      </c>
      <c r="H97" s="332" t="n"/>
      <c r="I97" s="333" t="n"/>
      <c r="J97" s="332">
        <f>SUM(AD91:AD99)</f>
        <v/>
      </c>
      <c r="K97" s="333" t="n"/>
      <c r="L97" s="334">
        <f>SUM(AZ91:AZ99)</f>
        <v/>
      </c>
    </row>
    <row r="98" ht="28.5" customHeight="1" s="197">
      <c r="A98" s="336" t="n"/>
      <c r="B98" s="336" t="inlineStr">
        <is>
          <t>Пр/774-099.1</t>
        </is>
      </c>
      <c r="C98" s="336" t="inlineStr">
        <is>
          <t>СП Внутренние санитарнотехнические работы: демонтаж и разборка</t>
        </is>
      </c>
      <c r="D98" s="337" t="inlineStr">
        <is>
          <t>%</t>
        </is>
      </c>
      <c r="E98" s="338">
        <f>Source!CA605</f>
        <v/>
      </c>
      <c r="F98" s="338" t="n"/>
      <c r="G98" s="338">
        <f>Source!AU605</f>
        <v/>
      </c>
      <c r="H98" s="339" t="n"/>
      <c r="I98" s="340" t="n"/>
      <c r="J98" s="339">
        <f>SUM(AE91:AE99)</f>
        <v/>
      </c>
      <c r="K98" s="340" t="n"/>
      <c r="L98" s="341">
        <f>SUM(BA91:BA99)</f>
        <v/>
      </c>
    </row>
    <row r="99" ht="15" customHeight="1" s="197">
      <c r="C99" s="342" t="inlineStr">
        <is>
          <t>Всего по позиции</t>
        </is>
      </c>
      <c r="I99" s="343">
        <f>J93+J97+J98</f>
        <v/>
      </c>
      <c r="J99" s="199" t="n"/>
      <c r="K99" s="344">
        <f>L93+L97+L98</f>
        <v/>
      </c>
      <c r="L99" s="199" t="n"/>
      <c r="O99" s="345">
        <f>J93+J97+J98</f>
        <v/>
      </c>
      <c r="P99">
        <f>0</f>
        <v/>
      </c>
      <c r="R99" t="inlineStr">
        <is>
          <t>=</t>
        </is>
      </c>
      <c r="S99" s="345">
        <f>J93</f>
        <v/>
      </c>
      <c r="U99" s="345">
        <f>J93</f>
        <v/>
      </c>
      <c r="X99">
        <f>0</f>
        <v/>
      </c>
      <c r="Z99" t="inlineStr">
        <is>
          <t>=</t>
        </is>
      </c>
      <c r="AA99">
        <f>0</f>
        <v/>
      </c>
      <c r="AD99">
        <f>ROUND((Source!AT605/100)*((ROUND(Source!AF605*Source!I605, 2)+(ROUND((ROUND(((Source!EU605)*Source!I605),0)),0)+ROUND((ROUND(((Source!AE605-(Source!EU605))*Source!I605),0)),0)))), 2)</f>
        <v/>
      </c>
      <c r="AE99">
        <f>ROUND((Source!AU605/100)*((ROUND(Source!AF605*Source!I605, 2)+(ROUND((ROUND(((Source!EU605)*Source!I605),0)),0)+ROUND((ROUND(((Source!AE605-(Source!EU605))*Source!I605),0)),0)))), 2)</f>
        <v/>
      </c>
      <c r="AN99" s="346">
        <f>L93+L97+L98</f>
        <v/>
      </c>
      <c r="AO99">
        <f>0</f>
        <v/>
      </c>
      <c r="AQ99" t="inlineStr">
        <is>
          <t>=</t>
        </is>
      </c>
      <c r="AR99" s="346">
        <f>L93</f>
        <v/>
      </c>
      <c r="AT99">
        <f>0</f>
        <v/>
      </c>
      <c r="AV99" t="inlineStr">
        <is>
          <t>=</t>
        </is>
      </c>
      <c r="AW99">
        <f>0</f>
        <v/>
      </c>
      <c r="AZ99">
        <f>Source!X605</f>
        <v/>
      </c>
      <c r="BA99">
        <f>Source!Y605</f>
        <v/>
      </c>
      <c r="BH99" s="345">
        <f>J93+J97+J98</f>
        <v/>
      </c>
      <c r="CD99" t="n">
        <v>1</v>
      </c>
    </row>
    <row r="100" ht="57" customHeight="1" s="197">
      <c r="A100" s="329" t="inlineStr">
        <is>
          <t>5</t>
        </is>
      </c>
      <c r="B100" s="329">
        <f>Source!F606</f>
        <v/>
      </c>
      <c r="C100" s="329">
        <f>Source!G606</f>
        <v/>
      </c>
      <c r="D100" s="330">
        <f>Source!H606</f>
        <v/>
      </c>
      <c r="E100" s="331">
        <f>Source!K606</f>
        <v/>
      </c>
      <c r="F100" s="331" t="n"/>
      <c r="G100" s="331">
        <f>Source!I606</f>
        <v/>
      </c>
      <c r="H100" s="332" t="n"/>
      <c r="I100" s="333" t="n"/>
      <c r="J100" s="332" t="n"/>
      <c r="K100" s="333" t="n"/>
      <c r="L100" s="334" t="n"/>
    </row>
    <row r="101">
      <c r="C101" s="335">
        <f>"Объем: "&amp;Source!I606&amp;"=8/"&amp;"100"</f>
        <v/>
      </c>
    </row>
    <row r="102" ht="14.25" customHeight="1" s="197">
      <c r="A102" s="329" t="n"/>
      <c r="B102" s="333" t="n">
        <v>1</v>
      </c>
      <c r="C102" s="329" t="inlineStr">
        <is>
          <t>ОТ</t>
        </is>
      </c>
      <c r="D102" s="330" t="n"/>
      <c r="E102" s="331" t="n"/>
      <c r="F102" s="331" t="n"/>
      <c r="G102" s="331" t="n"/>
      <c r="H102" s="332">
        <f>Source!AO606</f>
        <v/>
      </c>
      <c r="I102" s="333" t="n"/>
      <c r="J102" s="332">
        <f>ROUND(Source!AF606*Source!I606, 2)</f>
        <v/>
      </c>
      <c r="K102" s="333">
        <f>IF(Source!BA606&lt;&gt; 0, Source!BA606, 1)</f>
        <v/>
      </c>
      <c r="L102" s="334">
        <f>Source!S606</f>
        <v/>
      </c>
    </row>
    <row r="103" ht="14.25" customHeight="1" s="197">
      <c r="A103" s="329" t="n"/>
      <c r="B103" s="333" t="n">
        <v>2</v>
      </c>
      <c r="C103" s="329" t="inlineStr">
        <is>
          <t>ЭМ</t>
        </is>
      </c>
      <c r="D103" s="330" t="n"/>
      <c r="E103" s="331" t="n"/>
      <c r="F103" s="331" t="n"/>
      <c r="G103" s="331" t="n"/>
      <c r="H103" s="332">
        <f>Source!AM606</f>
        <v/>
      </c>
      <c r="I103" s="333" t="n"/>
      <c r="J103" s="332">
        <f>(ROUND((ROUND(((Source!ET606)*Source!I606),0)),0)+ROUND((ROUND(((Source!AE606-(Source!EU606))*Source!I606),0)),0))</f>
        <v/>
      </c>
      <c r="K103" s="333">
        <f>IF(Source!BB606&lt;&gt; 0, Source!BB606, 1)</f>
        <v/>
      </c>
      <c r="L103" s="334">
        <f>Source!Q606</f>
        <v/>
      </c>
    </row>
    <row r="104" ht="14.25" customHeight="1" s="197">
      <c r="A104" s="329" t="n"/>
      <c r="B104" s="333" t="n">
        <v>3</v>
      </c>
      <c r="C104" s="329" t="inlineStr">
        <is>
          <t>в т.ч. ОТм</t>
        </is>
      </c>
      <c r="D104" s="330" t="n"/>
      <c r="E104" s="331" t="n"/>
      <c r="F104" s="331" t="n"/>
      <c r="G104" s="331" t="n"/>
      <c r="H104" s="332">
        <f>Source!AN606</f>
        <v/>
      </c>
      <c r="I104" s="333" t="n"/>
      <c r="J104" s="347">
        <f>(ROUND((ROUND(((Source!EU606)*Source!I606),0)),0)+ROUND((ROUND(((Source!AE606-(Source!EU606))*Source!I606),0)),0))</f>
        <v/>
      </c>
      <c r="K104" s="333">
        <f>IF(Source!BS606&lt;&gt; 0, Source!BS606, 1)</f>
        <v/>
      </c>
      <c r="L104" s="348">
        <f>Source!R606</f>
        <v/>
      </c>
    </row>
    <row r="105" ht="14.25" customHeight="1" s="197">
      <c r="A105" s="329" t="n"/>
      <c r="B105" s="333" t="n">
        <v>4</v>
      </c>
      <c r="C105" s="329" t="inlineStr">
        <is>
          <t>М</t>
        </is>
      </c>
      <c r="D105" s="330" t="n"/>
      <c r="E105" s="331" t="n"/>
      <c r="F105" s="331" t="n"/>
      <c r="G105" s="331" t="n"/>
      <c r="H105" s="332">
        <f>Source!AL606</f>
        <v/>
      </c>
      <c r="I105" s="333" t="n"/>
      <c r="J105" s="332">
        <f>ROUND(Source!AC606*Source!I606, 2)</f>
        <v/>
      </c>
      <c r="K105" s="333">
        <f>IF(Source!BC606&lt;&gt; 0, Source!BC606, 1)</f>
        <v/>
      </c>
      <c r="L105" s="334">
        <f>Source!P606</f>
        <v/>
      </c>
    </row>
    <row r="106" ht="14.25" customHeight="1" s="197">
      <c r="A106" s="329" t="n"/>
      <c r="B106" s="329" t="n"/>
      <c r="C106" s="329" t="inlineStr">
        <is>
          <t>ЗТ</t>
        </is>
      </c>
      <c r="D106" s="330" t="inlineStr">
        <is>
          <t>чел.-ч.</t>
        </is>
      </c>
      <c r="E106" s="331">
        <f>Source!AQ606</f>
        <v/>
      </c>
      <c r="F106" s="331" t="n"/>
      <c r="G106" s="331">
        <f>ROUND(Source!U606, 7)</f>
        <v/>
      </c>
      <c r="H106" s="332" t="n"/>
      <c r="I106" s="333" t="n"/>
      <c r="J106" s="332" t="n"/>
      <c r="K106" s="333" t="n"/>
      <c r="L106" s="334" t="n"/>
    </row>
    <row r="107" ht="14.25" customHeight="1" s="197">
      <c r="A107" s="329" t="n"/>
      <c r="B107" s="329" t="n"/>
      <c r="C107" s="336" t="inlineStr">
        <is>
          <t>ЗТм</t>
        </is>
      </c>
      <c r="D107" s="337" t="inlineStr">
        <is>
          <t>чел.-ч.</t>
        </is>
      </c>
      <c r="E107" s="338">
        <f>Source!AR606</f>
        <v/>
      </c>
      <c r="F107" s="338" t="n"/>
      <c r="G107" s="338">
        <f>ROUND(Source!V606, 7)</f>
        <v/>
      </c>
      <c r="H107" s="339" t="n"/>
      <c r="I107" s="340" t="n"/>
      <c r="J107" s="339" t="n"/>
      <c r="K107" s="340" t="n"/>
      <c r="L107" s="341" t="n"/>
    </row>
    <row r="108" ht="14.25" customHeight="1" s="197">
      <c r="A108" s="329" t="n"/>
      <c r="B108" s="329" t="n"/>
      <c r="C108" s="329" t="inlineStr">
        <is>
          <t>Итого по расценке</t>
        </is>
      </c>
      <c r="D108" s="330" t="n"/>
      <c r="E108" s="331" t="n"/>
      <c r="F108" s="331" t="n"/>
      <c r="G108" s="331" t="n"/>
      <c r="H108" s="332">
        <f>H102+H103+H105</f>
        <v/>
      </c>
      <c r="I108" s="333" t="n"/>
      <c r="J108" s="332">
        <f>J102+J103+J105</f>
        <v/>
      </c>
      <c r="K108" s="333" t="n"/>
      <c r="L108" s="334">
        <f>L102+L103+L105</f>
        <v/>
      </c>
    </row>
    <row r="109" ht="28.5" customHeight="1" s="197">
      <c r="A109" s="329" t="inlineStr">
        <is>
          <t>5.1</t>
        </is>
      </c>
      <c r="B109" s="329">
        <f>Source!F607</f>
        <v/>
      </c>
      <c r="C109" s="329">
        <f>Source!G607</f>
        <v/>
      </c>
      <c r="D109" s="330">
        <f>Source!H607</f>
        <v/>
      </c>
      <c r="E109" s="331">
        <f>SmtRes!AT313</f>
        <v/>
      </c>
      <c r="F109" s="331" t="n"/>
      <c r="G109" s="331">
        <f>Source!I607</f>
        <v/>
      </c>
      <c r="H109" s="332">
        <f>Source!AL607+Source!AO607+Source!AM607</f>
        <v/>
      </c>
      <c r="I109" s="333" t="n"/>
      <c r="J109" s="332">
        <f>ROUND(Source!AC607*Source!I607, 2)+(ROUND((ROUND(((Source!ET607)*Source!I607),0)),0)+ROUND((ROUND(((Source!AE607-(Source!EU607))*Source!I607),0)),0))+ROUND(Source!AF607*Source!I607, 2)</f>
        <v/>
      </c>
      <c r="K109" s="333">
        <f>IF(Source!BC607&lt;&gt; 0, Source!BC607, 1)</f>
        <v/>
      </c>
      <c r="L109" s="334">
        <f>Source!P607</f>
        <v/>
      </c>
      <c r="O109">
        <f>J109</f>
        <v/>
      </c>
      <c r="AA109">
        <f>J109</f>
        <v/>
      </c>
      <c r="AD109">
        <f>ROUND((Source!AT607/100)*((ROUND(Source!AF607*Source!I607, 2)+(ROUND((ROUND(((Source!EU607)*Source!I607),0)),0)+ROUND((ROUND(((Source!AE607-(Source!EU607))*Source!I607),0)),0)))), 2)</f>
        <v/>
      </c>
      <c r="AE109">
        <f>ROUND((Source!AU607/100)*((ROUND(Source!AF607*Source!I607, 2)+(ROUND((ROUND(((Source!EU607)*Source!I607),0)),0)+ROUND((ROUND(((Source!AE607-(Source!EU607))*Source!I607),0)),0)))), 2)</f>
        <v/>
      </c>
      <c r="AN109">
        <f>L109</f>
        <v/>
      </c>
      <c r="AW109">
        <f>L109</f>
        <v/>
      </c>
      <c r="AZ109">
        <f>Source!X607</f>
        <v/>
      </c>
      <c r="BA109">
        <f>Source!Y607</f>
        <v/>
      </c>
      <c r="BH109">
        <f>J109</f>
        <v/>
      </c>
      <c r="CD109" t="n">
        <v>1</v>
      </c>
    </row>
    <row r="110" ht="42.75" customHeight="1" s="197">
      <c r="A110" s="329" t="inlineStr">
        <is>
          <t>5.2</t>
        </is>
      </c>
      <c r="B110" s="329">
        <f>Source!F608</f>
        <v/>
      </c>
      <c r="C110" s="329">
        <f>Source!G608</f>
        <v/>
      </c>
      <c r="D110" s="330">
        <f>Source!H608</f>
        <v/>
      </c>
      <c r="E110" s="331">
        <f>SmtRes!AT314</f>
        <v/>
      </c>
      <c r="F110" s="331" t="n"/>
      <c r="G110" s="331">
        <f>Source!I608</f>
        <v/>
      </c>
      <c r="H110" s="332">
        <f>Source!AL608+Source!AO608+Source!AM608</f>
        <v/>
      </c>
      <c r="I110" s="333" t="n"/>
      <c r="J110" s="332">
        <f>ROUND(Source!AC608*Source!I608, 2)+(ROUND((ROUND(((Source!ET608)*Source!I608),0)),0)+ROUND((ROUND(((Source!AE608-(Source!EU608))*Source!I608),0)),0))+ROUND(Source!AF608*Source!I608, 2)</f>
        <v/>
      </c>
      <c r="K110" s="333">
        <f>IF(Source!BC608&lt;&gt; 0, Source!BC608, 1)</f>
        <v/>
      </c>
      <c r="L110" s="334">
        <f>Source!P608</f>
        <v/>
      </c>
      <c r="O110">
        <f>J110</f>
        <v/>
      </c>
      <c r="AA110">
        <f>J110</f>
        <v/>
      </c>
      <c r="AD110">
        <f>ROUND((Source!AT608/100)*((ROUND(Source!AF608*Source!I608, 2)+(ROUND((ROUND(((Source!EU608)*Source!I608),0)),0)+ROUND((ROUND(((Source!AE608-(Source!EU608))*Source!I608),0)),0)))), 2)</f>
        <v/>
      </c>
      <c r="AE110">
        <f>ROUND((Source!AU608/100)*((ROUND(Source!AF608*Source!I608, 2)+(ROUND((ROUND(((Source!EU608)*Source!I608),0)),0)+ROUND((ROUND(((Source!AE608-(Source!EU608))*Source!I608),0)),0)))), 2)</f>
        <v/>
      </c>
      <c r="AN110">
        <f>L110</f>
        <v/>
      </c>
      <c r="AW110">
        <f>L110</f>
        <v/>
      </c>
      <c r="AZ110">
        <f>Source!X608</f>
        <v/>
      </c>
      <c r="BA110">
        <f>Source!Y608</f>
        <v/>
      </c>
      <c r="BH110">
        <f>J110</f>
        <v/>
      </c>
      <c r="CD110" t="n">
        <v>1</v>
      </c>
    </row>
    <row r="111" ht="42.75" customHeight="1" s="197">
      <c r="A111" s="329" t="inlineStr">
        <is>
          <t>5.3</t>
        </is>
      </c>
      <c r="B111" s="329">
        <f>Source!F609</f>
        <v/>
      </c>
      <c r="C111" s="329">
        <f>Source!G609</f>
        <v/>
      </c>
      <c r="D111" s="330">
        <f>Source!H609</f>
        <v/>
      </c>
      <c r="E111" s="331">
        <f>SmtRes!AT315</f>
        <v/>
      </c>
      <c r="F111" s="331" t="n"/>
      <c r="G111" s="331">
        <f>Source!I609</f>
        <v/>
      </c>
      <c r="H111" s="332">
        <f>Source!AL609+Source!AO609+Source!AM609</f>
        <v/>
      </c>
      <c r="I111" s="333" t="n"/>
      <c r="J111" s="332">
        <f>ROUND(Source!AC609*Source!I609, 2)+(ROUND((ROUND(((Source!ET609)*Source!I609),0)),0)+ROUND((ROUND(((Source!AE609-(Source!EU609))*Source!I609),0)),0))+ROUND(Source!AF609*Source!I609, 2)</f>
        <v/>
      </c>
      <c r="K111" s="333">
        <f>IF(Source!BC609&lt;&gt; 0, Source!BC609, 1)</f>
        <v/>
      </c>
      <c r="L111" s="334">
        <f>Source!P609</f>
        <v/>
      </c>
      <c r="O111">
        <f>J111</f>
        <v/>
      </c>
      <c r="AA111">
        <f>J111</f>
        <v/>
      </c>
      <c r="AD111">
        <f>ROUND((Source!AT609/100)*((ROUND(Source!AF609*Source!I609, 2)+(ROUND((ROUND(((Source!EU609)*Source!I609),0)),0)+ROUND((ROUND(((Source!AE609-(Source!EU609))*Source!I609),0)),0)))), 2)</f>
        <v/>
      </c>
      <c r="AE111">
        <f>ROUND((Source!AU609/100)*((ROUND(Source!AF609*Source!I609, 2)+(ROUND((ROUND(((Source!EU609)*Source!I609),0)),0)+ROUND((ROUND(((Source!AE609-(Source!EU609))*Source!I609),0)),0)))), 2)</f>
        <v/>
      </c>
      <c r="AN111">
        <f>L111</f>
        <v/>
      </c>
      <c r="AW111">
        <f>L111</f>
        <v/>
      </c>
      <c r="AZ111">
        <f>Source!X609</f>
        <v/>
      </c>
      <c r="BA111">
        <f>Source!Y609</f>
        <v/>
      </c>
      <c r="BH111">
        <f>J111</f>
        <v/>
      </c>
      <c r="CD111" t="n">
        <v>1</v>
      </c>
    </row>
    <row r="112" ht="28.5" customHeight="1" s="197">
      <c r="A112" s="329" t="inlineStr">
        <is>
          <t>5.4</t>
        </is>
      </c>
      <c r="B112" s="329">
        <f>Source!F610</f>
        <v/>
      </c>
      <c r="C112" s="329">
        <f>Source!G610</f>
        <v/>
      </c>
      <c r="D112" s="330">
        <f>Source!H610</f>
        <v/>
      </c>
      <c r="E112" s="331">
        <f>SmtRes!AT309</f>
        <v/>
      </c>
      <c r="F112" s="331" t="n"/>
      <c r="G112" s="331">
        <f>Source!I610</f>
        <v/>
      </c>
      <c r="H112" s="332">
        <f>Source!AL610+Source!AO610+Source!AM610</f>
        <v/>
      </c>
      <c r="I112" s="333" t="n"/>
      <c r="J112" s="332">
        <f>ROUND(Source!AC610*Source!I610, 2)+(ROUND((ROUND(((Source!ET610)*Source!I610),0)),0)+ROUND((ROUND(((Source!AE610-(Source!EU610))*Source!I610),0)),0))+ROUND(Source!AF610*Source!I610, 2)</f>
        <v/>
      </c>
      <c r="K112" s="333">
        <f>IF(Source!BC610&lt;&gt; 0, Source!BC610, 1)</f>
        <v/>
      </c>
      <c r="L112" s="334">
        <f>Source!P610</f>
        <v/>
      </c>
      <c r="O112">
        <f>J112</f>
        <v/>
      </c>
      <c r="AA112">
        <f>J112</f>
        <v/>
      </c>
      <c r="AD112">
        <f>ROUND((Source!AT610/100)*((ROUND(Source!AF610*Source!I610, 2)+(ROUND((ROUND(((Source!EU610)*Source!I610),0)),0)+ROUND((ROUND(((Source!AE610-(Source!EU610))*Source!I610),0)),0)))), 2)</f>
        <v/>
      </c>
      <c r="AE112">
        <f>ROUND((Source!AU610/100)*((ROUND(Source!AF610*Source!I610, 2)+(ROUND((ROUND(((Source!EU610)*Source!I610),0)),0)+ROUND((ROUND(((Source!AE610-(Source!EU610))*Source!I610),0)),0)))), 2)</f>
        <v/>
      </c>
      <c r="AN112">
        <f>L112</f>
        <v/>
      </c>
      <c r="AW112">
        <f>L112</f>
        <v/>
      </c>
      <c r="AZ112">
        <f>Source!X610</f>
        <v/>
      </c>
      <c r="BA112">
        <f>Source!Y610</f>
        <v/>
      </c>
      <c r="BH112">
        <f>J112</f>
        <v/>
      </c>
      <c r="CD112" t="n">
        <v>1</v>
      </c>
    </row>
    <row r="113" ht="14.25" customHeight="1" s="197">
      <c r="A113" s="329" t="n"/>
      <c r="B113" s="329" t="n"/>
      <c r="C113" s="329" t="inlineStr">
        <is>
          <t>ФОТ</t>
        </is>
      </c>
      <c r="D113" s="330" t="n"/>
      <c r="E113" s="331" t="n"/>
      <c r="F113" s="331" t="n"/>
      <c r="G113" s="331" t="n"/>
      <c r="H113" s="332" t="n"/>
      <c r="I113" s="333" t="n"/>
      <c r="J113" s="332">
        <f>SUM(S100:S116)+SUM(T100:T116)+SUM(X100:X116)+SUM(Y100:Y116)+SUM(Z100:Z116)</f>
        <v/>
      </c>
      <c r="K113" s="333" t="n"/>
      <c r="L113" s="334">
        <f>SUM(AR100:AR116)+SUM(AS100:AS116)+SUM(AT100:AT116)+SUM(AU100:AU116)+SUM(AV100:AV116)</f>
        <v/>
      </c>
    </row>
    <row r="114" ht="71.25" customHeight="1" s="197">
      <c r="A114" s="329" t="n"/>
      <c r="B114" s="329" t="inlineStr">
        <is>
          <t>Пр/812-016.0-1</t>
        </is>
      </c>
      <c r="C114" s="32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14" s="330" t="inlineStr">
        <is>
          <t>%</t>
        </is>
      </c>
      <c r="E114" s="331">
        <f>Source!BZ606</f>
        <v/>
      </c>
      <c r="F114" s="331" t="n"/>
      <c r="G114" s="331">
        <f>Source!AT606</f>
        <v/>
      </c>
      <c r="H114" s="332" t="n"/>
      <c r="I114" s="333" t="n"/>
      <c r="J114" s="332">
        <f>SUM(AD100:AD116)</f>
        <v/>
      </c>
      <c r="K114" s="333" t="n"/>
      <c r="L114" s="334">
        <f>SUM(AZ100:AZ116)</f>
        <v/>
      </c>
    </row>
    <row r="115" ht="71.25" customHeight="1" s="197">
      <c r="A115" s="336" t="n"/>
      <c r="B115" s="336" t="inlineStr">
        <is>
          <t>Пр/774-016.0</t>
        </is>
      </c>
      <c r="C115" s="33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15" s="337" t="inlineStr">
        <is>
          <t>%</t>
        </is>
      </c>
      <c r="E115" s="338">
        <f>Source!CA606</f>
        <v/>
      </c>
      <c r="F115" s="338" t="n"/>
      <c r="G115" s="338">
        <f>Source!AU606</f>
        <v/>
      </c>
      <c r="H115" s="339" t="n"/>
      <c r="I115" s="340" t="n"/>
      <c r="J115" s="339">
        <f>SUM(AE100:AE116)</f>
        <v/>
      </c>
      <c r="K115" s="340" t="n"/>
      <c r="L115" s="341">
        <f>SUM(BA100:BA116)</f>
        <v/>
      </c>
    </row>
    <row r="116" ht="15" customHeight="1" s="197">
      <c r="C116" s="342" t="inlineStr">
        <is>
          <t>Всего по позиции</t>
        </is>
      </c>
      <c r="I116" s="343">
        <f>J102+J103+J105+J114+J115+SUM(J109:J112)-SUMIF(CE109:CE112, 1, J109:J112)</f>
        <v/>
      </c>
      <c r="J116" s="199" t="n"/>
      <c r="K116" s="344">
        <f>L102+L103+L105+L114+L115+SUM(L109:L112)-SUMIF(CE109:CE112, 1, L109:L112)</f>
        <v/>
      </c>
      <c r="L116" s="199" t="n"/>
      <c r="O116" s="345">
        <f>J102+J103+J105+J114+J115</f>
        <v/>
      </c>
      <c r="P116" s="345">
        <f>J103</f>
        <v/>
      </c>
      <c r="R116" t="inlineStr">
        <is>
          <t>=</t>
        </is>
      </c>
      <c r="S116" s="345">
        <f>J102</f>
        <v/>
      </c>
      <c r="U116" s="345">
        <f>J102</f>
        <v/>
      </c>
      <c r="X116" s="345">
        <f>J104</f>
        <v/>
      </c>
      <c r="Z116" t="inlineStr">
        <is>
          <t>=</t>
        </is>
      </c>
      <c r="AA116" s="345">
        <f>J105</f>
        <v/>
      </c>
      <c r="AD116">
        <f>ROUND((Source!AT606/100)*((ROUND(Source!AF606*Source!I606, 2)+(ROUND((ROUND(((Source!EU606)*Source!I606),0)),0)+ROUND((ROUND(((Source!AE606-(Source!EU606))*Source!I606),0)),0)))), 2)</f>
        <v/>
      </c>
      <c r="AE116">
        <f>ROUND((Source!AU606/100)*((ROUND(Source!AF606*Source!I606, 2)+(ROUND((ROUND(((Source!EU606)*Source!I606),0)),0)+ROUND((ROUND(((Source!AE606-(Source!EU606))*Source!I606),0)),0)))), 2)</f>
        <v/>
      </c>
      <c r="AN116" s="346">
        <f>L102+L103+L105+L114+L115</f>
        <v/>
      </c>
      <c r="AO116" s="346">
        <f>L103</f>
        <v/>
      </c>
      <c r="AQ116" t="inlineStr">
        <is>
          <t>=</t>
        </is>
      </c>
      <c r="AR116" s="346">
        <f>L102</f>
        <v/>
      </c>
      <c r="AT116" s="346">
        <f>L104</f>
        <v/>
      </c>
      <c r="AV116" t="inlineStr">
        <is>
          <t>=</t>
        </is>
      </c>
      <c r="AW116" s="346">
        <f>L105</f>
        <v/>
      </c>
      <c r="AZ116">
        <f>Source!X606</f>
        <v/>
      </c>
      <c r="BA116">
        <f>Source!Y606</f>
        <v/>
      </c>
      <c r="BH116" s="345">
        <f>J102+J103+J105+J114+J115</f>
        <v/>
      </c>
      <c r="CD116" t="n">
        <v>1</v>
      </c>
    </row>
    <row r="117" ht="28.5" customHeight="1" s="197">
      <c r="A117" s="329" t="inlineStr">
        <is>
          <t>6</t>
        </is>
      </c>
      <c r="B117" s="329">
        <f>Source!F611</f>
        <v/>
      </c>
      <c r="C117" s="329">
        <f>Source!G611</f>
        <v/>
      </c>
      <c r="D117" s="330">
        <f>Source!H611</f>
        <v/>
      </c>
      <c r="E117" s="331">
        <f>Source!K611</f>
        <v/>
      </c>
      <c r="F117" s="331" t="n"/>
      <c r="G117" s="331">
        <f>Source!I611</f>
        <v/>
      </c>
      <c r="H117" s="332" t="n"/>
      <c r="I117" s="333" t="n"/>
      <c r="J117" s="332" t="n"/>
      <c r="K117" s="333" t="n"/>
      <c r="L117" s="334" t="n"/>
    </row>
    <row r="118">
      <c r="C118" s="335">
        <f>"Объем: "&amp;Source!I611&amp;"=1/"&amp;"100"</f>
        <v/>
      </c>
    </row>
    <row r="119" ht="14.25" customHeight="1" s="197">
      <c r="A119" s="329" t="n"/>
      <c r="B119" s="333" t="n">
        <v>1</v>
      </c>
      <c r="C119" s="329" t="inlineStr">
        <is>
          <t>ОТ</t>
        </is>
      </c>
      <c r="D119" s="330" t="n"/>
      <c r="E119" s="331" t="n"/>
      <c r="F119" s="331" t="n"/>
      <c r="G119" s="331" t="n"/>
      <c r="H119" s="332">
        <f>Source!AO611</f>
        <v/>
      </c>
      <c r="I119" s="333" t="n"/>
      <c r="J119" s="332">
        <f>ROUND(Source!AF611*Source!I611, 2)</f>
        <v/>
      </c>
      <c r="K119" s="333">
        <f>IF(Source!BA611&lt;&gt; 0, Source!BA611, 1)</f>
        <v/>
      </c>
      <c r="L119" s="334">
        <f>Source!S611</f>
        <v/>
      </c>
    </row>
    <row r="120" ht="14.25" customHeight="1" s="197">
      <c r="A120" s="329" t="n"/>
      <c r="B120" s="333" t="n">
        <v>2</v>
      </c>
      <c r="C120" s="329" t="inlineStr">
        <is>
          <t>ЭМ</t>
        </is>
      </c>
      <c r="D120" s="330" t="n"/>
      <c r="E120" s="331" t="n"/>
      <c r="F120" s="331" t="n"/>
      <c r="G120" s="331" t="n"/>
      <c r="H120" s="332">
        <f>Source!AM611</f>
        <v/>
      </c>
      <c r="I120" s="333" t="n"/>
      <c r="J120" s="332">
        <f>(ROUND((ROUND(((Source!ET611)*Source!I611),0)),0)+ROUND((ROUND(((Source!AE611-(Source!EU611))*Source!I611),0)),0))</f>
        <v/>
      </c>
      <c r="K120" s="333">
        <f>IF(Source!BB611&lt;&gt; 0, Source!BB611, 1)</f>
        <v/>
      </c>
      <c r="L120" s="334">
        <f>Source!Q611</f>
        <v/>
      </c>
    </row>
    <row r="121" ht="14.25" customHeight="1" s="197">
      <c r="A121" s="329" t="n"/>
      <c r="B121" s="333" t="n">
        <v>3</v>
      </c>
      <c r="C121" s="329" t="inlineStr">
        <is>
          <t>в т.ч. ОТм</t>
        </is>
      </c>
      <c r="D121" s="330" t="n"/>
      <c r="E121" s="331" t="n"/>
      <c r="F121" s="331" t="n"/>
      <c r="G121" s="331" t="n"/>
      <c r="H121" s="332">
        <f>Source!AN611</f>
        <v/>
      </c>
      <c r="I121" s="333" t="n"/>
      <c r="J121" s="347">
        <f>(ROUND((ROUND(((Source!EU611)*Source!I611),0)),0)+ROUND((ROUND(((Source!AE611-(Source!EU611))*Source!I611),0)),0))</f>
        <v/>
      </c>
      <c r="K121" s="333">
        <f>IF(Source!BS611&lt;&gt; 0, Source!BS611, 1)</f>
        <v/>
      </c>
      <c r="L121" s="348">
        <f>Source!R611</f>
        <v/>
      </c>
    </row>
    <row r="122" ht="14.25" customHeight="1" s="197">
      <c r="A122" s="329" t="n"/>
      <c r="B122" s="333" t="n">
        <v>4</v>
      </c>
      <c r="C122" s="329" t="inlineStr">
        <is>
          <t>М</t>
        </is>
      </c>
      <c r="D122" s="330" t="n"/>
      <c r="E122" s="331" t="n"/>
      <c r="F122" s="331" t="n"/>
      <c r="G122" s="331" t="n"/>
      <c r="H122" s="332">
        <f>Source!AL611</f>
        <v/>
      </c>
      <c r="I122" s="333" t="n"/>
      <c r="J122" s="332">
        <f>ROUND(Source!AC611*Source!I611, 2)</f>
        <v/>
      </c>
      <c r="K122" s="333">
        <f>IF(Source!BC611&lt;&gt; 0, Source!BC611, 1)</f>
        <v/>
      </c>
      <c r="L122" s="334">
        <f>Source!P611</f>
        <v/>
      </c>
    </row>
    <row r="123" ht="14.25" customHeight="1" s="197">
      <c r="A123" s="329" t="n"/>
      <c r="B123" s="329" t="n"/>
      <c r="C123" s="329" t="inlineStr">
        <is>
          <t>ЗТ</t>
        </is>
      </c>
      <c r="D123" s="330" t="inlineStr">
        <is>
          <t>чел.-ч.</t>
        </is>
      </c>
      <c r="E123" s="331">
        <f>Source!AQ611</f>
        <v/>
      </c>
      <c r="F123" s="331" t="n"/>
      <c r="G123" s="331">
        <f>ROUND(Source!U611, 7)</f>
        <v/>
      </c>
      <c r="H123" s="332" t="n"/>
      <c r="I123" s="333" t="n"/>
      <c r="J123" s="332" t="n"/>
      <c r="K123" s="333" t="n"/>
      <c r="L123" s="334" t="n"/>
    </row>
    <row r="124" ht="14.25" customHeight="1" s="197">
      <c r="A124" s="329" t="n"/>
      <c r="B124" s="329" t="n"/>
      <c r="C124" s="336" t="inlineStr">
        <is>
          <t>ЗТм</t>
        </is>
      </c>
      <c r="D124" s="337" t="inlineStr">
        <is>
          <t>чел.-ч.</t>
        </is>
      </c>
      <c r="E124" s="338">
        <f>Source!AR611</f>
        <v/>
      </c>
      <c r="F124" s="338" t="n"/>
      <c r="G124" s="338">
        <f>ROUND(Source!V611, 7)</f>
        <v/>
      </c>
      <c r="H124" s="339" t="n"/>
      <c r="I124" s="340" t="n"/>
      <c r="J124" s="339" t="n"/>
      <c r="K124" s="340" t="n"/>
      <c r="L124" s="341" t="n"/>
    </row>
    <row r="125" ht="14.25" customHeight="1" s="197">
      <c r="A125" s="329" t="n"/>
      <c r="B125" s="329" t="n"/>
      <c r="C125" s="329" t="inlineStr">
        <is>
          <t>Итого по расценке</t>
        </is>
      </c>
      <c r="D125" s="330" t="n"/>
      <c r="E125" s="331" t="n"/>
      <c r="F125" s="331" t="n"/>
      <c r="G125" s="331" t="n"/>
      <c r="H125" s="332">
        <f>H119+H120+H122</f>
        <v/>
      </c>
      <c r="I125" s="333" t="n"/>
      <c r="J125" s="332">
        <f>J119+J120+J122</f>
        <v/>
      </c>
      <c r="K125" s="333" t="n"/>
      <c r="L125" s="334">
        <f>L119+L120+L122</f>
        <v/>
      </c>
    </row>
    <row r="126" ht="42.75" customHeight="1" s="197">
      <c r="A126" s="329" t="inlineStr">
        <is>
          <t>6.1</t>
        </is>
      </c>
      <c r="B126" s="329">
        <f>Source!F612</f>
        <v/>
      </c>
      <c r="C126" s="329" t="inlineStr">
        <is>
          <t>Исключен
Сгоны стальные с муфтой и контргайкой, диаметром 50 мм</t>
        </is>
      </c>
      <c r="D126" s="330">
        <f>Source!H612</f>
        <v/>
      </c>
      <c r="E126" s="331">
        <f>SmtRes!AT322</f>
        <v/>
      </c>
      <c r="F126" s="331" t="n"/>
      <c r="G126" s="331">
        <f>Source!I612</f>
        <v/>
      </c>
      <c r="H126" s="332">
        <f>Source!AL612+Source!AO612+Source!AM612</f>
        <v/>
      </c>
      <c r="I126" s="333" t="n"/>
      <c r="J126" s="332">
        <f>ROUND(Source!AC612*Source!I612, 2)+(ROUND((ROUND(((Source!ET612)*Source!I612),0)),0)+ROUND((ROUND(((Source!AE612-(Source!EU612))*Source!I612),0)),0))+ROUND(Source!AF612*Source!I612, 2)</f>
        <v/>
      </c>
      <c r="K126" s="333">
        <f>IF(Source!BC612&lt;&gt; 0, Source!BC612, 1)</f>
        <v/>
      </c>
      <c r="L126" s="334">
        <f>Source!P612</f>
        <v/>
      </c>
      <c r="O126">
        <f>J126</f>
        <v/>
      </c>
      <c r="AA126">
        <f>J126</f>
        <v/>
      </c>
      <c r="AD126">
        <f>ROUND((Source!AT612/100)*((ROUND(Source!AF612*Source!I612, 2)+(ROUND((ROUND(((Source!EU612)*Source!I612),0)),0)+ROUND((ROUND(((Source!AE612-(Source!EU612))*Source!I612),0)),0)))), 2)</f>
        <v/>
      </c>
      <c r="AE126">
        <f>ROUND((Source!AU612/100)*((ROUND(Source!AF612*Source!I612, 2)+(ROUND((ROUND(((Source!EU612)*Source!I612),0)),0)+ROUND((ROUND(((Source!AE612-(Source!EU612))*Source!I612),0)),0)))), 2)</f>
        <v/>
      </c>
      <c r="AN126">
        <f>L126</f>
        <v/>
      </c>
      <c r="AW126">
        <f>L126</f>
        <v/>
      </c>
      <c r="AZ126">
        <f>Source!X612</f>
        <v/>
      </c>
      <c r="BA126">
        <f>Source!Y612</f>
        <v/>
      </c>
      <c r="BH126">
        <f>J126</f>
        <v/>
      </c>
      <c r="CD126" t="n">
        <v>1</v>
      </c>
    </row>
    <row r="127" ht="28.5" customHeight="1" s="197">
      <c r="A127" s="329" t="inlineStr">
        <is>
          <t>6.2</t>
        </is>
      </c>
      <c r="B127" s="329">
        <f>Source!F613</f>
        <v/>
      </c>
      <c r="C127" s="329">
        <f>Source!G613</f>
        <v/>
      </c>
      <c r="D127" s="330">
        <f>Source!H613</f>
        <v/>
      </c>
      <c r="E127" s="331">
        <f>SmtRes!AT326</f>
        <v/>
      </c>
      <c r="F127" s="331" t="n"/>
      <c r="G127" s="331">
        <f>Source!I613</f>
        <v/>
      </c>
      <c r="H127" s="332">
        <f>Source!AL613+Source!AO613+Source!AM613</f>
        <v/>
      </c>
      <c r="I127" s="333" t="n"/>
      <c r="J127" s="332">
        <f>ROUND(Source!AC613*Source!I613, 2)+(ROUND((ROUND(((Source!ET613)*Source!I613),0)),0)+ROUND((ROUND(((Source!AE613-(Source!EU613))*Source!I613),0)),0))+ROUND(Source!AF613*Source!I613, 2)</f>
        <v/>
      </c>
      <c r="K127" s="333">
        <f>IF(Source!BC613&lt;&gt; 0, Source!BC613, 1)</f>
        <v/>
      </c>
      <c r="L127" s="334">
        <f>Source!P613</f>
        <v/>
      </c>
      <c r="O127">
        <f>J127</f>
        <v/>
      </c>
      <c r="AA127">
        <f>J127</f>
        <v/>
      </c>
      <c r="AD127">
        <f>ROUND((Source!AT613/100)*((ROUND(Source!AF613*Source!I613, 2)+(ROUND((ROUND(((Source!EU613)*Source!I613),0)),0)+ROUND((ROUND(((Source!AE613-(Source!EU613))*Source!I613),0)),0)))), 2)</f>
        <v/>
      </c>
      <c r="AE127">
        <f>ROUND((Source!AU613/100)*((ROUND(Source!AF613*Source!I613, 2)+(ROUND((ROUND(((Source!EU613)*Source!I613),0)),0)+ROUND((ROUND(((Source!AE613-(Source!EU613))*Source!I613),0)),0)))), 2)</f>
        <v/>
      </c>
      <c r="AN127">
        <f>L127</f>
        <v/>
      </c>
      <c r="AW127">
        <f>L127</f>
        <v/>
      </c>
      <c r="AZ127">
        <f>Source!X613</f>
        <v/>
      </c>
      <c r="BA127">
        <f>Source!Y613</f>
        <v/>
      </c>
      <c r="BH127">
        <f>J127</f>
        <v/>
      </c>
      <c r="CD127" t="n">
        <v>1</v>
      </c>
    </row>
    <row r="128" ht="28.5" customHeight="1" s="197">
      <c r="A128" s="329" t="inlineStr">
        <is>
          <t>6.3</t>
        </is>
      </c>
      <c r="B128" s="329">
        <f>Source!F614</f>
        <v/>
      </c>
      <c r="C128" s="329">
        <f>Source!G614</f>
        <v/>
      </c>
      <c r="D128" s="330">
        <f>Source!H614</f>
        <v/>
      </c>
      <c r="E128" s="331">
        <f>SmtRes!AT323</f>
        <v/>
      </c>
      <c r="F128" s="331" t="n"/>
      <c r="G128" s="331">
        <f>Source!I614</f>
        <v/>
      </c>
      <c r="H128" s="332">
        <f>Source!AL614+Source!AO614+Source!AM614</f>
        <v/>
      </c>
      <c r="I128" s="333" t="n"/>
      <c r="J128" s="332">
        <f>ROUND(Source!AC614*Source!I614, 2)+(ROUND((ROUND(((Source!ET614)*Source!I614),0)),0)+ROUND((ROUND(((Source!AE614-(Source!EU614))*Source!I614),0)),0))+ROUND(Source!AF614*Source!I614, 2)</f>
        <v/>
      </c>
      <c r="K128" s="333">
        <f>IF(Source!BC614&lt;&gt; 0, Source!BC614, 1)</f>
        <v/>
      </c>
      <c r="L128" s="334">
        <f>Source!P614</f>
        <v/>
      </c>
      <c r="O128">
        <f>J128</f>
        <v/>
      </c>
      <c r="AA128">
        <f>J128</f>
        <v/>
      </c>
      <c r="AD128">
        <f>ROUND((Source!AT614/100)*((ROUND(Source!AF614*Source!I614, 2)+(ROUND((ROUND(((Source!EU614)*Source!I614),0)),0)+ROUND((ROUND(((Source!AE614-(Source!EU614))*Source!I614),0)),0)))), 2)</f>
        <v/>
      </c>
      <c r="AE128">
        <f>ROUND((Source!AU614/100)*((ROUND(Source!AF614*Source!I614, 2)+(ROUND((ROUND(((Source!EU614)*Source!I614),0)),0)+ROUND((ROUND(((Source!AE614-(Source!EU614))*Source!I614),0)),0)))), 2)</f>
        <v/>
      </c>
      <c r="AN128">
        <f>L128</f>
        <v/>
      </c>
      <c r="AW128">
        <f>L128</f>
        <v/>
      </c>
      <c r="AZ128">
        <f>Source!X614</f>
        <v/>
      </c>
      <c r="BA128">
        <f>Source!Y614</f>
        <v/>
      </c>
      <c r="BH128">
        <f>J128</f>
        <v/>
      </c>
      <c r="CD128" t="n">
        <v>1</v>
      </c>
    </row>
    <row r="129" ht="28.5" customHeight="1" s="197">
      <c r="A129" s="329" t="inlineStr">
        <is>
          <t>6.4</t>
        </is>
      </c>
      <c r="B129" s="329">
        <f>Source!F615</f>
        <v/>
      </c>
      <c r="C129" s="329">
        <f>Source!G615</f>
        <v/>
      </c>
      <c r="D129" s="330">
        <f>Source!H615</f>
        <v/>
      </c>
      <c r="E129" s="331">
        <f>SmtRes!AT324</f>
        <v/>
      </c>
      <c r="F129" s="331" t="n"/>
      <c r="G129" s="331">
        <f>Source!I615</f>
        <v/>
      </c>
      <c r="H129" s="332">
        <f>Source!AL615+Source!AO615+Source!AM615</f>
        <v/>
      </c>
      <c r="I129" s="333" t="n"/>
      <c r="J129" s="332">
        <f>ROUND(Source!AC615*Source!I615, 2)+(ROUND((ROUND(((Source!ET615)*Source!I615),0)),0)+ROUND((ROUND(((Source!AE615-(Source!EU615))*Source!I615),0)),0))+ROUND(Source!AF615*Source!I615, 2)</f>
        <v/>
      </c>
      <c r="K129" s="333">
        <f>IF(Source!BC615&lt;&gt; 0, Source!BC615, 1)</f>
        <v/>
      </c>
      <c r="L129" s="334">
        <f>Source!P615</f>
        <v/>
      </c>
      <c r="O129">
        <f>J129</f>
        <v/>
      </c>
      <c r="AA129">
        <f>J129</f>
        <v/>
      </c>
      <c r="AD129">
        <f>ROUND((Source!AT615/100)*((ROUND(Source!AF615*Source!I615, 2)+(ROUND((ROUND(((Source!EU615)*Source!I615),0)),0)+ROUND((ROUND(((Source!AE615-(Source!EU615))*Source!I615),0)),0)))), 2)</f>
        <v/>
      </c>
      <c r="AE129">
        <f>ROUND((Source!AU615/100)*((ROUND(Source!AF615*Source!I615, 2)+(ROUND((ROUND(((Source!EU615)*Source!I615),0)),0)+ROUND((ROUND(((Source!AE615-(Source!EU615))*Source!I615),0)),0)))), 2)</f>
        <v/>
      </c>
      <c r="AN129">
        <f>L129</f>
        <v/>
      </c>
      <c r="AW129">
        <f>L129</f>
        <v/>
      </c>
      <c r="AZ129">
        <f>Source!X615</f>
        <v/>
      </c>
      <c r="BA129">
        <f>Source!Y615</f>
        <v/>
      </c>
      <c r="BH129">
        <f>J129</f>
        <v/>
      </c>
      <c r="CD129" t="n">
        <v>1</v>
      </c>
    </row>
    <row r="130" ht="28.5" customHeight="1" s="197">
      <c r="A130" s="329" t="inlineStr">
        <is>
          <t>6.5</t>
        </is>
      </c>
      <c r="B130" s="329">
        <f>Source!F616</f>
        <v/>
      </c>
      <c r="C130" s="329">
        <f>Source!G616</f>
        <v/>
      </c>
      <c r="D130" s="330">
        <f>Source!H616</f>
        <v/>
      </c>
      <c r="E130" s="331">
        <f>SmtRes!AT325</f>
        <v/>
      </c>
      <c r="F130" s="331" t="n"/>
      <c r="G130" s="331">
        <f>Source!I616</f>
        <v/>
      </c>
      <c r="H130" s="332">
        <f>Source!AL616+Source!AO616+Source!AM616</f>
        <v/>
      </c>
      <c r="I130" s="333" t="n"/>
      <c r="J130" s="332">
        <f>ROUND(Source!AC616*Source!I616, 2)+(ROUND((ROUND(((Source!ET616)*Source!I616),0)),0)+ROUND((ROUND(((Source!AE616-(Source!EU616))*Source!I616),0)),0))+ROUND(Source!AF616*Source!I616, 2)</f>
        <v/>
      </c>
      <c r="K130" s="333">
        <f>IF(Source!BC616&lt;&gt; 0, Source!BC616, 1)</f>
        <v/>
      </c>
      <c r="L130" s="334">
        <f>Source!P616</f>
        <v/>
      </c>
      <c r="O130">
        <f>J130</f>
        <v/>
      </c>
      <c r="AA130">
        <f>J130</f>
        <v/>
      </c>
      <c r="AD130">
        <f>ROUND((Source!AT616/100)*((ROUND(Source!AF616*Source!I616, 2)+(ROUND((ROUND(((Source!EU616)*Source!I616),0)),0)+ROUND((ROUND(((Source!AE616-(Source!EU616))*Source!I616),0)),0)))), 2)</f>
        <v/>
      </c>
      <c r="AE130">
        <f>ROUND((Source!AU616/100)*((ROUND(Source!AF616*Source!I616, 2)+(ROUND((ROUND(((Source!EU616)*Source!I616),0)),0)+ROUND((ROUND(((Source!AE616-(Source!EU616))*Source!I616),0)),0)))), 2)</f>
        <v/>
      </c>
      <c r="AN130">
        <f>L130</f>
        <v/>
      </c>
      <c r="AW130">
        <f>L130</f>
        <v/>
      </c>
      <c r="AZ130">
        <f>Source!X616</f>
        <v/>
      </c>
      <c r="BA130">
        <f>Source!Y616</f>
        <v/>
      </c>
      <c r="BH130">
        <f>J130</f>
        <v/>
      </c>
      <c r="CD130" t="n">
        <v>1</v>
      </c>
    </row>
    <row r="131" ht="42.75" customHeight="1" s="197">
      <c r="A131" s="329" t="inlineStr">
        <is>
          <t>6.6</t>
        </is>
      </c>
      <c r="B131" s="329">
        <f>Source!F617</f>
        <v/>
      </c>
      <c r="C131" s="329">
        <f>Source!G617</f>
        <v/>
      </c>
      <c r="D131" s="330">
        <f>Source!H617</f>
        <v/>
      </c>
      <c r="E131" s="331">
        <f>SmtRes!AT329</f>
        <v/>
      </c>
      <c r="F131" s="331" t="n"/>
      <c r="G131" s="331">
        <f>Source!I617</f>
        <v/>
      </c>
      <c r="H131" s="332">
        <f>Source!AL617+Source!AO617+Source!AM617</f>
        <v/>
      </c>
      <c r="I131" s="333" t="n"/>
      <c r="J131" s="332">
        <f>ROUND(Source!AC617*Source!I617, 2)+(ROUND((ROUND(((Source!ET617)*Source!I617),0)),0)+ROUND((ROUND(((Source!AE617-(Source!EU617))*Source!I617),0)),0))+ROUND(Source!AF617*Source!I617, 2)</f>
        <v/>
      </c>
      <c r="K131" s="333">
        <f>IF(Source!BC617&lt;&gt; 0, Source!BC617, 1)</f>
        <v/>
      </c>
      <c r="L131" s="334">
        <f>Source!P617</f>
        <v/>
      </c>
      <c r="O131">
        <f>J131</f>
        <v/>
      </c>
      <c r="AA131">
        <f>J131</f>
        <v/>
      </c>
      <c r="AD131">
        <f>ROUND((Source!AT617/100)*((ROUND(Source!AF617*Source!I617, 2)+(ROUND((ROUND(((Source!EU617)*Source!I617),0)),0)+ROUND((ROUND(((Source!AE617-(Source!EU617))*Source!I617),0)),0)))), 2)</f>
        <v/>
      </c>
      <c r="AE131">
        <f>ROUND((Source!AU617/100)*((ROUND(Source!AF617*Source!I617, 2)+(ROUND((ROUND(((Source!EU617)*Source!I617),0)),0)+ROUND((ROUND(((Source!AE617-(Source!EU617))*Source!I617),0)),0)))), 2)</f>
        <v/>
      </c>
      <c r="AN131">
        <f>L131</f>
        <v/>
      </c>
      <c r="AW131">
        <f>L131</f>
        <v/>
      </c>
      <c r="AZ131">
        <f>Source!X617</f>
        <v/>
      </c>
      <c r="BA131">
        <f>Source!Y617</f>
        <v/>
      </c>
      <c r="BH131">
        <f>J131</f>
        <v/>
      </c>
      <c r="CD131" t="n">
        <v>1</v>
      </c>
    </row>
    <row r="132" ht="42.75" customHeight="1" s="197">
      <c r="A132" s="329" t="inlineStr">
        <is>
          <t>6.7</t>
        </is>
      </c>
      <c r="B132" s="329">
        <f>Source!F618</f>
        <v/>
      </c>
      <c r="C132" s="329">
        <f>Source!G618</f>
        <v/>
      </c>
      <c r="D132" s="330">
        <f>Source!H618</f>
        <v/>
      </c>
      <c r="E132" s="331">
        <f>SmtRes!AT328</f>
        <v/>
      </c>
      <c r="F132" s="331" t="n"/>
      <c r="G132" s="331">
        <f>Source!I618</f>
        <v/>
      </c>
      <c r="H132" s="332">
        <f>Source!AL618+Source!AO618+Source!AM618</f>
        <v/>
      </c>
      <c r="I132" s="333" t="n"/>
      <c r="J132" s="332">
        <f>ROUND(Source!AC618*Source!I618, 2)+(ROUND((ROUND(((Source!ET618)*Source!I618),0)),0)+ROUND((ROUND(((Source!AE618-(Source!EU618))*Source!I618),0)),0))+ROUND(Source!AF618*Source!I618, 2)</f>
        <v/>
      </c>
      <c r="K132" s="333">
        <f>IF(Source!BC618&lt;&gt; 0, Source!BC618, 1)</f>
        <v/>
      </c>
      <c r="L132" s="334">
        <f>Source!P618</f>
        <v/>
      </c>
      <c r="O132">
        <f>J132</f>
        <v/>
      </c>
      <c r="AA132">
        <f>J132</f>
        <v/>
      </c>
      <c r="AD132">
        <f>ROUND((Source!AT618/100)*((ROUND(Source!AF618*Source!I618, 2)+(ROUND((ROUND(((Source!EU618)*Source!I618),0)),0)+ROUND((ROUND(((Source!AE618-(Source!EU618))*Source!I618),0)),0)))), 2)</f>
        <v/>
      </c>
      <c r="AE132">
        <f>ROUND((Source!AU618/100)*((ROUND(Source!AF618*Source!I618, 2)+(ROUND((ROUND(((Source!EU618)*Source!I618),0)),0)+ROUND((ROUND(((Source!AE618-(Source!EU618))*Source!I618),0)),0)))), 2)</f>
        <v/>
      </c>
      <c r="AN132">
        <f>L132</f>
        <v/>
      </c>
      <c r="AW132">
        <f>L132</f>
        <v/>
      </c>
      <c r="AZ132">
        <f>Source!X618</f>
        <v/>
      </c>
      <c r="BA132">
        <f>Source!Y618</f>
        <v/>
      </c>
      <c r="BH132">
        <f>J132</f>
        <v/>
      </c>
      <c r="CD132" t="n">
        <v>1</v>
      </c>
    </row>
    <row r="133" ht="42.75" customHeight="1" s="197">
      <c r="A133" s="329" t="inlineStr">
        <is>
          <t>6.8</t>
        </is>
      </c>
      <c r="B133" s="329">
        <f>Source!F619</f>
        <v/>
      </c>
      <c r="C133" s="329">
        <f>Source!G619</f>
        <v/>
      </c>
      <c r="D133" s="330">
        <f>Source!H619</f>
        <v/>
      </c>
      <c r="E133" s="331">
        <f>SmtRes!AT327</f>
        <v/>
      </c>
      <c r="F133" s="331" t="n"/>
      <c r="G133" s="331">
        <f>Source!I619</f>
        <v/>
      </c>
      <c r="H133" s="332">
        <f>Source!AL619+Source!AO619+Source!AM619</f>
        <v/>
      </c>
      <c r="I133" s="333" t="n"/>
      <c r="J133" s="332">
        <f>ROUND(Source!AC619*Source!I619, 2)+(ROUND((ROUND(((Source!ET619)*Source!I619),0)),0)+ROUND((ROUND(((Source!AE619-(Source!EU619))*Source!I619),0)),0))+ROUND(Source!AF619*Source!I619, 2)</f>
        <v/>
      </c>
      <c r="K133" s="333">
        <f>IF(Source!BC619&lt;&gt; 0, Source!BC619, 1)</f>
        <v/>
      </c>
      <c r="L133" s="334">
        <f>Source!P619</f>
        <v/>
      </c>
      <c r="O133">
        <f>J133</f>
        <v/>
      </c>
      <c r="AA133">
        <f>J133</f>
        <v/>
      </c>
      <c r="AD133">
        <f>ROUND((Source!AT619/100)*((ROUND(Source!AF619*Source!I619, 2)+(ROUND((ROUND(((Source!EU619)*Source!I619),0)),0)+ROUND((ROUND(((Source!AE619-(Source!EU619))*Source!I619),0)),0)))), 2)</f>
        <v/>
      </c>
      <c r="AE133">
        <f>ROUND((Source!AU619/100)*((ROUND(Source!AF619*Source!I619, 2)+(ROUND((ROUND(((Source!EU619)*Source!I619),0)),0)+ROUND((ROUND(((Source!AE619-(Source!EU619))*Source!I619),0)),0)))), 2)</f>
        <v/>
      </c>
      <c r="AN133">
        <f>L133</f>
        <v/>
      </c>
      <c r="AW133">
        <f>L133</f>
        <v/>
      </c>
      <c r="AZ133">
        <f>Source!X619</f>
        <v/>
      </c>
      <c r="BA133">
        <f>Source!Y619</f>
        <v/>
      </c>
      <c r="BH133">
        <f>J133</f>
        <v/>
      </c>
      <c r="CD133" t="n">
        <v>1</v>
      </c>
    </row>
    <row r="134" ht="14.25" customHeight="1" s="197">
      <c r="A134" s="329" t="n"/>
      <c r="B134" s="329" t="n"/>
      <c r="C134" s="329" t="inlineStr">
        <is>
          <t>ФОТ</t>
        </is>
      </c>
      <c r="D134" s="330" t="n"/>
      <c r="E134" s="331" t="n"/>
      <c r="F134" s="331" t="n"/>
      <c r="G134" s="331" t="n"/>
      <c r="H134" s="332" t="n"/>
      <c r="I134" s="333" t="n"/>
      <c r="J134" s="332">
        <f>SUM(S117:S137)+SUM(T117:T137)+SUM(X117:X137)+SUM(Y117:Y137)+SUM(Z117:Z137)</f>
        <v/>
      </c>
      <c r="K134" s="333" t="n"/>
      <c r="L134" s="334">
        <f>SUM(AR117:AR137)+SUM(AS117:AS137)+SUM(AT117:AT137)+SUM(AU117:AU137)+SUM(AV117:AV137)</f>
        <v/>
      </c>
    </row>
    <row r="135" ht="42.75" customHeight="1" s="197">
      <c r="A135" s="329" t="n"/>
      <c r="B135" s="329" t="inlineStr">
        <is>
          <t>Пр/812-099.2-1</t>
        </is>
      </c>
      <c r="C135" s="329" t="inlineStr">
        <is>
          <t>НР Внутренние санитарнотехнические работы: смена труб, санприборов, запорной арматуры и другое</t>
        </is>
      </c>
      <c r="D135" s="330" t="inlineStr">
        <is>
          <t>%</t>
        </is>
      </c>
      <c r="E135" s="331">
        <f>Source!BZ611</f>
        <v/>
      </c>
      <c r="F135" s="331" t="n"/>
      <c r="G135" s="331">
        <f>Source!AT611</f>
        <v/>
      </c>
      <c r="H135" s="332" t="n"/>
      <c r="I135" s="333" t="n"/>
      <c r="J135" s="332">
        <f>SUM(AD117:AD137)</f>
        <v/>
      </c>
      <c r="K135" s="333" t="n"/>
      <c r="L135" s="334">
        <f>SUM(AZ117:AZ137)</f>
        <v/>
      </c>
    </row>
    <row r="136" ht="42.75" customHeight="1" s="197">
      <c r="A136" s="336" t="n"/>
      <c r="B136" s="336" t="inlineStr">
        <is>
          <t>Пр/774-099.2</t>
        </is>
      </c>
      <c r="C136" s="336" t="inlineStr">
        <is>
          <t>СП Внутренние санитарнотехнические работы: смена труб, санприборов, запорной арматуры и другое</t>
        </is>
      </c>
      <c r="D136" s="337" t="inlineStr">
        <is>
          <t>%</t>
        </is>
      </c>
      <c r="E136" s="338">
        <f>Source!CA611</f>
        <v/>
      </c>
      <c r="F136" s="338" t="n"/>
      <c r="G136" s="338">
        <f>Source!AU611</f>
        <v/>
      </c>
      <c r="H136" s="339" t="n"/>
      <c r="I136" s="340" t="n"/>
      <c r="J136" s="339">
        <f>SUM(AE117:AE137)</f>
        <v/>
      </c>
      <c r="K136" s="340" t="n"/>
      <c r="L136" s="341">
        <f>SUM(BA117:BA137)</f>
        <v/>
      </c>
    </row>
    <row r="137" ht="15" customHeight="1" s="197">
      <c r="C137" s="342" t="inlineStr">
        <is>
          <t>Всего по позиции</t>
        </is>
      </c>
      <c r="I137" s="343">
        <f>J119+J120+J122+J135+J136+SUM(J126:J133)-SUMIF(CE126:CE133, 1, J126:J133)</f>
        <v/>
      </c>
      <c r="J137" s="199" t="n"/>
      <c r="K137" s="344">
        <f>L119+L120+L122+L135+L136+SUM(L126:L133)-SUMIF(CE126:CE133, 1, L126:L133)</f>
        <v/>
      </c>
      <c r="L137" s="199" t="n"/>
      <c r="O137" s="345">
        <f>J119+J120+J122+J135+J136</f>
        <v/>
      </c>
      <c r="P137" s="345">
        <f>J120</f>
        <v/>
      </c>
      <c r="R137" t="inlineStr">
        <is>
          <t>=</t>
        </is>
      </c>
      <c r="S137" s="345">
        <f>J119</f>
        <v/>
      </c>
      <c r="U137" s="345">
        <f>J119</f>
        <v/>
      </c>
      <c r="X137" s="345">
        <f>J121</f>
        <v/>
      </c>
      <c r="Z137" t="inlineStr">
        <is>
          <t>=</t>
        </is>
      </c>
      <c r="AA137" s="345">
        <f>J122</f>
        <v/>
      </c>
      <c r="AD137">
        <f>ROUND((Source!AT611/100)*((ROUND(Source!AF611*Source!I611, 2)+(ROUND((ROUND(((Source!EU611)*Source!I611),0)),0)+ROUND((ROUND(((Source!AE611-(Source!EU611))*Source!I611),0)),0)))), 2)</f>
        <v/>
      </c>
      <c r="AE137">
        <f>ROUND((Source!AU611/100)*((ROUND(Source!AF611*Source!I611, 2)+(ROUND((ROUND(((Source!EU611)*Source!I611),0)),0)+ROUND((ROUND(((Source!AE611-(Source!EU611))*Source!I611),0)),0)))), 2)</f>
        <v/>
      </c>
      <c r="AN137" s="346">
        <f>L119+L120+L122+L135+L136</f>
        <v/>
      </c>
      <c r="AO137" s="346">
        <f>L120</f>
        <v/>
      </c>
      <c r="AQ137" t="inlineStr">
        <is>
          <t>=</t>
        </is>
      </c>
      <c r="AR137" s="346">
        <f>L119</f>
        <v/>
      </c>
      <c r="AT137" s="346">
        <f>L121</f>
        <v/>
      </c>
      <c r="AV137" t="inlineStr">
        <is>
          <t>=</t>
        </is>
      </c>
      <c r="AW137" s="346">
        <f>L122</f>
        <v/>
      </c>
      <c r="AZ137">
        <f>Source!X611</f>
        <v/>
      </c>
      <c r="BA137">
        <f>Source!Y611</f>
        <v/>
      </c>
      <c r="BH137" s="345">
        <f>J119+J120+J122+J135+J136</f>
        <v/>
      </c>
      <c r="CD137" t="n">
        <v>1</v>
      </c>
    </row>
    <row r="138"/>
    <row r="139" ht="15" customHeight="1" s="197">
      <c r="A139" s="349" t="n"/>
      <c r="B139" s="350" t="n"/>
      <c r="C139" s="351" t="inlineStr">
        <is>
          <t>ИТОГИ ПО СМЕТЕ</t>
        </is>
      </c>
      <c r="D139" s="199" t="n"/>
      <c r="E139" s="199" t="n"/>
      <c r="F139" s="199" t="n"/>
      <c r="G139" s="199" t="n"/>
      <c r="H139" s="199" t="n"/>
      <c r="I139" s="352" t="n"/>
      <c r="J139" s="343" t="n"/>
      <c r="K139" s="343" t="n"/>
      <c r="L139" s="344" t="n"/>
    </row>
    <row r="140"/>
    <row r="141" ht="15" customHeight="1" s="197">
      <c r="A141" s="353" t="n"/>
      <c r="B141" s="354" t="n"/>
      <c r="C141" s="355" t="inlineStr">
        <is>
          <t>ВСЕГО строительные работы</t>
        </is>
      </c>
      <c r="I141" s="356" t="n"/>
      <c r="J141" s="357">
        <f>J143+J158+J159</f>
        <v/>
      </c>
      <c r="K141" s="357" t="n"/>
      <c r="L141" s="358">
        <f>L143+L158+L159</f>
        <v/>
      </c>
    </row>
    <row r="142" ht="14.25" customHeight="1" s="197">
      <c r="A142" s="359" t="n"/>
      <c r="B142" s="360" t="n"/>
      <c r="C142" s="361" t="inlineStr">
        <is>
          <t>в том числе</t>
        </is>
      </c>
      <c r="I142" s="331" t="n"/>
      <c r="J142" s="332" t="n"/>
      <c r="K142" s="332" t="n"/>
      <c r="L142" s="334" t="n"/>
    </row>
    <row r="143" ht="14.25" customHeight="1" s="197">
      <c r="A143" s="359" t="n"/>
      <c r="B143" s="360" t="n"/>
      <c r="C143" s="329" t="inlineStr">
        <is>
          <t>Всего прямые затраты</t>
        </is>
      </c>
      <c r="I143" s="331" t="n"/>
      <c r="J143" s="332">
        <f>J145+J146+J152+J156</f>
        <v/>
      </c>
      <c r="K143" s="332" t="n"/>
      <c r="L143" s="334">
        <f>L145+L146+L152+L156</f>
        <v/>
      </c>
    </row>
    <row r="144" ht="14.25" customHeight="1" s="197">
      <c r="A144" s="359" t="n"/>
      <c r="B144" s="360" t="n"/>
      <c r="C144" s="361" t="inlineStr">
        <is>
          <t>в том числе</t>
        </is>
      </c>
      <c r="I144" s="331" t="n"/>
      <c r="J144" s="332" t="n"/>
      <c r="K144" s="332" t="n"/>
      <c r="L144" s="334" t="n"/>
    </row>
    <row r="145" ht="14.25" customHeight="1" s="197">
      <c r="A145" s="359" t="n"/>
      <c r="B145" s="360" t="n"/>
      <c r="C145" s="329" t="inlineStr">
        <is>
          <t xml:space="preserve">  оплата труда (ОТ)</t>
        </is>
      </c>
      <c r="I145" s="331" t="n"/>
      <c r="J145" s="332">
        <f>SUMIF(CD58:CD137, 1, S58:S137)</f>
        <v/>
      </c>
      <c r="K145" s="332" t="n"/>
      <c r="L145" s="334">
        <f>SUMIF(CD58:CD137, 1, AR58:AR137)</f>
        <v/>
      </c>
    </row>
    <row r="146" ht="14.25" customHeight="1" s="197">
      <c r="A146" s="359" t="n"/>
      <c r="B146" s="360" t="n"/>
      <c r="C146" s="329" t="inlineStr">
        <is>
          <t xml:space="preserve">  эксплуатация машин и механизмов</t>
        </is>
      </c>
      <c r="I146" s="331" t="n"/>
      <c r="J146" s="332">
        <f>J148+J151</f>
        <v/>
      </c>
      <c r="K146" s="332" t="n"/>
      <c r="L146" s="334">
        <f>L148+L151</f>
        <v/>
      </c>
    </row>
    <row r="147" ht="14.25" customHeight="1" s="197">
      <c r="A147" s="359" t="n"/>
      <c r="B147" s="360" t="n"/>
      <c r="C147" s="361" t="inlineStr">
        <is>
          <t xml:space="preserve">  в том числе</t>
        </is>
      </c>
      <c r="I147" s="331" t="n"/>
      <c r="J147" s="332" t="n"/>
      <c r="K147" s="332" t="n"/>
      <c r="L147" s="334" t="n"/>
    </row>
    <row r="148" ht="14.25" customHeight="1" s="197">
      <c r="A148" s="359" t="n"/>
      <c r="B148" s="360" t="n"/>
      <c r="C148" s="329" t="inlineStr">
        <is>
          <t xml:space="preserve">    эксплуатация машин и механизмов без учета доплат к оплате труда машинистов</t>
        </is>
      </c>
      <c r="I148" s="331" t="n"/>
      <c r="J148" s="332">
        <f>SUMIF(CD58:CD137, 1, P58:P137)</f>
        <v/>
      </c>
      <c r="K148" s="332" t="n"/>
      <c r="L148" s="334">
        <f>SUMIF(CD58:CD137, 1, AO58:AO137)</f>
        <v/>
      </c>
    </row>
    <row r="149" ht="14.25" customHeight="1" s="197">
      <c r="A149" s="359" t="n"/>
      <c r="B149" s="360" t="n"/>
      <c r="C149" s="361" t="inlineStr">
        <is>
          <t xml:space="preserve">    в том числе</t>
        </is>
      </c>
      <c r="I149" s="331" t="n"/>
      <c r="J149" s="332" t="n"/>
      <c r="K149" s="332" t="n"/>
      <c r="L149" s="334" t="n"/>
    </row>
    <row r="150" ht="14.25" customHeight="1" s="197">
      <c r="A150" s="359" t="n"/>
      <c r="B150" s="360" t="n"/>
      <c r="C150" s="329" t="inlineStr">
        <is>
          <t xml:space="preserve">      оплата труда машинистов (ОТм)</t>
        </is>
      </c>
      <c r="I150" s="331" t="n"/>
      <c r="J150" s="332">
        <f>SUMIF(CD58:CD137, 1, X58:X137)</f>
        <v/>
      </c>
      <c r="K150" s="332" t="n"/>
      <c r="L150" s="334">
        <f>SUMIF(CD58:CD137, 1, AT58:AT137)</f>
        <v/>
      </c>
    </row>
    <row r="151" ht="14.25" customHeight="1" s="197">
      <c r="A151" s="359" t="n"/>
      <c r="B151" s="360" t="n"/>
      <c r="C151" s="329" t="inlineStr">
        <is>
          <t xml:space="preserve">    доплаты к оплате труда машинистов</t>
        </is>
      </c>
      <c r="I151" s="331" t="n"/>
      <c r="J151" s="332">
        <f>SUMIF(CD58:CD137, 1, Z58:Z137)</f>
        <v/>
      </c>
      <c r="K151" s="332" t="n"/>
      <c r="L151" s="334">
        <f>SUMIF(CD58:CD137, 1, AV58:AV137)</f>
        <v/>
      </c>
    </row>
    <row r="152" ht="14.25" customHeight="1" s="197">
      <c r="A152" s="359" t="n"/>
      <c r="B152" s="360" t="n"/>
      <c r="C152" s="329" t="inlineStr">
        <is>
          <t xml:space="preserve">  материальные ресурсы</t>
        </is>
      </c>
      <c r="I152" s="331" t="n"/>
      <c r="J152" s="332">
        <f>J154+J155</f>
        <v/>
      </c>
      <c r="K152" s="332" t="n"/>
      <c r="L152" s="334">
        <f>L154+L155</f>
        <v/>
      </c>
    </row>
    <row r="153" ht="14.25" customHeight="1" s="197">
      <c r="A153" s="359" t="n"/>
      <c r="B153" s="360" t="n"/>
      <c r="C153" s="361" t="inlineStr">
        <is>
          <t xml:space="preserve">  в том числе</t>
        </is>
      </c>
      <c r="I153" s="331" t="n"/>
      <c r="J153" s="332" t="n"/>
      <c r="K153" s="332" t="n"/>
      <c r="L153" s="334" t="n"/>
    </row>
    <row r="154" ht="14.25" customHeight="1" s="197">
      <c r="A154" s="359" t="n"/>
      <c r="B154" s="360" t="n"/>
      <c r="C154" s="329" t="inlineStr">
        <is>
          <t xml:space="preserve">    материальные ресурсы без учета дополнительной перевозки</t>
        </is>
      </c>
      <c r="I154" s="331" t="n"/>
      <c r="J154" s="332">
        <f>SUMIF(CD58:CD137, 1, AA58:AA137)-SUMIF(CD58:CD137, 1, BJ58:BJ137)</f>
        <v/>
      </c>
      <c r="K154" s="332" t="n"/>
      <c r="L154" s="334">
        <f>SUMIF(CD58:CD137, 1, AW58:AW137)-SUMIF(CD58:CD137, 1, BK58:BK137)</f>
        <v/>
      </c>
    </row>
    <row r="155" ht="14.25" customHeight="1" s="197">
      <c r="A155" s="359" t="n"/>
      <c r="B155" s="360" t="n"/>
      <c r="C155" s="329" t="inlineStr">
        <is>
          <t xml:space="preserve">    дополнительная перевозка материальных ресурсов</t>
        </is>
      </c>
      <c r="I155" s="331" t="n"/>
      <c r="J155" s="332">
        <f>SUMIF(CD58:CD137, 1, AG58:AG137)</f>
        <v/>
      </c>
      <c r="K155" s="332" t="n"/>
      <c r="L155" s="334">
        <f>SUMIF(CD58:CD137, 1, BC58:BC137)</f>
        <v/>
      </c>
    </row>
    <row r="156" ht="14.25" customHeight="1" s="197">
      <c r="A156" s="359" t="n"/>
      <c r="B156" s="360" t="n"/>
      <c r="C156" s="329" t="inlineStr">
        <is>
          <t xml:space="preserve">  перевозка</t>
        </is>
      </c>
      <c r="I156" s="331" t="n"/>
      <c r="J156" s="332">
        <f>SUMIF(CD58:CD137, 1, AF58:AF137)</f>
        <v/>
      </c>
      <c r="K156" s="332" t="n"/>
      <c r="L156" s="334">
        <f>SUMIF(CD58:CD137, 1, BB58:BB137)</f>
        <v/>
      </c>
    </row>
    <row r="157" ht="14.25" customHeight="1" s="197">
      <c r="A157" s="359" t="n"/>
      <c r="B157" s="360" t="n"/>
      <c r="C157" s="329" t="inlineStr">
        <is>
          <t>ФОТ (справочно)</t>
        </is>
      </c>
      <c r="I157" s="331" t="n"/>
      <c r="J157" s="332">
        <f>SUMIF(CD58:CD137, 1, S58:S137)+SUMIF(CD58:CD137, 1, X58:X137)+SUMIF(CD58:CD137, 1, Z58:Z137)</f>
        <v/>
      </c>
      <c r="K157" s="332" t="n"/>
      <c r="L157" s="334">
        <f>SUMIF(CD58:CD137, 1, AR58:AR137)+SUMIF(CD58:CD137, 1, AT58:AT137)+SUMIF(CD58:CD137, 1, AV58:AV137)</f>
        <v/>
      </c>
    </row>
    <row r="158" ht="14.25" customHeight="1" s="197">
      <c r="A158" s="359" t="n"/>
      <c r="B158" s="360" t="n"/>
      <c r="C158" s="329" t="inlineStr">
        <is>
          <t>накладные расходы</t>
        </is>
      </c>
      <c r="I158" s="331" t="n"/>
      <c r="J158" s="332">
        <f>SUMIF(CD58:CD137, 1, AD58:AD137)</f>
        <v/>
      </c>
      <c r="K158" s="332" t="n"/>
      <c r="L158" s="334">
        <f>SUMIF(CD58:CD137, 1, AZ58:AZ137)</f>
        <v/>
      </c>
    </row>
    <row r="159" ht="14.25" customHeight="1" s="197">
      <c r="A159" s="359" t="n"/>
      <c r="B159" s="360" t="n"/>
      <c r="C159" s="329" t="inlineStr">
        <is>
          <t>сметная прибыль</t>
        </is>
      </c>
      <c r="I159" s="331" t="n"/>
      <c r="J159" s="332">
        <f>SUMIF(CD58:CD137, 1, AE58:AE137)</f>
        <v/>
      </c>
      <c r="K159" s="332" t="n"/>
      <c r="L159" s="334">
        <f>SUMIF(CD58:CD137, 1, BA58:BA137)</f>
        <v/>
      </c>
    </row>
    <row r="160"/>
    <row r="161" ht="15" customHeight="1" s="197">
      <c r="A161" s="353" t="n"/>
      <c r="B161" s="354" t="n"/>
      <c r="C161" s="355" t="inlineStr">
        <is>
          <t>ВСЕГО монтажные работы</t>
        </is>
      </c>
      <c r="I161" s="356" t="n"/>
      <c r="J161" s="357">
        <f>J163+J178+J179</f>
        <v/>
      </c>
      <c r="K161" s="357" t="n"/>
      <c r="L161" s="358">
        <f>L163+L178+L179</f>
        <v/>
      </c>
    </row>
    <row r="162" ht="14.25" customHeight="1" s="197">
      <c r="A162" s="359" t="n"/>
      <c r="B162" s="360" t="n"/>
      <c r="C162" s="361" t="inlineStr">
        <is>
          <t>в том числе</t>
        </is>
      </c>
      <c r="I162" s="331" t="n"/>
      <c r="J162" s="332" t="n"/>
      <c r="K162" s="332" t="n"/>
      <c r="L162" s="334" t="n"/>
    </row>
    <row r="163" ht="14.25" customHeight="1" s="197">
      <c r="A163" s="359" t="n"/>
      <c r="B163" s="360" t="n"/>
      <c r="C163" s="329" t="inlineStr">
        <is>
          <t>Всего прямые затраты</t>
        </is>
      </c>
      <c r="I163" s="331" t="n"/>
      <c r="J163" s="332">
        <f>J165+J166+J172+J176</f>
        <v/>
      </c>
      <c r="K163" s="332" t="n"/>
      <c r="L163" s="334">
        <f>L165+L166+L172+L176</f>
        <v/>
      </c>
    </row>
    <row r="164" ht="14.25" customHeight="1" s="197">
      <c r="A164" s="359" t="n"/>
      <c r="B164" s="360" t="n"/>
      <c r="C164" s="361" t="inlineStr">
        <is>
          <t>в том числе</t>
        </is>
      </c>
      <c r="I164" s="331" t="n"/>
      <c r="J164" s="332" t="n"/>
      <c r="K164" s="332" t="n"/>
      <c r="L164" s="334" t="n"/>
    </row>
    <row r="165" ht="14.25" customHeight="1" s="197">
      <c r="A165" s="359" t="n"/>
      <c r="B165" s="360" t="n"/>
      <c r="C165" s="329" t="inlineStr">
        <is>
          <t xml:space="preserve">  оплата труда (ОТ)</t>
        </is>
      </c>
      <c r="I165" s="331" t="n"/>
      <c r="J165" s="332">
        <f>SUMIF(CD58:CD159, 2, S58:S159)</f>
        <v/>
      </c>
      <c r="K165" s="332" t="n"/>
      <c r="L165" s="334">
        <f>SUMIF(CD58:CD159, 2, AR58:AR159)</f>
        <v/>
      </c>
    </row>
    <row r="166" ht="14.25" customHeight="1" s="197">
      <c r="A166" s="359" t="n"/>
      <c r="B166" s="360" t="n"/>
      <c r="C166" s="329" t="inlineStr">
        <is>
          <t xml:space="preserve">  эксплуатация машин и механизмов</t>
        </is>
      </c>
      <c r="I166" s="331" t="n"/>
      <c r="J166" s="332">
        <f>J168+J171</f>
        <v/>
      </c>
      <c r="K166" s="332" t="n"/>
      <c r="L166" s="334">
        <f>L168+L171</f>
        <v/>
      </c>
    </row>
    <row r="167" ht="14.25" customHeight="1" s="197">
      <c r="A167" s="359" t="n"/>
      <c r="B167" s="360" t="n"/>
      <c r="C167" s="361" t="inlineStr">
        <is>
          <t xml:space="preserve">  в том числе</t>
        </is>
      </c>
      <c r="I167" s="331" t="n"/>
      <c r="J167" s="332" t="n"/>
      <c r="K167" s="332" t="n"/>
      <c r="L167" s="334" t="n"/>
    </row>
    <row r="168" ht="14.25" customHeight="1" s="197">
      <c r="A168" s="359" t="n"/>
      <c r="B168" s="360" t="n"/>
      <c r="C168" s="329" t="inlineStr">
        <is>
          <t xml:space="preserve">    эксплуатация машин и механизмов без учета доплат к оплате труда машинистов</t>
        </is>
      </c>
      <c r="I168" s="331" t="n"/>
      <c r="J168" s="332">
        <f>SUMIF(CD58:CD159, 2, P58:P159)</f>
        <v/>
      </c>
      <c r="K168" s="332" t="n"/>
      <c r="L168" s="334">
        <f>SUMIF(CD58:CD159, 2, AO58:AO159)</f>
        <v/>
      </c>
    </row>
    <row r="169" ht="14.25" customHeight="1" s="197">
      <c r="A169" s="359" t="n"/>
      <c r="B169" s="360" t="n"/>
      <c r="C169" s="361" t="inlineStr">
        <is>
          <t xml:space="preserve">    в том числе</t>
        </is>
      </c>
      <c r="I169" s="331" t="n"/>
      <c r="J169" s="332" t="n"/>
      <c r="K169" s="332" t="n"/>
      <c r="L169" s="334" t="n"/>
    </row>
    <row r="170" ht="14.25" customHeight="1" s="197">
      <c r="A170" s="359" t="n"/>
      <c r="B170" s="360" t="n"/>
      <c r="C170" s="329" t="inlineStr">
        <is>
          <t xml:space="preserve">      оплата труда машинистов (ОТм)</t>
        </is>
      </c>
      <c r="I170" s="331" t="n"/>
      <c r="J170" s="332">
        <f>SUMIF(CD58:CD159, 2, X58:X159)</f>
        <v/>
      </c>
      <c r="K170" s="332" t="n"/>
      <c r="L170" s="334">
        <f>SUMIF(CD58:CD159, 2, AT58:AT159)</f>
        <v/>
      </c>
    </row>
    <row r="171" ht="14.25" customHeight="1" s="197">
      <c r="A171" s="359" t="n"/>
      <c r="B171" s="360" t="n"/>
      <c r="C171" s="329" t="inlineStr">
        <is>
          <t xml:space="preserve">    доплаты к оплате труда машинистов</t>
        </is>
      </c>
      <c r="I171" s="331" t="n"/>
      <c r="J171" s="332">
        <f>SUMIF(CD58:CD159, 2, Z58:Z159)</f>
        <v/>
      </c>
      <c r="K171" s="332" t="n"/>
      <c r="L171" s="334">
        <f>SUMIF(CD58:CD159, 2, AV58:AV159)</f>
        <v/>
      </c>
    </row>
    <row r="172" ht="14.25" customHeight="1" s="197">
      <c r="A172" s="359" t="n"/>
      <c r="B172" s="360" t="n"/>
      <c r="C172" s="329" t="inlineStr">
        <is>
          <t xml:space="preserve">  материальные ресурсы</t>
        </is>
      </c>
      <c r="I172" s="331" t="n"/>
      <c r="J172" s="332">
        <f>J174+J175</f>
        <v/>
      </c>
      <c r="K172" s="332" t="n"/>
      <c r="L172" s="334">
        <f>L174+L175</f>
        <v/>
      </c>
    </row>
    <row r="173" ht="14.25" customHeight="1" s="197">
      <c r="A173" s="359" t="n"/>
      <c r="B173" s="360" t="n"/>
      <c r="C173" s="361" t="inlineStr">
        <is>
          <t xml:space="preserve">  в том числе</t>
        </is>
      </c>
      <c r="I173" s="331" t="n"/>
      <c r="J173" s="332" t="n"/>
      <c r="K173" s="332" t="n"/>
      <c r="L173" s="334" t="n"/>
    </row>
    <row r="174" ht="14.25" customHeight="1" s="197">
      <c r="A174" s="359" t="n"/>
      <c r="B174" s="360" t="n"/>
      <c r="C174" s="329" t="inlineStr">
        <is>
          <t xml:space="preserve">    материальные ресурсы без учета дополнительной перевозки</t>
        </is>
      </c>
      <c r="I174" s="331" t="n"/>
      <c r="J174" s="332">
        <f>SUMIF(CD58:CD159, 2, AA58:AA159)-SUMIF(CD58:CD159, 2, BJ58:BJ159)</f>
        <v/>
      </c>
      <c r="K174" s="332" t="n"/>
      <c r="L174" s="334">
        <f>SUMIF(CD58:CD159, 2, AW58:AW159)-SUMIF(CD58:CD159, 2, BK58:BK159)</f>
        <v/>
      </c>
    </row>
    <row r="175" ht="14.25" customHeight="1" s="197">
      <c r="A175" s="359" t="n"/>
      <c r="B175" s="360" t="n"/>
      <c r="C175" s="329" t="inlineStr">
        <is>
          <t xml:space="preserve">    дополнительная перевозка материальных ресурсов</t>
        </is>
      </c>
      <c r="I175" s="331" t="n"/>
      <c r="J175" s="332">
        <f>SUMIF(CD58:CD159, 2, AG58:AG159)</f>
        <v/>
      </c>
      <c r="K175" s="332" t="n"/>
      <c r="L175" s="334">
        <f>SUMIF(CD58:CD159, 2, BC58:BC159)</f>
        <v/>
      </c>
    </row>
    <row r="176" ht="14.25" customHeight="1" s="197">
      <c r="A176" s="359" t="n"/>
      <c r="B176" s="360" t="n"/>
      <c r="C176" s="329" t="inlineStr">
        <is>
          <t xml:space="preserve">  перевозка</t>
        </is>
      </c>
      <c r="I176" s="331" t="n"/>
      <c r="J176" s="332">
        <f>SUMIF(CD58:CD159, 2, AF58:AF159)</f>
        <v/>
      </c>
      <c r="K176" s="332" t="n"/>
      <c r="L176" s="334">
        <f>SUMIF(CD58:CD159, 2, BB58:BB159)</f>
        <v/>
      </c>
    </row>
    <row r="177" ht="14.25" customHeight="1" s="197">
      <c r="A177" s="359" t="n"/>
      <c r="B177" s="360" t="n"/>
      <c r="C177" s="329" t="inlineStr">
        <is>
          <t>ФОТ (справочно)</t>
        </is>
      </c>
      <c r="I177" s="331" t="n"/>
      <c r="J177" s="332">
        <f>SUMIF(CD58:CD159, 2, S58:S159)+SUMIF(CD58:CD159, 2, X58:X159)+SUMIF(CD58:CD159, 2, Z58:Z159)</f>
        <v/>
      </c>
      <c r="K177" s="332" t="n"/>
      <c r="L177" s="334">
        <f>SUMIF(CD58:CD159, 2, AR58:AR159)+SUMIF(CD58:CD159, 2, AT58:AT159)+SUMIF(CD58:CD159, 2, AV58:AV159)</f>
        <v/>
      </c>
    </row>
    <row r="178" ht="14.25" customHeight="1" s="197">
      <c r="A178" s="359" t="n"/>
      <c r="B178" s="360" t="n"/>
      <c r="C178" s="329" t="inlineStr">
        <is>
          <t>накладные расходы</t>
        </is>
      </c>
      <c r="I178" s="331" t="n"/>
      <c r="J178" s="332">
        <f>SUMIF(CD58:CD159, 2, AD58:AD159)</f>
        <v/>
      </c>
      <c r="K178" s="332" t="n"/>
      <c r="L178" s="334">
        <f>SUMIF(CD58:CD159, 2, AZ58:AZ159)</f>
        <v/>
      </c>
    </row>
    <row r="179" ht="14.25" customHeight="1" s="197">
      <c r="A179" s="359" t="n"/>
      <c r="B179" s="360" t="n"/>
      <c r="C179" s="329" t="inlineStr">
        <is>
          <t>сметная прибыль</t>
        </is>
      </c>
      <c r="I179" s="331" t="n"/>
      <c r="J179" s="332">
        <f>SUMIF(CD58:CD159, 2, AE58:AE159)</f>
        <v/>
      </c>
      <c r="K179" s="332" t="n"/>
      <c r="L179" s="334">
        <f>SUMIF(CD58:CD159, 2, BA58:BA159)</f>
        <v/>
      </c>
    </row>
    <row r="180"/>
    <row r="181" ht="15" customHeight="1" s="197">
      <c r="A181" s="353" t="n"/>
      <c r="B181" s="354" t="n"/>
      <c r="C181" s="355" t="inlineStr">
        <is>
          <t>ВСЕГО оборудование</t>
        </is>
      </c>
      <c r="I181" s="356" t="n"/>
      <c r="J181" s="357">
        <f>J183+J184</f>
        <v/>
      </c>
      <c r="K181" s="357" t="n"/>
      <c r="L181" s="358">
        <f>L183+L184</f>
        <v/>
      </c>
    </row>
    <row r="182" ht="14.25" customHeight="1" s="197">
      <c r="A182" s="359" t="n"/>
      <c r="B182" s="360" t="n"/>
      <c r="C182" s="361" t="inlineStr">
        <is>
          <t>в том числе</t>
        </is>
      </c>
      <c r="I182" s="331" t="n"/>
      <c r="J182" s="332" t="n"/>
      <c r="K182" s="332" t="n"/>
      <c r="L182" s="334" t="n"/>
    </row>
    <row r="183" ht="14.25" customHeight="1" s="197">
      <c r="A183" s="359" t="n"/>
      <c r="B183" s="360" t="n"/>
      <c r="C183" s="329" t="inlineStr">
        <is>
          <t xml:space="preserve">  оборудование без учета дополнительной перевозки</t>
        </is>
      </c>
      <c r="I183" s="331" t="n"/>
      <c r="J183" s="332">
        <f>SUMIF(CD58:CD179, 3, BJ58:BJ179)</f>
        <v/>
      </c>
      <c r="K183" s="332" t="n"/>
      <c r="L183" s="334">
        <f>SUMIF(CD58:CD179, 3, BK58:BK179)</f>
        <v/>
      </c>
    </row>
    <row r="184" ht="14.25" customHeight="1" s="197">
      <c r="A184" s="359" t="n"/>
      <c r="B184" s="360" t="n"/>
      <c r="C184" s="329" t="inlineStr">
        <is>
          <t xml:space="preserve">  дополнительная перевозка оборудования</t>
        </is>
      </c>
      <c r="I184" s="331" t="n"/>
      <c r="J184" s="332">
        <f>SUMIF(CD58:CD179, 3, AH58:AH179)</f>
        <v/>
      </c>
      <c r="K184" s="332" t="n"/>
      <c r="L184" s="334">
        <f>SUMIF(CD58:CD179, 3, BD58:BD179)</f>
        <v/>
      </c>
    </row>
    <row r="185"/>
    <row r="186" ht="15" customHeight="1" s="197">
      <c r="A186" s="353" t="n"/>
      <c r="B186" s="354" t="n"/>
      <c r="C186" s="355" t="inlineStr">
        <is>
          <t>ВСЕГО прочие затраты</t>
        </is>
      </c>
      <c r="I186" s="356" t="n"/>
      <c r="J186" s="357">
        <f>J192+J207+J208+J188+J189</f>
        <v/>
      </c>
      <c r="K186" s="357" t="n"/>
      <c r="L186" s="358">
        <f>L192+L207+L208+L188+L189</f>
        <v/>
      </c>
    </row>
    <row r="187" ht="14.25" customHeight="1" s="197">
      <c r="A187" s="359" t="n"/>
      <c r="B187" s="360" t="n"/>
      <c r="C187" s="361" t="inlineStr">
        <is>
          <t>в том числе</t>
        </is>
      </c>
      <c r="I187" s="331" t="n"/>
      <c r="J187" s="332" t="n"/>
      <c r="K187" s="332" t="n"/>
      <c r="L187" s="334" t="n"/>
    </row>
    <row r="188" ht="14.25" customHeight="1" s="197">
      <c r="A188" s="359" t="n"/>
      <c r="B188" s="360" t="n"/>
      <c r="C188" s="329" t="inlineStr">
        <is>
          <t xml:space="preserve">   прочие затраты</t>
        </is>
      </c>
      <c r="I188" s="331" t="n"/>
      <c r="J188" s="332">
        <f>SUM(BL58:BL184)</f>
        <v/>
      </c>
      <c r="K188" s="332" t="n"/>
      <c r="L188" s="334" t="n"/>
    </row>
    <row r="189" ht="14.25" customHeight="1" s="197">
      <c r="A189" s="359" t="n"/>
      <c r="B189" s="360" t="n"/>
      <c r="C189" s="329" t="inlineStr">
        <is>
          <t xml:space="preserve">   Хозяйственный инвентарь</t>
        </is>
      </c>
      <c r="I189" s="331" t="n"/>
      <c r="J189" s="332">
        <f>SUM(BN58:BN184)</f>
        <v/>
      </c>
      <c r="K189" s="332" t="n"/>
      <c r="L189" s="334">
        <f>SUM(BO58:BO184)</f>
        <v/>
      </c>
    </row>
    <row r="190" ht="14.25" customHeight="1" s="197">
      <c r="A190" s="359" t="n"/>
      <c r="B190" s="360" t="n"/>
      <c r="C190" s="329" t="inlineStr">
        <is>
          <t>Пусконаладочные работы</t>
        </is>
      </c>
      <c r="I190" s="331" t="n"/>
      <c r="J190" s="332">
        <f>J192+J207+J208</f>
        <v/>
      </c>
      <c r="K190" s="332" t="n"/>
      <c r="L190" s="334">
        <f>L192+L207+L208</f>
        <v/>
      </c>
    </row>
    <row r="191" ht="14.25" customHeight="1" s="197">
      <c r="A191" s="359" t="n"/>
      <c r="B191" s="360" t="n"/>
      <c r="C191" s="361" t="inlineStr">
        <is>
          <t>в том числе</t>
        </is>
      </c>
      <c r="I191" s="331" t="n"/>
      <c r="J191" s="332" t="n"/>
      <c r="K191" s="332" t="n"/>
      <c r="L191" s="334" t="n"/>
    </row>
    <row r="192" ht="14.25" customHeight="1" s="197">
      <c r="A192" s="359" t="n"/>
      <c r="B192" s="360" t="n"/>
      <c r="C192" s="329" t="inlineStr">
        <is>
          <t>Всего прямые затраты</t>
        </is>
      </c>
      <c r="I192" s="331" t="n"/>
      <c r="J192" s="332">
        <f>J194+J195+J201+J205</f>
        <v/>
      </c>
      <c r="K192" s="332" t="n"/>
      <c r="L192" s="334">
        <f>L194+L195+L201+L205</f>
        <v/>
      </c>
    </row>
    <row r="193" ht="14.25" customHeight="1" s="197">
      <c r="A193" s="359" t="n"/>
      <c r="B193" s="360" t="n"/>
      <c r="C193" s="361" t="inlineStr">
        <is>
          <t>в том числе</t>
        </is>
      </c>
      <c r="I193" s="331" t="n"/>
      <c r="J193" s="332" t="n"/>
      <c r="K193" s="332" t="n"/>
      <c r="L193" s="334" t="n"/>
    </row>
    <row r="194" ht="14.25" customHeight="1" s="197">
      <c r="A194" s="359" t="n"/>
      <c r="B194" s="360" t="n"/>
      <c r="C194" s="329" t="inlineStr">
        <is>
          <t xml:space="preserve">  оплата труда (ОТ)</t>
        </is>
      </c>
      <c r="I194" s="331" t="n"/>
      <c r="J194" s="332">
        <f>SUMIF(CD58:CD184, 4, S58:S184)</f>
        <v/>
      </c>
      <c r="K194" s="332" t="n"/>
      <c r="L194" s="334">
        <f>SUMIF(CD58:CD184, 4, AR58:AR184)</f>
        <v/>
      </c>
    </row>
    <row r="195" ht="14.25" customHeight="1" s="197">
      <c r="A195" s="359" t="n"/>
      <c r="B195" s="360" t="n"/>
      <c r="C195" s="329" t="inlineStr">
        <is>
          <t xml:space="preserve">  эксплуатация машин и механизмов</t>
        </is>
      </c>
      <c r="I195" s="331" t="n"/>
      <c r="J195" s="332">
        <f>J197+J200</f>
        <v/>
      </c>
      <c r="K195" s="332" t="n"/>
      <c r="L195" s="334">
        <f>L197+L200</f>
        <v/>
      </c>
    </row>
    <row r="196" ht="14.25" customHeight="1" s="197">
      <c r="A196" s="359" t="n"/>
      <c r="B196" s="360" t="n"/>
      <c r="C196" s="361" t="inlineStr">
        <is>
          <t xml:space="preserve">  в том числе</t>
        </is>
      </c>
      <c r="I196" s="331" t="n"/>
      <c r="J196" s="332" t="n"/>
      <c r="K196" s="332" t="n"/>
      <c r="L196" s="334" t="n"/>
    </row>
    <row r="197" ht="14.25" customHeight="1" s="197">
      <c r="A197" s="359" t="n"/>
      <c r="B197" s="360" t="n"/>
      <c r="C197" s="329" t="inlineStr">
        <is>
          <t xml:space="preserve">    эксплуатация машин и механизмов без учета доплат к оплате труда машинистов</t>
        </is>
      </c>
      <c r="I197" s="331" t="n"/>
      <c r="J197" s="332">
        <f>SUMIF(CD58:CD184, 4, P58:P184)</f>
        <v/>
      </c>
      <c r="K197" s="332" t="n"/>
      <c r="L197" s="334">
        <f>SUMIF(CD58:CD184, 4, AO58:AO184)</f>
        <v/>
      </c>
    </row>
    <row r="198" ht="14.25" customHeight="1" s="197">
      <c r="A198" s="359" t="n"/>
      <c r="B198" s="360" t="n"/>
      <c r="C198" s="361" t="inlineStr">
        <is>
          <t xml:space="preserve">    в том числе</t>
        </is>
      </c>
      <c r="I198" s="331" t="n"/>
      <c r="J198" s="332" t="n"/>
      <c r="K198" s="332" t="n"/>
      <c r="L198" s="334" t="n"/>
    </row>
    <row r="199" ht="14.25" customHeight="1" s="197">
      <c r="A199" s="359" t="n"/>
      <c r="B199" s="360" t="n"/>
      <c r="C199" s="329" t="inlineStr">
        <is>
          <t xml:space="preserve">      оплата труда машинистов (ОТм)</t>
        </is>
      </c>
      <c r="I199" s="331" t="n"/>
      <c r="J199" s="332">
        <f>SUMIF(CD58:CD184, 4, X58:X184)</f>
        <v/>
      </c>
      <c r="K199" s="332" t="n"/>
      <c r="L199" s="334">
        <f>SUMIF(CD58:CD184, 4, AT58:AT184)</f>
        <v/>
      </c>
    </row>
    <row r="200" ht="14.25" customHeight="1" s="197">
      <c r="A200" s="359" t="n"/>
      <c r="B200" s="360" t="n"/>
      <c r="C200" s="329" t="inlineStr">
        <is>
          <t xml:space="preserve">    доплаты к оплате труда машинистов</t>
        </is>
      </c>
      <c r="I200" s="331" t="n"/>
      <c r="J200" s="332">
        <f>SUMIF(CD58:CD184, 4, Z58:Z184)</f>
        <v/>
      </c>
      <c r="K200" s="332" t="n"/>
      <c r="L200" s="334">
        <f>SUMIF(CD58:CD184, 4, AV58:AV184)</f>
        <v/>
      </c>
    </row>
    <row r="201" ht="14.25" customHeight="1" s="197">
      <c r="A201" s="359" t="n"/>
      <c r="B201" s="360" t="n"/>
      <c r="C201" s="329" t="inlineStr">
        <is>
          <t xml:space="preserve">  материальные ресурсы</t>
        </is>
      </c>
      <c r="I201" s="331" t="n"/>
      <c r="J201" s="332">
        <f>J203+J204</f>
        <v/>
      </c>
      <c r="K201" s="332" t="n"/>
      <c r="L201" s="334">
        <f>L203+L204</f>
        <v/>
      </c>
    </row>
    <row r="202" ht="14.25" customHeight="1" s="197">
      <c r="A202" s="359" t="n"/>
      <c r="B202" s="360" t="n"/>
      <c r="C202" s="361" t="inlineStr">
        <is>
          <t xml:space="preserve">  в том числе</t>
        </is>
      </c>
      <c r="I202" s="331" t="n"/>
      <c r="J202" s="332" t="n"/>
      <c r="K202" s="332" t="n"/>
      <c r="L202" s="334" t="n"/>
    </row>
    <row r="203" ht="14.25" customHeight="1" s="197">
      <c r="A203" s="359" t="n"/>
      <c r="B203" s="360" t="n"/>
      <c r="C203" s="329" t="inlineStr">
        <is>
          <t xml:space="preserve">    материальные ресурсы без учета дополнительной перевозки</t>
        </is>
      </c>
      <c r="I203" s="331" t="n"/>
      <c r="J203" s="332">
        <f>SUMIF(CD58:CD184, 4, AA58:AA184)-SUMIF(CD58:CD184, 4, BJ58:BJ184)</f>
        <v/>
      </c>
      <c r="K203" s="332" t="n"/>
      <c r="L203" s="334">
        <f>SUMIF(CD58:CD184, 4, AW58:AW184)-SUMIF(CD58:CD184, 4, BK58:BK184)</f>
        <v/>
      </c>
    </row>
    <row r="204" ht="14.25" customHeight="1" s="197">
      <c r="A204" s="359" t="n"/>
      <c r="B204" s="360" t="n"/>
      <c r="C204" s="329" t="inlineStr">
        <is>
          <t xml:space="preserve">    дополнительная перевозка материальных ресурсов</t>
        </is>
      </c>
      <c r="I204" s="331" t="n"/>
      <c r="J204" s="332">
        <f>SUMIF(CD58:CD184, 4, AG58:AG184)</f>
        <v/>
      </c>
      <c r="K204" s="332" t="n"/>
      <c r="L204" s="334">
        <f>SUMIF(CD58:CD184, 4, BC58:BC184)</f>
        <v/>
      </c>
    </row>
    <row r="205" ht="14.25" customHeight="1" s="197">
      <c r="A205" s="359" t="n"/>
      <c r="B205" s="360" t="n"/>
      <c r="C205" s="329" t="inlineStr">
        <is>
          <t xml:space="preserve">  перевозка</t>
        </is>
      </c>
      <c r="I205" s="331" t="n"/>
      <c r="J205" s="332">
        <f>SUMIF(CD58:CD184, 4, AF58:AF184)</f>
        <v/>
      </c>
      <c r="K205" s="332" t="n"/>
      <c r="L205" s="334">
        <f>SUMIF(CD58:CD184, 4, BB58:BB184)</f>
        <v/>
      </c>
    </row>
    <row r="206" ht="14.25" customHeight="1" s="197">
      <c r="A206" s="359" t="n"/>
      <c r="B206" s="360" t="n"/>
      <c r="C206" s="329" t="inlineStr">
        <is>
          <t>ФОТ (справочно)</t>
        </is>
      </c>
      <c r="I206" s="331" t="n"/>
      <c r="J206" s="332">
        <f>SUMIF(CD58:CD184, 4, S58:S184)+SUMIF(CD58:CD184, 4, X58:X184)+SUMIF(CD58:CD184, 4, Z58:Z184)</f>
        <v/>
      </c>
      <c r="K206" s="332" t="n"/>
      <c r="L206" s="334">
        <f>SUMIF(CD58:CD184, 4, AR58:AR184)+SUMIF(CD58:CD184, 4, AT58:AT184)+SUMIF(CD58:CD184, 4, AV58:AV184)</f>
        <v/>
      </c>
    </row>
    <row r="207" ht="14.25" customHeight="1" s="197">
      <c r="A207" s="359" t="n"/>
      <c r="B207" s="360" t="n"/>
      <c r="C207" s="329" t="inlineStr">
        <is>
          <t>накладные расходы</t>
        </is>
      </c>
      <c r="I207" s="331" t="n"/>
      <c r="J207" s="332">
        <f>SUMIF(CD58:CD184, 4, AD58:AD184)</f>
        <v/>
      </c>
      <c r="K207" s="332" t="n"/>
      <c r="L207" s="334">
        <f>SUMIF(CD58:CD184, 4, AZ58:AZ184)</f>
        <v/>
      </c>
    </row>
    <row r="208" ht="14.25" customHeight="1" s="197">
      <c r="A208" s="359" t="n"/>
      <c r="B208" s="360" t="n"/>
      <c r="C208" s="329" t="inlineStr">
        <is>
          <t>сметная прибыль</t>
        </is>
      </c>
      <c r="I208" s="331" t="n"/>
      <c r="J208" s="332">
        <f>SUMIF(CD58:CD184, 4, AE58:AE184)</f>
        <v/>
      </c>
      <c r="K208" s="332" t="n"/>
      <c r="L208" s="334">
        <f>SUMIF(CD58:CD184, 4, BA58:BA184)</f>
        <v/>
      </c>
    </row>
    <row r="209"/>
    <row r="210" ht="15" customHeight="1" s="197">
      <c r="A210" s="353" t="n"/>
      <c r="B210" s="354" t="n"/>
      <c r="C210" s="355" t="inlineStr">
        <is>
          <t>ВСЕГО по смете</t>
        </is>
      </c>
      <c r="I210" s="356" t="n"/>
      <c r="J210" s="357">
        <f>J141+J161+J181+J186</f>
        <v/>
      </c>
      <c r="K210" s="357" t="n"/>
      <c r="L210" s="358">
        <f>L141+L161+L181+L186</f>
        <v/>
      </c>
    </row>
    <row r="211" ht="14.25" customHeight="1" s="197">
      <c r="A211" s="359" t="n"/>
      <c r="B211" s="360" t="n"/>
      <c r="C211" s="361" t="inlineStr">
        <is>
          <t>в том числе</t>
        </is>
      </c>
      <c r="I211" s="331" t="n"/>
      <c r="J211" s="332" t="n"/>
      <c r="K211" s="332" t="n"/>
      <c r="L211" s="334" t="n"/>
    </row>
    <row r="212" ht="14.25" customHeight="1" s="197">
      <c r="A212" s="359" t="n"/>
      <c r="B212" s="360" t="n"/>
      <c r="C212" s="329" t="inlineStr">
        <is>
          <t>Всего прямые затраты</t>
        </is>
      </c>
      <c r="I212" s="331" t="n"/>
      <c r="J212" s="332">
        <f>J214+J215+J221+J225</f>
        <v/>
      </c>
      <c r="K212" s="332" t="n"/>
      <c r="L212" s="334">
        <f>L214+L215+L221+L225</f>
        <v/>
      </c>
    </row>
    <row r="213" ht="14.25" customHeight="1" s="197">
      <c r="A213" s="359" t="n"/>
      <c r="B213" s="360" t="n"/>
      <c r="C213" s="361" t="inlineStr">
        <is>
          <t>в том числе</t>
        </is>
      </c>
      <c r="I213" s="331" t="n"/>
      <c r="J213" s="332" t="n"/>
      <c r="K213" s="332" t="n"/>
      <c r="L213" s="334" t="n"/>
    </row>
    <row r="214" ht="14.25" customHeight="1" s="197">
      <c r="A214" s="359" t="n"/>
      <c r="B214" s="360" t="n"/>
      <c r="C214" s="329" t="inlineStr">
        <is>
          <t xml:space="preserve">  оплата труда (ОТ)</t>
        </is>
      </c>
      <c r="I214" s="331" t="n"/>
      <c r="J214" s="332">
        <f>SUM(S58:S208)</f>
        <v/>
      </c>
      <c r="K214" s="332" t="n"/>
      <c r="L214" s="334">
        <f>SUM(AR58:AR208)</f>
        <v/>
      </c>
    </row>
    <row r="215" ht="14.25" customHeight="1" s="197">
      <c r="A215" s="359" t="n"/>
      <c r="B215" s="360" t="n"/>
      <c r="C215" s="329" t="inlineStr">
        <is>
          <t xml:space="preserve">  эксплуатация машин и механизмов</t>
        </is>
      </c>
      <c r="I215" s="331" t="n"/>
      <c r="J215" s="332">
        <f>J217+J220</f>
        <v/>
      </c>
      <c r="K215" s="332" t="n"/>
      <c r="L215" s="334">
        <f>L217+L220</f>
        <v/>
      </c>
    </row>
    <row r="216" ht="14.25" customHeight="1" s="197">
      <c r="A216" s="359" t="n"/>
      <c r="B216" s="360" t="n"/>
      <c r="C216" s="361" t="inlineStr">
        <is>
          <t xml:space="preserve">  в том числе</t>
        </is>
      </c>
      <c r="I216" s="331" t="n"/>
      <c r="J216" s="332" t="n"/>
      <c r="K216" s="332" t="n"/>
      <c r="L216" s="334" t="n"/>
    </row>
    <row r="217" ht="14.25" customHeight="1" s="197">
      <c r="A217" s="359" t="n"/>
      <c r="B217" s="360" t="n"/>
      <c r="C217" s="329" t="inlineStr">
        <is>
          <t xml:space="preserve">    эксплуатация машин и механизмов без учета доплат к оплате труда машинистов</t>
        </is>
      </c>
      <c r="I217" s="331" t="n"/>
      <c r="J217" s="332">
        <f>SUM(P58:P208)</f>
        <v/>
      </c>
      <c r="K217" s="332" t="n"/>
      <c r="L217" s="334">
        <f>SUM(AO58:AO208)</f>
        <v/>
      </c>
    </row>
    <row r="218" ht="14.25" customHeight="1" s="197">
      <c r="A218" s="359" t="n"/>
      <c r="B218" s="360" t="n"/>
      <c r="C218" s="361" t="inlineStr">
        <is>
          <t xml:space="preserve">    в том числе</t>
        </is>
      </c>
      <c r="I218" s="331" t="n"/>
      <c r="J218" s="332" t="n"/>
      <c r="K218" s="332" t="n"/>
      <c r="L218" s="334" t="n"/>
    </row>
    <row r="219" ht="14.25" customHeight="1" s="197">
      <c r="A219" s="359" t="n"/>
      <c r="B219" s="360" t="n"/>
      <c r="C219" s="329" t="inlineStr">
        <is>
          <t xml:space="preserve">      оплата труда машинистов (ОТм)</t>
        </is>
      </c>
      <c r="I219" s="331" t="n"/>
      <c r="J219" s="332">
        <f>SUM(X58:X208)</f>
        <v/>
      </c>
      <c r="K219" s="332" t="n"/>
      <c r="L219" s="334">
        <f>SUM(AT58:AT208)</f>
        <v/>
      </c>
    </row>
    <row r="220" ht="14.25" customHeight="1" s="197">
      <c r="A220" s="359" t="n"/>
      <c r="B220" s="360" t="n"/>
      <c r="C220" s="329" t="inlineStr">
        <is>
          <t xml:space="preserve">    доплаты к оплате труда машинистов</t>
        </is>
      </c>
      <c r="I220" s="331" t="n"/>
      <c r="J220" s="332">
        <f>SUM(Z58:Z208)</f>
        <v/>
      </c>
      <c r="K220" s="332" t="n"/>
      <c r="L220" s="334">
        <f>SUM(AV58:AV208)</f>
        <v/>
      </c>
    </row>
    <row r="221" ht="14.25" customHeight="1" s="197">
      <c r="A221" s="359" t="n"/>
      <c r="B221" s="360" t="n"/>
      <c r="C221" s="329" t="inlineStr">
        <is>
          <t xml:space="preserve">  материальные ресурсы</t>
        </is>
      </c>
      <c r="I221" s="331" t="n"/>
      <c r="J221" s="332">
        <f>J223+J224</f>
        <v/>
      </c>
      <c r="K221" s="332" t="n"/>
      <c r="L221" s="334">
        <f>L223+L224</f>
        <v/>
      </c>
    </row>
    <row r="222" ht="14.25" customHeight="1" s="197">
      <c r="A222" s="359" t="n"/>
      <c r="B222" s="360" t="n"/>
      <c r="C222" s="361" t="inlineStr">
        <is>
          <t xml:space="preserve">  в том числе</t>
        </is>
      </c>
      <c r="I222" s="331" t="n"/>
      <c r="J222" s="332" t="n"/>
      <c r="K222" s="332" t="n"/>
      <c r="L222" s="334" t="n"/>
    </row>
    <row r="223" ht="14.25" customHeight="1" s="197">
      <c r="A223" s="359" t="n"/>
      <c r="B223" s="360" t="n"/>
      <c r="C223" s="329" t="inlineStr">
        <is>
          <t xml:space="preserve">    материальные ресурсы без учета дополнительной перевозки</t>
        </is>
      </c>
      <c r="I223" s="331" t="n"/>
      <c r="J223" s="332">
        <f>SUM(AA58:AA208)-SUM(BJ58:BJ208)</f>
        <v/>
      </c>
      <c r="K223" s="332" t="n"/>
      <c r="L223" s="334">
        <f>SUM(AW58:AW208)-SUM(BK58:BK208)</f>
        <v/>
      </c>
    </row>
    <row r="224" ht="14.25" customHeight="1" s="197">
      <c r="A224" s="359" t="n"/>
      <c r="B224" s="360" t="n"/>
      <c r="C224" s="329" t="inlineStr">
        <is>
          <t xml:space="preserve">    дополнительная перевозка материальных ресурсов</t>
        </is>
      </c>
      <c r="I224" s="331" t="n"/>
      <c r="J224" s="332">
        <f>SUM(AG58:AG208)</f>
        <v/>
      </c>
      <c r="K224" s="332" t="n"/>
      <c r="L224" s="334">
        <f>SUM(BC58:BC208)</f>
        <v/>
      </c>
    </row>
    <row r="225" ht="14.25" customHeight="1" s="197">
      <c r="A225" s="359" t="n"/>
      <c r="B225" s="360" t="n"/>
      <c r="C225" s="329" t="inlineStr">
        <is>
          <t xml:space="preserve">  перевозка</t>
        </is>
      </c>
      <c r="I225" s="331" t="n"/>
      <c r="J225" s="332">
        <f>SUM(AF58:AF208)</f>
        <v/>
      </c>
      <c r="K225" s="332" t="n"/>
      <c r="L225" s="334">
        <f>SUM(BB58:BB208)</f>
        <v/>
      </c>
    </row>
    <row r="226" ht="14.25" customHeight="1" s="197">
      <c r="A226" s="359" t="n"/>
      <c r="B226" s="360" t="n"/>
      <c r="C226" s="329" t="inlineStr">
        <is>
          <t>Всего ФОТ (справочно)</t>
        </is>
      </c>
      <c r="I226" s="331" t="n"/>
      <c r="J226" s="332">
        <f>SUM(S58:S208)+SUM(X58:X208)+SUM(Z58:Z208)</f>
        <v/>
      </c>
      <c r="K226" s="332" t="n"/>
      <c r="L226" s="334">
        <f>SUM(AR58:AR208)+SUM(AT58:AT208)+SUM(AV58:AV208)</f>
        <v/>
      </c>
    </row>
    <row r="227" ht="14.25" customHeight="1" s="197">
      <c r="A227" s="359" t="n"/>
      <c r="B227" s="360" t="n"/>
      <c r="C227" s="329" t="inlineStr">
        <is>
          <t>Всего накладные расходы</t>
        </is>
      </c>
      <c r="I227" s="331" t="n"/>
      <c r="J227" s="332">
        <f>SUM(AD58:AD208)</f>
        <v/>
      </c>
      <c r="K227" s="332" t="n"/>
      <c r="L227" s="334">
        <f>SUM(AZ58:AZ208)</f>
        <v/>
      </c>
    </row>
    <row r="228" ht="14.25" customHeight="1" s="197">
      <c r="A228" s="359" t="n"/>
      <c r="B228" s="360" t="n"/>
      <c r="C228" s="329" t="inlineStr">
        <is>
          <t>Всего сметная прибыль</t>
        </is>
      </c>
      <c r="I228" s="331" t="n"/>
      <c r="J228" s="332">
        <f>SUM(AE58:AE208)</f>
        <v/>
      </c>
      <c r="K228" s="332" t="n"/>
      <c r="L228" s="334">
        <f>SUM(BA58:BA208)</f>
        <v/>
      </c>
    </row>
    <row r="229" ht="14.25" customHeight="1" s="197">
      <c r="A229" s="359" t="n"/>
      <c r="B229" s="360" t="n"/>
      <c r="C229" s="329" t="inlineStr">
        <is>
          <t>Всего оборудование</t>
        </is>
      </c>
      <c r="I229" s="331" t="n"/>
      <c r="J229" s="332">
        <f>J231+J232</f>
        <v/>
      </c>
      <c r="K229" s="332" t="n"/>
      <c r="L229" s="334">
        <f>L231+L232</f>
        <v/>
      </c>
    </row>
    <row r="230" ht="14.25" customHeight="1" s="197">
      <c r="A230" s="359" t="n"/>
      <c r="B230" s="360" t="n"/>
      <c r="C230" s="361" t="inlineStr">
        <is>
          <t>в том числе</t>
        </is>
      </c>
      <c r="I230" s="331" t="n"/>
      <c r="J230" s="332" t="n"/>
      <c r="K230" s="332" t="n"/>
      <c r="L230" s="334" t="n"/>
    </row>
    <row r="231" ht="14.25" customHeight="1" s="197">
      <c r="A231" s="359" t="n"/>
      <c r="B231" s="360" t="n"/>
      <c r="C231" s="329" t="inlineStr">
        <is>
          <t xml:space="preserve">  оборудование без учета дополнительной перевозки</t>
        </is>
      </c>
      <c r="I231" s="331" t="n"/>
      <c r="J231" s="332">
        <f>SUM(BJ58:BJ208)</f>
        <v/>
      </c>
      <c r="K231" s="332" t="n"/>
      <c r="L231" s="334">
        <f>SUM(BK58:BK208)</f>
        <v/>
      </c>
    </row>
    <row r="232" ht="14.25" customHeight="1" s="197">
      <c r="A232" s="359" t="n"/>
      <c r="B232" s="360" t="n"/>
      <c r="C232" s="329" t="inlineStr">
        <is>
          <t xml:space="preserve">  дополнительная перевозка оборудования</t>
        </is>
      </c>
      <c r="I232" s="331" t="n"/>
      <c r="J232" s="332">
        <f>SUM(AH58:AH208)</f>
        <v/>
      </c>
      <c r="K232" s="332" t="n"/>
      <c r="L232" s="334">
        <f>SUM(BD58:BD208)</f>
        <v/>
      </c>
    </row>
    <row r="233" ht="14.25" customHeight="1" s="197">
      <c r="A233" s="359" t="n"/>
      <c r="B233" s="360" t="n"/>
      <c r="C233" s="329" t="inlineStr">
        <is>
          <t>Всего прочие затраты</t>
        </is>
      </c>
      <c r="I233" s="331" t="n"/>
      <c r="J233" s="332">
        <f>J186</f>
        <v/>
      </c>
      <c r="K233" s="332" t="n"/>
      <c r="L233" s="334">
        <f>L186</f>
        <v/>
      </c>
    </row>
    <row r="234" ht="14.25" customHeight="1" s="197">
      <c r="A234" s="359" t="n"/>
      <c r="B234" s="360" t="n"/>
      <c r="C234" s="355" t="inlineStr">
        <is>
          <t>Справочно</t>
        </is>
      </c>
      <c r="I234" s="331" t="n"/>
      <c r="J234" s="332" t="n"/>
      <c r="K234" s="332" t="n"/>
      <c r="L234" s="334" t="n"/>
    </row>
    <row r="235" ht="14.25" customHeight="1" s="197">
      <c r="A235" s="359" t="n"/>
      <c r="B235" s="360" t="n"/>
      <c r="C235" s="329" t="inlineStr">
        <is>
          <t xml:space="preserve">  материальные ресурсы, отсутствующие в ФРСН</t>
        </is>
      </c>
      <c r="I235" s="331" t="n"/>
      <c r="J235" s="332">
        <f>SUM(AB58:AB208)</f>
        <v/>
      </c>
      <c r="K235" s="332" t="n"/>
      <c r="L235" s="334">
        <f>SUM(AX58:AX208)</f>
        <v/>
      </c>
    </row>
    <row r="236" ht="14.25" customHeight="1" s="197">
      <c r="A236" s="359" t="n"/>
      <c r="B236" s="360" t="n"/>
      <c r="C236" s="329" t="inlineStr">
        <is>
          <t xml:space="preserve">  оборудование, отсутствующие в ФРСН</t>
        </is>
      </c>
      <c r="I236" s="331" t="n"/>
      <c r="J236" s="332">
        <f>SUM(AC58:AC208)</f>
        <v/>
      </c>
      <c r="K236" s="332" t="n"/>
      <c r="L236" s="334">
        <f>SUM(AY58:AY208)</f>
        <v/>
      </c>
    </row>
    <row r="237" ht="14.25" customHeight="1" s="197">
      <c r="A237" s="359" t="n"/>
      <c r="B237" s="360" t="n"/>
      <c r="C237" s="329" t="inlineStr">
        <is>
          <t xml:space="preserve">  затраты труда рабочих</t>
        </is>
      </c>
      <c r="G237" s="362">
        <f>Source!F643</f>
        <v/>
      </c>
      <c r="H237" s="359" t="n"/>
      <c r="I237" s="359" t="n"/>
      <c r="J237" s="359" t="n"/>
      <c r="K237" s="359" t="n"/>
      <c r="L237" s="359" t="n"/>
    </row>
    <row r="238" ht="14.25" customHeight="1" s="197">
      <c r="A238" s="359" t="n"/>
      <c r="B238" s="360" t="n"/>
      <c r="C238" s="329" t="inlineStr">
        <is>
          <t xml:space="preserve">  затраты труда машинистов</t>
        </is>
      </c>
      <c r="G238" s="362">
        <f>Source!F644</f>
        <v/>
      </c>
      <c r="H238" s="359" t="n"/>
      <c r="I238" s="359" t="n"/>
      <c r="J238" s="359" t="n"/>
      <c r="K238" s="359" t="n"/>
      <c r="L238" s="359" t="n"/>
    </row>
    <row r="239"/>
    <row r="240" ht="14.25" customHeight="1" s="197">
      <c r="C240" s="363">
        <f>Source!H650</f>
        <v/>
      </c>
      <c r="L240" s="364">
        <f>IF(Source!Y650=0, "", Source!Y650)</f>
        <v/>
      </c>
    </row>
    <row r="241" ht="14.25" customHeight="1" s="197">
      <c r="C241" s="363">
        <f>Source!H651</f>
        <v/>
      </c>
      <c r="L241" s="364">
        <f>IF(Source!Y651=0, "", Source!Y651)</f>
        <v/>
      </c>
    </row>
    <row r="242" ht="14.25" customHeight="1" s="197">
      <c r="C242" s="363">
        <f>Source!H652</f>
        <v/>
      </c>
      <c r="L242" s="364">
        <f>IF(Source!Y652=0, "", Source!Y652)</f>
        <v/>
      </c>
    </row>
    <row r="243"/>
    <row r="244"/>
    <row r="245" ht="14.25" customHeight="1" s="197">
      <c r="A245" s="365" t="n"/>
      <c r="B245" s="366" t="inlineStr">
        <is>
          <t xml:space="preserve">Составил   </t>
        </is>
      </c>
      <c r="C245" s="367">
        <f>IF(Source!AC12&lt;&gt;"", Source!AC12," ")</f>
        <v/>
      </c>
      <c r="D245" s="318" t="n"/>
      <c r="E245" s="318" t="n"/>
      <c r="F245" s="318" t="n"/>
      <c r="G245" s="318" t="n"/>
      <c r="H245" s="288">
        <f>IF(Source!AB12&lt;&gt;"", Source!AB12," ")</f>
        <v/>
      </c>
      <c r="I245" s="287" t="n"/>
      <c r="J245" s="287" t="n"/>
      <c r="K245" s="287" t="n"/>
      <c r="L245" s="284" t="n"/>
    </row>
    <row r="246" ht="14.25" customHeight="1" s="197">
      <c r="A246" s="365" t="n"/>
      <c r="B246" s="368" t="n"/>
      <c r="C246" s="369" t="inlineStr">
        <is>
          <t>[должность,подпись(инициалы,фамилия)]</t>
        </is>
      </c>
      <c r="D246" s="199" t="n"/>
      <c r="E246" s="199" t="n"/>
      <c r="F246" s="199" t="n"/>
      <c r="G246" s="199" t="n"/>
      <c r="H246" s="287" t="n"/>
      <c r="I246" s="287" t="n"/>
      <c r="J246" s="287" t="n"/>
      <c r="K246" s="287" t="n"/>
      <c r="L246" s="284" t="n"/>
    </row>
    <row r="247" ht="14.25" customHeight="1" s="197">
      <c r="A247" s="365" t="n"/>
      <c r="B247" s="368" t="n"/>
      <c r="C247" s="287" t="n"/>
      <c r="D247" s="287" t="n"/>
      <c r="E247" s="287" t="n"/>
      <c r="F247" s="287" t="n"/>
      <c r="G247" s="287" t="n"/>
      <c r="H247" s="287" t="n"/>
      <c r="I247" s="287" t="n"/>
      <c r="J247" s="287" t="n"/>
      <c r="K247" s="287" t="n"/>
      <c r="L247" s="284" t="n"/>
    </row>
    <row r="248" ht="14.25" customHeight="1" s="197">
      <c r="A248" s="365" t="n"/>
      <c r="B248" s="366" t="inlineStr">
        <is>
          <t xml:space="preserve">Проверил   </t>
        </is>
      </c>
      <c r="C248" s="367">
        <f>IF(Source!AE12&lt;&gt;"", Source!AE12," ")</f>
        <v/>
      </c>
      <c r="D248" s="318" t="n"/>
      <c r="E248" s="318" t="n"/>
      <c r="F248" s="318" t="n"/>
      <c r="G248" s="318" t="n"/>
      <c r="H248" s="288">
        <f>IF(Source!AD12&lt;&gt;"", Source!AD12," ")</f>
        <v/>
      </c>
      <c r="I248" s="287" t="n"/>
      <c r="J248" s="287" t="n"/>
      <c r="K248" s="287" t="n"/>
      <c r="L248" s="284" t="n"/>
    </row>
    <row r="249" ht="14.25" customHeight="1" s="197">
      <c r="A249" s="287" t="n"/>
      <c r="B249" s="287" t="n"/>
      <c r="C249" s="369" t="inlineStr">
        <is>
          <t>[должность,подпись(инициалы,фамилия)]</t>
        </is>
      </c>
      <c r="D249" s="199" t="n"/>
      <c r="E249" s="199" t="n"/>
      <c r="F249" s="199" t="n"/>
      <c r="G249" s="199" t="n"/>
      <c r="H249" s="287" t="n"/>
      <c r="I249" s="287" t="n"/>
      <c r="J249" s="287" t="n"/>
      <c r="K249" s="287" t="n"/>
      <c r="L249" s="284" t="n"/>
    </row>
  </sheetData>
  <mergeCells count="162">
    <mergeCell ref="C196:H196"/>
    <mergeCell ref="C143:H143"/>
    <mergeCell ref="C230:H230"/>
    <mergeCell ref="C168:H168"/>
    <mergeCell ref="C183:H183"/>
    <mergeCell ref="C99:H99"/>
    <mergeCell ref="C167:H167"/>
    <mergeCell ref="C198:H198"/>
    <mergeCell ref="C232:H232"/>
    <mergeCell ref="A26:L26"/>
    <mergeCell ref="C182:H182"/>
    <mergeCell ref="C169:H169"/>
    <mergeCell ref="L52:L56"/>
    <mergeCell ref="C150:H150"/>
    <mergeCell ref="K90:L90"/>
    <mergeCell ref="C144:H144"/>
    <mergeCell ref="C159:H159"/>
    <mergeCell ref="K99:L99"/>
    <mergeCell ref="C153:H153"/>
    <mergeCell ref="F10:L10"/>
    <mergeCell ref="C233:H233"/>
    <mergeCell ref="C224:H224"/>
    <mergeCell ref="D48:E48"/>
    <mergeCell ref="C240:K240"/>
    <mergeCell ref="C208:H208"/>
    <mergeCell ref="C161:H161"/>
    <mergeCell ref="C217:H217"/>
    <mergeCell ref="C145:H145"/>
    <mergeCell ref="C154:H154"/>
    <mergeCell ref="C210:H210"/>
    <mergeCell ref="A34:L34"/>
    <mergeCell ref="F18:L18"/>
    <mergeCell ref="H3:L3"/>
    <mergeCell ref="H52:J55"/>
    <mergeCell ref="C116:H116"/>
    <mergeCell ref="C187:H187"/>
    <mergeCell ref="K116:L116"/>
    <mergeCell ref="C79:H79"/>
    <mergeCell ref="C184:H184"/>
    <mergeCell ref="C171:H171"/>
    <mergeCell ref="C231:H231"/>
    <mergeCell ref="C212:H212"/>
    <mergeCell ref="C221:H221"/>
    <mergeCell ref="C52:C56"/>
    <mergeCell ref="C39:L39"/>
    <mergeCell ref="C173:H173"/>
    <mergeCell ref="C242:K242"/>
    <mergeCell ref="C236:H236"/>
    <mergeCell ref="C214:H214"/>
    <mergeCell ref="C163:H163"/>
    <mergeCell ref="C223:H223"/>
    <mergeCell ref="K79:L79"/>
    <mergeCell ref="C207:H207"/>
    <mergeCell ref="C213:H213"/>
    <mergeCell ref="E52:G55"/>
    <mergeCell ref="B3:E3"/>
    <mergeCell ref="C149:H149"/>
    <mergeCell ref="C158:H158"/>
    <mergeCell ref="D47:E47"/>
    <mergeCell ref="A12:E12"/>
    <mergeCell ref="C190:H190"/>
    <mergeCell ref="H7:L7"/>
    <mergeCell ref="C199:H199"/>
    <mergeCell ref="C186:H186"/>
    <mergeCell ref="A31:L31"/>
    <mergeCell ref="A14:E14"/>
    <mergeCell ref="C235:H235"/>
    <mergeCell ref="C216:H216"/>
    <mergeCell ref="C191:H191"/>
    <mergeCell ref="C225:H225"/>
    <mergeCell ref="C234:H234"/>
    <mergeCell ref="C172:H172"/>
    <mergeCell ref="I99:J99"/>
    <mergeCell ref="C147:H147"/>
    <mergeCell ref="C162:H162"/>
    <mergeCell ref="C218:H218"/>
    <mergeCell ref="C227:H227"/>
    <mergeCell ref="K68:L68"/>
    <mergeCell ref="F22:L22"/>
    <mergeCell ref="A25:L25"/>
    <mergeCell ref="C137:H137"/>
    <mergeCell ref="C177:H177"/>
    <mergeCell ref="C146:H146"/>
    <mergeCell ref="C211:H211"/>
    <mergeCell ref="B6:E6"/>
    <mergeCell ref="C226:H226"/>
    <mergeCell ref="C164:H164"/>
    <mergeCell ref="K52:K56"/>
    <mergeCell ref="I116:J116"/>
    <mergeCell ref="C201:H201"/>
    <mergeCell ref="H4:L4"/>
    <mergeCell ref="C148:H148"/>
    <mergeCell ref="C139:H139"/>
    <mergeCell ref="C237:F237"/>
    <mergeCell ref="C90:H90"/>
    <mergeCell ref="C188:H188"/>
    <mergeCell ref="C222:H222"/>
    <mergeCell ref="F14:L14"/>
    <mergeCell ref="C246:G246"/>
    <mergeCell ref="A16:E16"/>
    <mergeCell ref="H6:L6"/>
    <mergeCell ref="D49:E49"/>
    <mergeCell ref="C203:H203"/>
    <mergeCell ref="C181:H181"/>
    <mergeCell ref="C241:K241"/>
    <mergeCell ref="B7:E7"/>
    <mergeCell ref="A18:E18"/>
    <mergeCell ref="C174:H174"/>
    <mergeCell ref="C165:H165"/>
    <mergeCell ref="A29:L29"/>
    <mergeCell ref="C155:H155"/>
    <mergeCell ref="C189:H189"/>
    <mergeCell ref="C229:H229"/>
    <mergeCell ref="F12:L12"/>
    <mergeCell ref="C179:H179"/>
    <mergeCell ref="A22:E22"/>
    <mergeCell ref="C157:H157"/>
    <mergeCell ref="C68:H68"/>
    <mergeCell ref="C166:H166"/>
    <mergeCell ref="I79:J79"/>
    <mergeCell ref="C175:H175"/>
    <mergeCell ref="B52:B56"/>
    <mergeCell ref="A20:E20"/>
    <mergeCell ref="D52:D56"/>
    <mergeCell ref="C215:H215"/>
    <mergeCell ref="I137:J137"/>
    <mergeCell ref="K137:L137"/>
    <mergeCell ref="C200:H200"/>
    <mergeCell ref="C205:H205"/>
    <mergeCell ref="C249:G249"/>
    <mergeCell ref="C152:H152"/>
    <mergeCell ref="I90:J90"/>
    <mergeCell ref="C193:H193"/>
    <mergeCell ref="C142:H142"/>
    <mergeCell ref="C202:H202"/>
    <mergeCell ref="C176:H176"/>
    <mergeCell ref="C192:H192"/>
    <mergeCell ref="C178:H178"/>
    <mergeCell ref="B4:E4"/>
    <mergeCell ref="A33:L33"/>
    <mergeCell ref="C219:H219"/>
    <mergeCell ref="C194:H194"/>
    <mergeCell ref="A52:A56"/>
    <mergeCell ref="C228:H228"/>
    <mergeCell ref="F16:L16"/>
    <mergeCell ref="I68:J68"/>
    <mergeCell ref="C170:H170"/>
    <mergeCell ref="A28:L28"/>
    <mergeCell ref="C220:H220"/>
    <mergeCell ref="F20:L20"/>
    <mergeCell ref="C195:H195"/>
    <mergeCell ref="C204:H204"/>
    <mergeCell ref="C156:H156"/>
    <mergeCell ref="C151:H151"/>
    <mergeCell ref="C40:L40"/>
    <mergeCell ref="C238:F238"/>
    <mergeCell ref="A10:E10"/>
    <mergeCell ref="C141:H141"/>
    <mergeCell ref="C197:H197"/>
    <mergeCell ref="C206:H206"/>
    <mergeCell ref="D50:E50"/>
    <mergeCell ref="D44:E4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CD229"/>
  <sheetViews>
    <sheetView workbookViewId="0">
      <selection activeCell="A1" sqref="A1"/>
    </sheetView>
  </sheetViews>
  <sheetFormatPr baseColWidth="8" defaultRowHeight="15"/>
  <cols>
    <col width="5.7109375" customWidth="1" style="197" min="1" max="1"/>
    <col width="13" customWidth="1" style="197" min="2" max="2"/>
    <col width="20.7109375" customWidth="1" style="197" min="3" max="3"/>
    <col width="40.7109375" customWidth="1" style="197" min="4" max="4"/>
    <col width="10.7109375" customWidth="1" style="197" min="5" max="5"/>
    <col width="15.7109375" customWidth="1" style="197" min="6" max="6"/>
    <col width="17.5703125" customWidth="1" style="197" min="7" max="7"/>
    <col width="15.7109375" customWidth="1" style="197" min="8" max="8"/>
    <col width="13" customWidth="1" style="197" min="9" max="9"/>
    <col width="13" customWidth="1" style="197" min="10" max="10"/>
    <col width="13" customWidth="1" style="197" min="11" max="11"/>
    <col width="13" customWidth="1" style="197" min="12" max="12"/>
    <col width="13" customWidth="1" style="197" min="13" max="13"/>
    <col width="13" customWidth="1" style="197" min="14" max="14"/>
    <col width="13" customWidth="1" style="197" min="16" max="16"/>
    <col width="13" customWidth="1" style="197" min="17" max="17"/>
    <col width="13" customWidth="1" style="197" min="18" max="18"/>
    <col width="13" customWidth="1" style="197" min="19" max="19"/>
    <col width="13" customWidth="1" style="197" min="20" max="20"/>
    <col width="13" customWidth="1" style="197" min="21" max="21"/>
    <col width="13" customWidth="1" style="197" min="22" max="22"/>
    <col width="13" customWidth="1" style="197" min="23" max="23"/>
    <col width="13" customWidth="1" style="197" min="24" max="24"/>
    <col width="13" customWidth="1" style="197" min="25" max="25"/>
    <col width="13" customWidth="1" style="197" min="26" max="26"/>
    <col width="13" customWidth="1" style="197" min="27" max="27"/>
    <col width="13" customWidth="1" style="197" min="28" max="28"/>
    <col width="13" customWidth="1" style="197" min="29" max="29"/>
    <col width="13" customWidth="1" style="197" min="30" max="30"/>
    <col width="13" customWidth="1" style="197" min="31" max="31"/>
    <col width="13" customWidth="1" style="197" min="32" max="32"/>
    <col width="13" customWidth="1" style="197" min="33" max="33"/>
    <col width="13" customWidth="1" style="197" min="34" max="34"/>
    <col width="13" customWidth="1" style="197" min="35" max="35"/>
    <col width="13" customWidth="1" style="197" min="36" max="36"/>
    <col width="13" customWidth="1" style="197" min="37" max="37"/>
    <col width="13" customWidth="1" style="197" min="38" max="38"/>
    <col width="13" customWidth="1" style="197" min="39" max="39"/>
    <col width="13" customWidth="1" style="197" min="40" max="40"/>
    <col width="13" customWidth="1" style="197" min="41" max="41"/>
    <col width="13" customWidth="1" style="197" min="42" max="42"/>
    <col width="13" customWidth="1" style="197" min="43" max="43"/>
    <col width="13" customWidth="1" style="197" min="44" max="44"/>
    <col width="13" customWidth="1" style="197" min="45" max="45"/>
    <col width="13" customWidth="1" style="197" min="46" max="46"/>
    <col width="13" customWidth="1" style="197" min="47" max="47"/>
    <col width="13" customWidth="1" style="197" min="48" max="48"/>
    <col width="13" customWidth="1" style="197" min="49" max="49"/>
    <col width="13" customWidth="1" style="197" min="50" max="50"/>
    <col width="13" customWidth="1" style="197" min="51" max="51"/>
    <col width="13" customWidth="1" style="197" min="52" max="52"/>
    <col width="13" customWidth="1" style="197" min="53" max="53"/>
    <col width="13" customWidth="1" style="197" min="54" max="54"/>
    <col width="13" customWidth="1" style="197" min="55" max="55"/>
    <col width="13" customWidth="1" style="197" min="56" max="56"/>
    <col width="13" customWidth="1" style="197" min="57" max="57"/>
    <col width="13" customWidth="1" style="197" min="58" max="58"/>
    <col width="13" customWidth="1" style="197" min="59" max="59"/>
    <col width="13" customWidth="1" style="197" min="60" max="60"/>
    <col width="13" customWidth="1" style="197" min="61" max="61"/>
    <col width="13" customWidth="1" style="197" min="62" max="62"/>
    <col width="13" customWidth="1" style="197" min="63" max="63"/>
    <col width="13" customWidth="1" style="197" min="64" max="64"/>
    <col width="13" customWidth="1" style="197" min="65" max="65"/>
    <col width="13" customWidth="1" style="197" min="66" max="66"/>
    <col width="13" customWidth="1" style="197" min="67" max="67"/>
    <col width="13" customWidth="1" style="197" min="68" max="68"/>
    <col width="13" customWidth="1" style="197" min="69" max="69"/>
    <col width="13" customWidth="1" style="197" min="70" max="70"/>
    <col width="13" customWidth="1" style="197" min="71" max="71"/>
    <col width="13" customWidth="1" style="197" min="72" max="72"/>
    <col width="13" customWidth="1" style="197" min="73" max="73"/>
    <col width="13" customWidth="1" style="197" min="74" max="74"/>
    <col width="13" customWidth="1" style="197" min="75" max="75"/>
    <col width="13" customWidth="1" style="197" min="76" max="76"/>
    <col width="13" customWidth="1" style="197" min="77" max="77"/>
    <col width="13" customWidth="1" style="197" min="78" max="78"/>
    <col width="13" customWidth="1" style="197" min="79" max="79"/>
    <col width="13" customWidth="1" style="197" min="80" max="80"/>
    <col width="13" customWidth="1" style="197" min="81" max="81"/>
    <col width="13" customWidth="1" style="197" min="82" max="82"/>
  </cols>
  <sheetData>
    <row r="1">
      <c r="A1" s="283" t="inlineStr">
        <is>
          <t>Smeta.RU Flash  (495) 974-1589</t>
        </is>
      </c>
      <c r="B1" s="283" t="n"/>
      <c r="C1" s="283" t="n"/>
      <c r="D1" s="283" t="n"/>
      <c r="E1" s="283" t="n"/>
      <c r="F1" s="283" t="n"/>
      <c r="G1" s="283" t="n"/>
      <c r="H1" s="283" t="n"/>
      <c r="I1" s="283" t="n"/>
      <c r="J1" s="283" t="n"/>
      <c r="K1" s="283" t="n"/>
      <c r="L1" s="283" t="n"/>
      <c r="M1" s="283" t="n"/>
    </row>
    <row r="2" ht="12.75" customHeight="1" s="197">
      <c r="A2" s="370" t="n"/>
      <c r="B2" s="370" t="n"/>
      <c r="C2" s="370" t="n"/>
      <c r="D2" s="370" t="n"/>
      <c r="E2" s="370" t="n"/>
      <c r="F2" s="370" t="n"/>
      <c r="G2" s="370" t="n"/>
      <c r="H2" s="370" t="n"/>
      <c r="I2" s="370" t="n"/>
      <c r="J2" s="371" t="inlineStr">
        <is>
          <t>Унифицированная форма № КС-2</t>
        </is>
      </c>
    </row>
    <row r="3" ht="12.75" customHeight="1" s="197">
      <c r="A3" s="370" t="n"/>
      <c r="B3" s="370" t="n"/>
      <c r="C3" s="370" t="n"/>
      <c r="D3" s="370" t="n"/>
      <c r="E3" s="370" t="n"/>
      <c r="F3" s="370" t="n"/>
      <c r="G3" s="370" t="n"/>
      <c r="H3" s="370" t="n"/>
      <c r="I3" s="371" t="inlineStr">
        <is>
          <t>Утверждена постановлением Госкомстата России</t>
        </is>
      </c>
    </row>
    <row r="4" ht="12.75" customHeight="1" s="197">
      <c r="A4" s="370" t="n"/>
      <c r="B4" s="370" t="n"/>
      <c r="C4" s="370" t="n"/>
      <c r="D4" s="370" t="n"/>
      <c r="E4" s="370" t="n"/>
      <c r="F4" s="370" t="n"/>
      <c r="G4" s="370" t="n"/>
      <c r="H4" s="370" t="n"/>
      <c r="I4" s="370" t="n"/>
      <c r="J4" s="371" t="inlineStr">
        <is>
          <t>от 11.11.99. № 100</t>
        </is>
      </c>
    </row>
    <row r="5" ht="12.75" customHeight="1" s="197">
      <c r="A5" s="370" t="n"/>
      <c r="B5" s="370" t="n"/>
      <c r="C5" s="370" t="n"/>
      <c r="D5" s="370" t="n"/>
      <c r="E5" s="370" t="n"/>
      <c r="F5" s="370" t="n"/>
      <c r="G5" s="370" t="n"/>
      <c r="H5" s="370" t="n"/>
      <c r="I5" s="370" t="n"/>
      <c r="J5" s="370" t="n"/>
      <c r="K5" s="370" t="n"/>
      <c r="L5" s="370" t="n"/>
      <c r="M5" s="370" t="n"/>
    </row>
    <row r="6" ht="14.25" customHeight="1" s="197">
      <c r="A6" s="370" t="n"/>
      <c r="B6" s="370" t="n"/>
      <c r="C6" s="370" t="n"/>
      <c r="D6" s="370" t="n"/>
      <c r="E6" s="370" t="n"/>
      <c r="F6" s="370" t="n"/>
      <c r="G6" s="370" t="n"/>
      <c r="H6" s="370" t="n"/>
      <c r="I6" s="370" t="n"/>
      <c r="J6" s="370" t="n"/>
      <c r="K6" s="372" t="inlineStr">
        <is>
          <t>Код</t>
        </is>
      </c>
      <c r="L6" s="198" t="n"/>
      <c r="M6" s="198" t="n"/>
    </row>
    <row r="7" ht="28.5" customHeight="1" s="197">
      <c r="A7" s="370" t="n"/>
      <c r="B7" s="370" t="n"/>
      <c r="C7" s="370" t="n"/>
      <c r="D7" s="370" t="n"/>
      <c r="E7" s="370" t="n"/>
      <c r="F7" s="370" t="n"/>
      <c r="G7" s="370" t="n"/>
      <c r="H7" s="370" t="n"/>
      <c r="I7" s="370" t="n"/>
      <c r="J7" s="373" t="inlineStr">
        <is>
          <t>Форма по ОКУД</t>
        </is>
      </c>
      <c r="K7" s="374" t="n">
        <v>322005</v>
      </c>
      <c r="L7" s="231" t="n"/>
      <c r="M7" s="224" t="n"/>
    </row>
    <row r="8" ht="12.75" customHeight="1" s="197">
      <c r="A8" s="370" t="n"/>
      <c r="B8" s="370" t="n"/>
      <c r="C8" s="370" t="n"/>
      <c r="D8" s="370" t="n"/>
      <c r="E8" s="370" t="n"/>
      <c r="F8" s="370" t="n"/>
      <c r="G8" s="370" t="n"/>
      <c r="H8" s="370" t="n"/>
      <c r="I8" s="370" t="n"/>
      <c r="J8" s="370" t="n"/>
      <c r="K8" s="374" t="inlineStr"/>
      <c r="L8" s="199" t="n"/>
      <c r="M8" s="202" t="n"/>
    </row>
    <row r="9" ht="14.25" customHeight="1" s="197">
      <c r="A9" s="370" t="inlineStr">
        <is>
          <t>Инвестор</t>
        </is>
      </c>
      <c r="C9" s="375" t="inlineStr"/>
      <c r="D9" s="198" t="n"/>
      <c r="E9" s="198" t="n"/>
      <c r="F9" s="198" t="n"/>
      <c r="G9" s="198" t="n"/>
      <c r="H9" s="198" t="n"/>
      <c r="I9" s="198" t="n"/>
      <c r="J9" s="373" t="inlineStr">
        <is>
          <t>по ОКПО</t>
        </is>
      </c>
      <c r="K9" s="205" t="n"/>
      <c r="L9" s="198" t="n"/>
      <c r="M9" s="206" t="n"/>
    </row>
    <row r="10" ht="12.75" customHeight="1" s="197">
      <c r="A10" s="370" t="n"/>
      <c r="B10" s="370" t="n"/>
      <c r="C10" s="376" t="inlineStr">
        <is>
          <t>организация, адрес, телефон, факс</t>
        </is>
      </c>
      <c r="D10" s="199" t="n"/>
      <c r="E10" s="199" t="n"/>
      <c r="F10" s="199" t="n"/>
      <c r="G10" s="199" t="n"/>
      <c r="H10" s="199" t="n"/>
      <c r="I10" s="199" t="n"/>
      <c r="J10" s="370" t="n"/>
      <c r="K10" s="374" t="inlineStr"/>
      <c r="L10" s="199" t="n"/>
      <c r="M10" s="202" t="n"/>
    </row>
    <row r="11" ht="14.25" customHeight="1" s="197">
      <c r="A11" s="370" t="inlineStr">
        <is>
          <t>Заказчик</t>
        </is>
      </c>
      <c r="C11" s="375" t="inlineStr">
        <is>
          <t>МУП "МЩВ" Филиал Жилищник"</t>
        </is>
      </c>
      <c r="D11" s="198" t="n"/>
      <c r="E11" s="198" t="n"/>
      <c r="F11" s="198" t="n"/>
      <c r="G11" s="198" t="n"/>
      <c r="H11" s="198" t="n"/>
      <c r="I11" s="198" t="n"/>
      <c r="J11" s="373" t="inlineStr">
        <is>
          <t>по ОКПО</t>
        </is>
      </c>
      <c r="K11" s="205" t="n"/>
      <c r="L11" s="198" t="n"/>
      <c r="M11" s="206" t="n"/>
    </row>
    <row r="12" ht="12.75" customHeight="1" s="197">
      <c r="A12" s="370" t="n"/>
      <c r="B12" s="370" t="n"/>
      <c r="C12" s="376" t="inlineStr">
        <is>
          <t>организация, адрес, телефон, факс</t>
        </is>
      </c>
      <c r="D12" s="199" t="n"/>
      <c r="E12" s="199" t="n"/>
      <c r="F12" s="199" t="n"/>
      <c r="G12" s="199" t="n"/>
      <c r="H12" s="199" t="n"/>
      <c r="I12" s="199" t="n"/>
      <c r="J12" s="370" t="n"/>
      <c r="K12" s="374" t="inlineStr"/>
      <c r="L12" s="199" t="n"/>
      <c r="M12" s="202" t="n"/>
    </row>
    <row r="13" ht="14.25" customHeight="1" s="197">
      <c r="A13" s="370" t="inlineStr">
        <is>
          <t>Подрядчик</t>
        </is>
      </c>
      <c r="C13" s="375" t="inlineStr">
        <is>
          <t>ООО "ГОРИЗОНТ+"</t>
        </is>
      </c>
      <c r="D13" s="198" t="n"/>
      <c r="E13" s="198" t="n"/>
      <c r="F13" s="198" t="n"/>
      <c r="G13" s="198" t="n"/>
      <c r="H13" s="198" t="n"/>
      <c r="I13" s="198" t="n"/>
      <c r="J13" s="373" t="inlineStr">
        <is>
          <t>по ОКПО</t>
        </is>
      </c>
      <c r="K13" s="205" t="n"/>
      <c r="L13" s="198" t="n"/>
      <c r="M13" s="206" t="n"/>
    </row>
    <row r="14" ht="12.75" customHeight="1" s="197">
      <c r="A14" s="370" t="n"/>
      <c r="B14" s="370" t="n"/>
      <c r="C14" s="376" t="inlineStr">
        <is>
          <t>организация, адрес, телефон, факс</t>
        </is>
      </c>
      <c r="D14" s="199" t="n"/>
      <c r="E14" s="199" t="n"/>
      <c r="F14" s="199" t="n"/>
      <c r="G14" s="199" t="n"/>
      <c r="H14" s="199" t="n"/>
      <c r="I14" s="199" t="n"/>
      <c r="J14" s="370" t="n"/>
      <c r="K14" s="374" t="inlineStr"/>
      <c r="L14" s="199" t="n"/>
      <c r="M14" s="202" t="n"/>
    </row>
    <row r="15" ht="14.25" customHeight="1" s="197">
      <c r="A15" s="370" t="inlineStr">
        <is>
          <t>Стройка</t>
        </is>
      </c>
      <c r="C15" s="375" t="inlineStr">
        <is>
          <t>Текущий ремонт МКД по адресу: М.О., Щелково, Молодежная 8</t>
        </is>
      </c>
      <c r="D15" s="198" t="n"/>
      <c r="E15" s="198" t="n"/>
      <c r="F15" s="198" t="n"/>
      <c r="G15" s="198" t="n"/>
      <c r="H15" s="198" t="n"/>
      <c r="I15" s="198" t="n"/>
      <c r="J15" s="377" t="n"/>
      <c r="K15" s="205" t="n"/>
      <c r="L15" s="198" t="n"/>
      <c r="M15" s="206" t="n"/>
    </row>
    <row r="16" ht="12.75" customHeight="1" s="197">
      <c r="A16" s="370" t="n"/>
      <c r="B16" s="370" t="n"/>
      <c r="C16" s="376" t="inlineStr">
        <is>
          <t>наименование, адрес</t>
        </is>
      </c>
      <c r="D16" s="199" t="n"/>
      <c r="E16" s="199" t="n"/>
      <c r="F16" s="199" t="n"/>
      <c r="G16" s="199" t="n"/>
      <c r="H16" s="199" t="n"/>
      <c r="I16" s="199" t="n"/>
      <c r="J16" s="370" t="n"/>
      <c r="K16" s="374" t="inlineStr"/>
      <c r="L16" s="199" t="n"/>
      <c r="M16" s="202" t="n"/>
    </row>
    <row r="17" ht="14.25" customHeight="1" s="197">
      <c r="A17" s="370" t="inlineStr">
        <is>
          <t>Объект</t>
        </is>
      </c>
      <c r="C17" s="375" t="inlineStr">
        <is>
          <t>Текущий ремонт МКД по адресу: М.О., Щелково, Молодежная 8</t>
        </is>
      </c>
      <c r="D17" s="198" t="n"/>
      <c r="E17" s="198" t="n"/>
      <c r="F17" s="198" t="n"/>
      <c r="G17" s="198" t="n"/>
      <c r="H17" s="198" t="n"/>
      <c r="I17" s="198" t="n"/>
      <c r="J17" s="377" t="n"/>
      <c r="K17" s="205" t="n"/>
      <c r="L17" s="198" t="n"/>
      <c r="M17" s="206" t="n"/>
    </row>
    <row r="18" ht="12.75" customHeight="1" s="197">
      <c r="A18" s="370" t="n"/>
      <c r="B18" s="370" t="n"/>
      <c r="C18" s="376" t="inlineStr">
        <is>
          <t>наименование</t>
        </is>
      </c>
      <c r="D18" s="199" t="n"/>
      <c r="E18" s="199" t="n"/>
      <c r="F18" s="199" t="n"/>
      <c r="G18" s="199" t="n"/>
      <c r="H18" s="199" t="n"/>
      <c r="I18" s="199" t="n"/>
      <c r="J18" s="370" t="n"/>
      <c r="K18" s="378" t="n"/>
      <c r="L18" s="378" t="n"/>
      <c r="M18" s="378" t="n"/>
    </row>
    <row r="19" ht="14.25" customHeight="1" s="197">
      <c r="A19" s="370" t="n"/>
      <c r="B19" s="370" t="n"/>
      <c r="C19" s="370" t="n"/>
      <c r="D19" s="370" t="n"/>
      <c r="E19" s="370" t="n"/>
      <c r="F19" s="370" t="n"/>
      <c r="G19" s="370" t="n"/>
      <c r="H19" s="379" t="inlineStr">
        <is>
          <t>Вид деятельности по ОКДП</t>
        </is>
      </c>
      <c r="I19" s="198" t="n"/>
      <c r="J19" s="206" t="n"/>
      <c r="K19" s="374" t="inlineStr"/>
      <c r="L19" s="231" t="n"/>
      <c r="M19" s="224" t="n"/>
    </row>
    <row r="20" ht="14.25" customHeight="1" s="197">
      <c r="A20" s="370" t="n"/>
      <c r="B20" s="370" t="n"/>
      <c r="C20" s="370" t="n"/>
      <c r="D20" s="370" t="n"/>
      <c r="E20" s="370" t="n"/>
      <c r="F20" s="370" t="n"/>
      <c r="G20" s="370" t="n"/>
      <c r="H20" s="380" t="inlineStr">
        <is>
          <t>Договор подряда</t>
        </is>
      </c>
      <c r="I20" s="202" t="n"/>
      <c r="J20" s="374" t="inlineStr">
        <is>
          <t>номер</t>
        </is>
      </c>
      <c r="K20" s="374" t="inlineStr"/>
      <c r="L20" s="231" t="n"/>
      <c r="M20" s="224" t="n"/>
    </row>
    <row r="21" ht="14.25" customHeight="1" s="197">
      <c r="A21" s="370" t="n"/>
      <c r="B21" s="370" t="n"/>
      <c r="C21" s="370" t="n"/>
      <c r="D21" s="370" t="n"/>
      <c r="E21" s="370" t="n"/>
      <c r="F21" s="370" t="n"/>
      <c r="G21" s="370" t="n"/>
      <c r="H21" s="370" t="n"/>
      <c r="I21" s="377" t="n"/>
      <c r="J21" s="374" t="inlineStr">
        <is>
          <t>дата</t>
        </is>
      </c>
      <c r="K21" s="381" t="inlineStr"/>
      <c r="L21" s="231" t="n"/>
      <c r="M21" s="224" t="n"/>
    </row>
    <row r="22" ht="14.25" customHeight="1" s="197">
      <c r="A22" s="370" t="n"/>
      <c r="B22" s="370" t="n"/>
      <c r="C22" s="370" t="n"/>
      <c r="D22" s="370" t="n"/>
      <c r="E22" s="370" t="n"/>
      <c r="F22" s="370" t="n"/>
      <c r="G22" s="370" t="n"/>
      <c r="H22" s="370" t="n"/>
      <c r="I22" s="370" t="n"/>
      <c r="J22" s="380" t="inlineStr">
        <is>
          <t>Вид операции</t>
        </is>
      </c>
      <c r="K22" s="374" t="inlineStr"/>
      <c r="L22" s="231" t="n"/>
      <c r="M22" s="224" t="n"/>
    </row>
    <row r="23" ht="12.75" customHeight="1" s="197">
      <c r="A23" s="370" t="n"/>
      <c r="B23" s="370" t="n"/>
      <c r="C23" s="370" t="n"/>
      <c r="D23" s="370" t="n"/>
      <c r="E23" s="370" t="n"/>
      <c r="F23" s="370" t="n"/>
      <c r="G23" s="382" t="n"/>
      <c r="H23" s="382" t="n"/>
      <c r="I23" s="382" t="n"/>
      <c r="J23" s="382" t="n"/>
      <c r="K23" s="383" t="n"/>
      <c r="L23" s="383" t="n"/>
      <c r="M23" s="383" t="n"/>
    </row>
    <row r="24" ht="12.75" customHeight="1" s="197">
      <c r="A24" s="370" t="n"/>
      <c r="B24" s="370" t="n"/>
      <c r="C24" s="370" t="n"/>
      <c r="D24" s="370" t="n"/>
      <c r="E24" s="370" t="n"/>
      <c r="F24" s="370" t="n"/>
      <c r="G24" s="384" t="inlineStr">
        <is>
          <t>Номер документа</t>
        </is>
      </c>
      <c r="H24" s="384" t="inlineStr">
        <is>
          <t>Дата составления</t>
        </is>
      </c>
      <c r="I24" s="384" t="inlineStr">
        <is>
          <t>Отчетный период</t>
        </is>
      </c>
      <c r="J24" s="224" t="n"/>
      <c r="K24" s="385" t="n"/>
      <c r="L24" s="370" t="n"/>
      <c r="M24" s="370" t="n"/>
    </row>
    <row r="25" ht="12.75" customHeight="1" s="197">
      <c r="A25" s="370" t="n"/>
      <c r="B25" s="370" t="n"/>
      <c r="C25" s="370" t="n"/>
      <c r="D25" s="370" t="n"/>
      <c r="E25" s="370" t="n"/>
      <c r="F25" s="377" t="n"/>
      <c r="G25" s="216" t="n"/>
      <c r="H25" s="216" t="n"/>
      <c r="I25" s="384" t="inlineStr">
        <is>
          <t>с</t>
        </is>
      </c>
      <c r="J25" s="384" t="inlineStr">
        <is>
          <t>по</t>
        </is>
      </c>
      <c r="K25" s="385" t="n"/>
      <c r="L25" s="370" t="n"/>
      <c r="M25" s="370" t="n"/>
    </row>
    <row r="26" ht="12.75" customHeight="1" s="197">
      <c r="A26" s="370" t="n"/>
      <c r="B26" s="370" t="n"/>
      <c r="C26" s="370" t="n"/>
      <c r="D26" s="370" t="n"/>
      <c r="E26" s="370" t="n"/>
      <c r="F26" s="377" t="n"/>
      <c r="G26" s="386" t="n">
        <v>14</v>
      </c>
      <c r="H26" s="381" t="n">
        <v>45961</v>
      </c>
      <c r="I26" s="381" t="n">
        <v>45931</v>
      </c>
      <c r="J26" s="381" t="n">
        <v>45961</v>
      </c>
      <c r="K26" s="385" t="n"/>
      <c r="L26" s="370" t="n"/>
      <c r="M26" s="370" t="n"/>
    </row>
    <row r="27" ht="12.75" customHeight="1" s="197">
      <c r="A27" s="308" t="n"/>
      <c r="B27" s="308" t="n"/>
      <c r="C27" s="308" t="n"/>
      <c r="D27" s="308" t="n"/>
      <c r="E27" s="308" t="n"/>
      <c r="F27" s="308" t="n"/>
      <c r="G27" s="387" t="n"/>
      <c r="H27" s="387" t="n"/>
      <c r="I27" s="387" t="n"/>
      <c r="J27" s="387" t="n"/>
      <c r="K27" s="308" t="n"/>
      <c r="L27" s="308" t="n"/>
      <c r="M27" s="308" t="n"/>
    </row>
    <row r="28" ht="18" customHeight="1" s="197">
      <c r="A28" s="388" t="inlineStr">
        <is>
          <t>AKT</t>
        </is>
      </c>
    </row>
    <row r="29" ht="18" customHeight="1" s="197">
      <c r="A29" s="388" t="inlineStr">
        <is>
          <t>О ПРИЕМКЕ ВЫПОЛНЕННЫХ РАБОТ</t>
        </is>
      </c>
    </row>
    <row r="30" ht="12.75" customHeight="1" s="197">
      <c r="A30" s="308" t="n"/>
      <c r="B30" s="308" t="n"/>
      <c r="C30" s="308" t="n"/>
      <c r="D30" s="308" t="n"/>
      <c r="E30" s="308" t="n"/>
      <c r="F30" s="308" t="n"/>
      <c r="G30" s="308" t="n"/>
      <c r="H30" s="308" t="n"/>
      <c r="I30" s="308" t="n"/>
      <c r="J30" s="308" t="n"/>
      <c r="K30" s="308" t="n"/>
      <c r="L30" s="308" t="n"/>
      <c r="M30" s="308" t="n"/>
    </row>
    <row r="31" ht="14.25" customHeight="1" s="197">
      <c r="A31" s="389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198" t="n"/>
      <c r="C31" s="198" t="n"/>
      <c r="D31" s="198" t="n"/>
      <c r="E31" s="198" t="n"/>
      <c r="F31" s="198" t="n"/>
      <c r="G31" s="198" t="n"/>
      <c r="H31" s="198" t="n"/>
      <c r="I31" s="198" t="n"/>
      <c r="J31" s="198" t="n"/>
      <c r="K31" s="198" t="n"/>
      <c r="L31" s="198" t="n"/>
      <c r="M31" s="198" t="n"/>
    </row>
    <row r="32" ht="12.75" customHeight="1" s="197">
      <c r="A32" s="390" t="inlineStr">
        <is>
          <t>№ п/п</t>
        </is>
      </c>
      <c r="B32" s="231" t="n"/>
      <c r="C32" s="322" t="inlineStr">
        <is>
          <t>Обоснование</t>
        </is>
      </c>
      <c r="D32" s="319" t="inlineStr">
        <is>
          <t>Наименование работ и затрат</t>
        </is>
      </c>
      <c r="E32" s="319" t="inlineStr">
        <is>
          <t>Единица измерения</t>
        </is>
      </c>
      <c r="F32" s="319" t="inlineStr">
        <is>
          <t>Количество</t>
        </is>
      </c>
      <c r="G32" s="199" t="n"/>
      <c r="H32" s="202" t="n"/>
      <c r="I32" s="320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199" t="n"/>
      <c r="K32" s="321" t="n"/>
      <c r="L32" s="322" t="inlineStr">
        <is>
          <t>Индексы</t>
        </is>
      </c>
      <c r="M32" s="319" t="inlineStr">
        <is>
          <t>Сметная стоимость в текущем уровне цен, руб.</t>
        </is>
      </c>
    </row>
    <row r="33" ht="12.75" customHeight="1" s="197">
      <c r="A33" s="319" t="inlineStr">
        <is>
          <t>№ п/п</t>
        </is>
      </c>
      <c r="B33" s="320" t="inlineStr">
        <is>
          <t>поз. по сме-те</t>
        </is>
      </c>
      <c r="C33" s="323" t="n"/>
      <c r="D33" s="211" t="n"/>
      <c r="E33" s="211" t="n"/>
      <c r="F33" s="209" t="n"/>
      <c r="H33" s="210" t="n"/>
      <c r="I33" s="209" t="n"/>
      <c r="K33" s="257" t="n"/>
      <c r="L33" s="323" t="n"/>
      <c r="M33" s="211" t="n"/>
    </row>
    <row r="34" ht="12.75" customHeight="1" s="197">
      <c r="A34" s="211" t="n"/>
      <c r="B34" s="391" t="n"/>
      <c r="C34" s="323" t="n"/>
      <c r="D34" s="211" t="n"/>
      <c r="E34" s="211" t="n"/>
      <c r="F34" s="205" t="n"/>
      <c r="G34" s="198" t="n"/>
      <c r="H34" s="206" t="n"/>
      <c r="I34" s="205" t="n"/>
      <c r="J34" s="198" t="n"/>
      <c r="K34" s="324" t="n"/>
      <c r="L34" s="323" t="n"/>
      <c r="M34" s="211" t="n"/>
    </row>
    <row r="35" ht="25.5" customHeight="1" s="197">
      <c r="A35" s="216" t="n"/>
      <c r="B35" s="392" t="n"/>
      <c r="C35" s="326" t="n"/>
      <c r="D35" s="216" t="n"/>
      <c r="E35" s="216" t="n"/>
      <c r="F35" s="319" t="inlineStr">
        <is>
          <t>на единицу</t>
        </is>
      </c>
      <c r="G35" s="319" t="inlineStr">
        <is>
          <t>коэффициенты</t>
        </is>
      </c>
      <c r="H35" s="325" t="inlineStr">
        <is>
          <t>всего с учетом коэффициентов</t>
        </is>
      </c>
      <c r="I35" s="319" t="inlineStr">
        <is>
          <t>на единицу</t>
        </is>
      </c>
      <c r="J35" s="319" t="inlineStr">
        <is>
          <t>коэффициенты</t>
        </is>
      </c>
      <c r="K35" s="320" t="inlineStr">
        <is>
          <t>всего</t>
        </is>
      </c>
      <c r="L35" s="326" t="n"/>
      <c r="M35" s="216" t="n"/>
    </row>
    <row r="36" ht="12.75" customHeight="1" s="197">
      <c r="A36" s="393" t="n">
        <v>1</v>
      </c>
      <c r="B36" s="393" t="n">
        <v>2</v>
      </c>
      <c r="C36" s="393" t="n">
        <v>3</v>
      </c>
      <c r="D36" s="393" t="n">
        <v>4</v>
      </c>
      <c r="E36" s="393" t="n">
        <v>5</v>
      </c>
      <c r="F36" s="393" t="n">
        <v>6</v>
      </c>
      <c r="G36" s="393" t="n">
        <v>7</v>
      </c>
      <c r="H36" s="393" t="n">
        <v>8</v>
      </c>
      <c r="I36" s="393" t="n">
        <v>9</v>
      </c>
      <c r="J36" s="393" t="n">
        <v>10</v>
      </c>
      <c r="K36" s="393" t="n">
        <v>11</v>
      </c>
      <c r="L36" s="393" t="n">
        <v>12</v>
      </c>
      <c r="M36" s="393" t="n">
        <v>13</v>
      </c>
    </row>
    <row r="37"/>
    <row r="38" ht="42.75" customHeight="1" s="197">
      <c r="A38" s="329" t="inlineStr">
        <is>
          <t>1</t>
        </is>
      </c>
      <c r="B38" s="329" t="inlineStr">
        <is>
          <t>1</t>
        </is>
      </c>
      <c r="C38" s="329">
        <f>Source!F601</f>
        <v/>
      </c>
      <c r="D38" s="329">
        <f>Source!G601</f>
        <v/>
      </c>
      <c r="E38" s="330">
        <f>Source!H601</f>
        <v/>
      </c>
      <c r="F38" s="331">
        <f>Source!K601</f>
        <v/>
      </c>
      <c r="G38" s="331" t="n"/>
      <c r="H38" s="331">
        <f>Source!I601</f>
        <v/>
      </c>
      <c r="I38" s="332" t="n"/>
      <c r="J38" s="333" t="n"/>
      <c r="K38" s="332" t="n"/>
      <c r="L38" s="333" t="n"/>
      <c r="M38" s="334" t="n"/>
    </row>
    <row r="39">
      <c r="D39" s="335">
        <f>"Объем: "&amp;Source!I601&amp;"=75/"&amp;"100"</f>
        <v/>
      </c>
    </row>
    <row r="40" ht="14.25" customHeight="1" s="197">
      <c r="A40" s="329" t="n"/>
      <c r="B40" s="329" t="n"/>
      <c r="C40" s="333" t="n">
        <v>1</v>
      </c>
      <c r="D40" s="329" t="inlineStr">
        <is>
          <t>ОТ</t>
        </is>
      </c>
      <c r="E40" s="330" t="n"/>
      <c r="F40" s="331" t="n"/>
      <c r="G40" s="331" t="n"/>
      <c r="H40" s="331" t="n"/>
      <c r="I40" s="332">
        <f>Source!AO601</f>
        <v/>
      </c>
      <c r="J40" s="333" t="n"/>
      <c r="K40" s="332">
        <f>ROUND(Source!AF601*Source!I601, 2)</f>
        <v/>
      </c>
      <c r="L40" s="333">
        <f>IF(Source!BA601&lt;&gt; 0, Source!BA601, 1)</f>
        <v/>
      </c>
      <c r="M40" s="334">
        <f>Source!S601</f>
        <v/>
      </c>
    </row>
    <row r="41" ht="14.25" customHeight="1" s="197">
      <c r="A41" s="329" t="n"/>
      <c r="B41" s="329" t="n"/>
      <c r="C41" s="333" t="n">
        <v>2</v>
      </c>
      <c r="D41" s="329" t="inlineStr">
        <is>
          <t>ЭМ</t>
        </is>
      </c>
      <c r="E41" s="330" t="n"/>
      <c r="F41" s="331" t="n"/>
      <c r="G41" s="331" t="n"/>
      <c r="H41" s="331" t="n"/>
      <c r="I41" s="332">
        <f>Source!AM601</f>
        <v/>
      </c>
      <c r="J41" s="333" t="n"/>
      <c r="K41" s="332">
        <f>(ROUND((ROUND(((Source!ET601)*Source!I601),0)),0)+ROUND((ROUND(((Source!AE601-(Source!EU601))*Source!I601),0)),0))</f>
        <v/>
      </c>
      <c r="L41" s="333">
        <f>IF(Source!BB601&lt;&gt; 0, Source!BB601, 1)</f>
        <v/>
      </c>
      <c r="M41" s="334">
        <f>Source!Q601</f>
        <v/>
      </c>
    </row>
    <row r="42" ht="14.25" customHeight="1" s="197">
      <c r="A42" s="329" t="n"/>
      <c r="B42" s="329" t="n"/>
      <c r="C42" s="333" t="n">
        <v>4</v>
      </c>
      <c r="D42" s="329" t="inlineStr">
        <is>
          <t>М</t>
        </is>
      </c>
      <c r="E42" s="330" t="n"/>
      <c r="F42" s="331" t="n"/>
      <c r="G42" s="331" t="n"/>
      <c r="H42" s="331" t="n"/>
      <c r="I42" s="332">
        <f>Source!AL601</f>
        <v/>
      </c>
      <c r="J42" s="333" t="n"/>
      <c r="K42" s="332">
        <f>ROUND(Source!AC601*Source!I601, 2)</f>
        <v/>
      </c>
      <c r="L42" s="333">
        <f>IF(Source!BC601&lt;&gt; 0, Source!BC601, 1)</f>
        <v/>
      </c>
      <c r="M42" s="334">
        <f>Source!P601</f>
        <v/>
      </c>
    </row>
    <row r="43" ht="14.25" customHeight="1" s="197">
      <c r="A43" s="329" t="n"/>
      <c r="B43" s="329" t="n"/>
      <c r="C43" s="329" t="n"/>
      <c r="D43" s="336" t="inlineStr">
        <is>
          <t>ЗТ</t>
        </is>
      </c>
      <c r="E43" s="337" t="inlineStr">
        <is>
          <t>чел.-ч.</t>
        </is>
      </c>
      <c r="F43" s="338">
        <f>Source!AQ601</f>
        <v/>
      </c>
      <c r="G43" s="338" t="n"/>
      <c r="H43" s="338">
        <f>ROUND(Source!U601, 7)</f>
        <v/>
      </c>
      <c r="I43" s="339" t="n"/>
      <c r="J43" s="340" t="n"/>
      <c r="K43" s="339" t="n"/>
      <c r="L43" s="340" t="n"/>
      <c r="M43" s="341" t="n"/>
    </row>
    <row r="44" ht="14.25" customHeight="1" s="197">
      <c r="A44" s="329" t="n"/>
      <c r="B44" s="329" t="n"/>
      <c r="C44" s="329" t="n"/>
      <c r="D44" s="329" t="inlineStr">
        <is>
          <t>Итого по расценке</t>
        </is>
      </c>
      <c r="E44" s="330" t="n"/>
      <c r="F44" s="331" t="n"/>
      <c r="G44" s="331" t="n"/>
      <c r="H44" s="331" t="n"/>
      <c r="I44" s="332">
        <f>I40+I41+I42</f>
        <v/>
      </c>
      <c r="J44" s="333" t="n"/>
      <c r="K44" s="332">
        <f>K40+K41+K42</f>
        <v/>
      </c>
      <c r="L44" s="333" t="n"/>
      <c r="M44" s="334">
        <f>M40+M41+M42</f>
        <v/>
      </c>
    </row>
    <row r="45" ht="14.25" customHeight="1" s="197">
      <c r="A45" s="329" t="n"/>
      <c r="B45" s="329" t="n"/>
      <c r="C45" s="329" t="n"/>
      <c r="D45" s="329" t="inlineStr">
        <is>
          <t>ФОТ</t>
        </is>
      </c>
      <c r="E45" s="330" t="n"/>
      <c r="F45" s="331" t="n"/>
      <c r="G45" s="331" t="n"/>
      <c r="H45" s="331" t="n"/>
      <c r="I45" s="332" t="n"/>
      <c r="J45" s="333" t="n"/>
      <c r="K45" s="332">
        <f>SUM(S38:S48)+SUM(T38:T48)+SUM(X38:X48)+SUM(Y38:Y48)+SUM(Z38:Z48)</f>
        <v/>
      </c>
      <c r="L45" s="333" t="n"/>
      <c r="M45" s="334">
        <f>SUM(AR38:AR48)+SUM(AS38:AS48)+SUM(AT38:AT48)+SUM(AU38:AU48)+SUM(AV38:AV48)</f>
        <v/>
      </c>
    </row>
    <row r="46" ht="42.75" customHeight="1" s="197">
      <c r="A46" s="329" t="n"/>
      <c r="B46" s="329" t="n"/>
      <c r="C46" s="329" t="inlineStr">
        <is>
          <t>Пр/812-099.2-1</t>
        </is>
      </c>
      <c r="D46" s="329" t="inlineStr">
        <is>
          <t>НР Внутренние санитарнотехнические работы: смена труб, санприборов, запорной арматуры и другое</t>
        </is>
      </c>
      <c r="E46" s="330" t="inlineStr">
        <is>
          <t>%</t>
        </is>
      </c>
      <c r="F46" s="331">
        <f>Source!BZ601</f>
        <v/>
      </c>
      <c r="G46" s="331" t="n"/>
      <c r="H46" s="331">
        <f>Source!AT601</f>
        <v/>
      </c>
      <c r="I46" s="332" t="n"/>
      <c r="J46" s="333" t="n"/>
      <c r="K46" s="332">
        <f>SUM(AD38:AD48)</f>
        <v/>
      </c>
      <c r="L46" s="333" t="n"/>
      <c r="M46" s="334">
        <f>SUM(AZ38:AZ48)</f>
        <v/>
      </c>
    </row>
    <row r="47" ht="42.75" customHeight="1" s="197">
      <c r="A47" s="336" t="n"/>
      <c r="B47" s="336" t="n"/>
      <c r="C47" s="336" t="inlineStr">
        <is>
          <t>Пр/774-099.2</t>
        </is>
      </c>
      <c r="D47" s="336" t="inlineStr">
        <is>
          <t>СП Внутренние санитарнотехнические работы: смена труб, санприборов, запорной арматуры и другое</t>
        </is>
      </c>
      <c r="E47" s="337" t="inlineStr">
        <is>
          <t>%</t>
        </is>
      </c>
      <c r="F47" s="338">
        <f>Source!CA601</f>
        <v/>
      </c>
      <c r="G47" s="338" t="n"/>
      <c r="H47" s="338">
        <f>Source!AU601</f>
        <v/>
      </c>
      <c r="I47" s="339" t="n"/>
      <c r="J47" s="340" t="n"/>
      <c r="K47" s="339">
        <f>SUM(AE38:AE48)</f>
        <v/>
      </c>
      <c r="L47" s="340" t="n"/>
      <c r="M47" s="341">
        <f>SUM(BA38:BA48)</f>
        <v/>
      </c>
    </row>
    <row r="48" ht="15" customHeight="1" s="197">
      <c r="D48" s="342" t="inlineStr">
        <is>
          <t>Всего по позиции</t>
        </is>
      </c>
      <c r="J48" s="343">
        <f>K40+K41+K42+K46+K47</f>
        <v/>
      </c>
      <c r="K48" s="199" t="n"/>
      <c r="L48" s="344">
        <f>M40+M41+M42+M46+M47</f>
        <v/>
      </c>
      <c r="M48" s="199" t="n"/>
      <c r="O48" s="345">
        <f>K40+K41+K42+K46+K47</f>
        <v/>
      </c>
      <c r="P48" s="345">
        <f>K41</f>
        <v/>
      </c>
      <c r="R48" t="inlineStr">
        <is>
          <t>=</t>
        </is>
      </c>
      <c r="S48" s="345">
        <f>K40</f>
        <v/>
      </c>
      <c r="U48" s="345">
        <f>K40</f>
        <v/>
      </c>
      <c r="X48">
        <f>0</f>
        <v/>
      </c>
      <c r="Z48" t="inlineStr">
        <is>
          <t>=</t>
        </is>
      </c>
      <c r="AA48" s="345">
        <f>K42</f>
        <v/>
      </c>
      <c r="AD48">
        <f>ROUND((Source!AT601/100)*((ROUND(Source!AF601*Source!I601, 2)+(ROUND((ROUND(((Source!EU601)*Source!I601),0)),0)+ROUND((ROUND(((Source!AE601-(Source!EU601))*Source!I601),0)),0)))), 2)</f>
        <v/>
      </c>
      <c r="AE48">
        <f>ROUND((Source!AU601/100)*((ROUND(Source!AF601*Source!I601, 2)+(ROUND((ROUND(((Source!EU601)*Source!I601),0)),0)+ROUND((ROUND(((Source!AE601-(Source!EU601))*Source!I601),0)),0)))), 2)</f>
        <v/>
      </c>
      <c r="AN48" s="346">
        <f>M40+M41+M42+M46+M47</f>
        <v/>
      </c>
      <c r="AO48" s="346">
        <f>M41</f>
        <v/>
      </c>
      <c r="AQ48" t="inlineStr">
        <is>
          <t>=</t>
        </is>
      </c>
      <c r="AR48" s="346">
        <f>M40</f>
        <v/>
      </c>
      <c r="AT48">
        <f>0</f>
        <v/>
      </c>
      <c r="AV48" t="inlineStr">
        <is>
          <t>=</t>
        </is>
      </c>
      <c r="AW48" s="346">
        <f>M42</f>
        <v/>
      </c>
      <c r="AZ48">
        <f>Source!X601</f>
        <v/>
      </c>
      <c r="BA48">
        <f>Source!Y601</f>
        <v/>
      </c>
      <c r="BH48" s="345">
        <f>K40+K41+K42+K46+K47</f>
        <v/>
      </c>
      <c r="CD48" t="n">
        <v>1</v>
      </c>
    </row>
    <row r="49" ht="146.25" customHeight="1" s="197">
      <c r="A49" s="329" t="inlineStr">
        <is>
          <t>2</t>
        </is>
      </c>
      <c r="B49" s="329" t="inlineStr">
        <is>
          <t>2</t>
        </is>
      </c>
      <c r="C49" s="329">
        <f>Source!F602</f>
        <v/>
      </c>
      <c r="D49" s="329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)*5;   
ЭМ )*5;   
ОТм )*5;   
ОТ )*5;   
ЗТ )*5;   
ЗТм )*5</t>
        </is>
      </c>
      <c r="E49" s="330">
        <f>Source!H602</f>
        <v/>
      </c>
      <c r="F49" s="331">
        <f>Source!K602</f>
        <v/>
      </c>
      <c r="G49" s="331" t="n"/>
      <c r="H49" s="331">
        <f>Source!I602</f>
        <v/>
      </c>
      <c r="I49" s="332" t="n"/>
      <c r="J49" s="333" t="n"/>
      <c r="K49" s="332" t="n"/>
      <c r="L49" s="333" t="n"/>
      <c r="M49" s="334" t="n"/>
    </row>
    <row r="50">
      <c r="D50" s="335">
        <f>"Объем: "&amp;Source!I602&amp;"=60/"&amp;"100"</f>
        <v/>
      </c>
    </row>
    <row r="51" ht="14.25" customHeight="1" s="197">
      <c r="A51" s="329" t="n"/>
      <c r="B51" s="329" t="n"/>
      <c r="C51" s="333" t="n">
        <v>1</v>
      </c>
      <c r="D51" s="329" t="inlineStr">
        <is>
          <t>ОТ</t>
        </is>
      </c>
      <c r="E51" s="330" t="n"/>
      <c r="F51" s="331" t="n"/>
      <c r="G51" s="331" t="n"/>
      <c r="H51" s="331" t="n"/>
      <c r="I51" s="332">
        <f>Source!AO602</f>
        <v/>
      </c>
      <c r="J51" s="333">
        <f>ROUND(5,7)</f>
        <v/>
      </c>
      <c r="K51" s="332">
        <f>ROUND(Source!AF602*Source!I602, 2)</f>
        <v/>
      </c>
      <c r="L51" s="333">
        <f>IF(Source!BA602&lt;&gt; 0, Source!BA602, 1)</f>
        <v/>
      </c>
      <c r="M51" s="334">
        <f>Source!S602</f>
        <v/>
      </c>
    </row>
    <row r="52" ht="14.25" customHeight="1" s="197">
      <c r="A52" s="329" t="n"/>
      <c r="B52" s="329" t="n"/>
      <c r="C52" s="333" t="n">
        <v>2</v>
      </c>
      <c r="D52" s="329" t="inlineStr">
        <is>
          <t>ЭМ</t>
        </is>
      </c>
      <c r="E52" s="330" t="n"/>
      <c r="F52" s="331" t="n"/>
      <c r="G52" s="331" t="n"/>
      <c r="H52" s="331" t="n"/>
      <c r="I52" s="332">
        <f>Source!AM602</f>
        <v/>
      </c>
      <c r="J52" s="333">
        <f>ROUND(5,7)</f>
        <v/>
      </c>
      <c r="K52" s="332">
        <f>(ROUND((ROUND((((Source!ET602*ROUND(5,7)))*Source!I602),0)),0)+ROUND((ROUND(((Source!AE602-((Source!EU602*ROUND(5,7))))*Source!I602),0)),0))</f>
        <v/>
      </c>
      <c r="L52" s="333">
        <f>IF(Source!BB602&lt;&gt; 0, Source!BB602, 1)</f>
        <v/>
      </c>
      <c r="M52" s="334">
        <f>Source!Q602</f>
        <v/>
      </c>
    </row>
    <row r="53" ht="14.25" customHeight="1" s="197">
      <c r="A53" s="329" t="n"/>
      <c r="B53" s="329" t="n"/>
      <c r="C53" s="333" t="n">
        <v>4</v>
      </c>
      <c r="D53" s="329" t="inlineStr">
        <is>
          <t>М</t>
        </is>
      </c>
      <c r="E53" s="330" t="n"/>
      <c r="F53" s="331" t="n"/>
      <c r="G53" s="331" t="n"/>
      <c r="H53" s="331" t="n"/>
      <c r="I53" s="332">
        <f>Source!AL602</f>
        <v/>
      </c>
      <c r="J53" s="333">
        <f>ROUND(5,7)</f>
        <v/>
      </c>
      <c r="K53" s="332">
        <f>ROUND(Source!AC602*Source!I602, 2)</f>
        <v/>
      </c>
      <c r="L53" s="333">
        <f>IF(Source!BC602&lt;&gt; 0, Source!BC602, 1)</f>
        <v/>
      </c>
      <c r="M53" s="334">
        <f>Source!P602</f>
        <v/>
      </c>
    </row>
    <row r="54" ht="14.25" customHeight="1" s="197">
      <c r="A54" s="329" t="n"/>
      <c r="B54" s="329" t="n"/>
      <c r="C54" s="329" t="n"/>
      <c r="D54" s="336" t="inlineStr">
        <is>
          <t>ЗТ</t>
        </is>
      </c>
      <c r="E54" s="337" t="inlineStr">
        <is>
          <t>чел.-ч.</t>
        </is>
      </c>
      <c r="F54" s="338">
        <f>Source!AQ602</f>
        <v/>
      </c>
      <c r="G54" s="338">
        <f>ROUND(5,7)</f>
        <v/>
      </c>
      <c r="H54" s="338">
        <f>ROUND(Source!U602, 7)</f>
        <v/>
      </c>
      <c r="I54" s="339" t="n"/>
      <c r="J54" s="340" t="n"/>
      <c r="K54" s="339" t="n"/>
      <c r="L54" s="340" t="n"/>
      <c r="M54" s="341" t="n"/>
    </row>
    <row r="55" ht="14.25" customHeight="1" s="197">
      <c r="A55" s="329" t="n"/>
      <c r="B55" s="329" t="n"/>
      <c r="C55" s="329" t="n"/>
      <c r="D55" s="329" t="inlineStr">
        <is>
          <t>Итого по расценке</t>
        </is>
      </c>
      <c r="E55" s="330" t="n"/>
      <c r="F55" s="331" t="n"/>
      <c r="G55" s="331" t="n"/>
      <c r="H55" s="331" t="n"/>
      <c r="I55" s="332">
        <f>I51+I52+I53</f>
        <v/>
      </c>
      <c r="J55" s="333" t="n"/>
      <c r="K55" s="332">
        <f>K51+K52+K53</f>
        <v/>
      </c>
      <c r="L55" s="333" t="n"/>
      <c r="M55" s="334">
        <f>M51+M52+M53</f>
        <v/>
      </c>
    </row>
    <row r="56" ht="14.25" customHeight="1" s="197">
      <c r="A56" s="329" t="n"/>
      <c r="B56" s="329" t="n"/>
      <c r="C56" s="329" t="n"/>
      <c r="D56" s="329" t="inlineStr">
        <is>
          <t>ФОТ</t>
        </is>
      </c>
      <c r="E56" s="330" t="n"/>
      <c r="F56" s="331" t="n"/>
      <c r="G56" s="331" t="n"/>
      <c r="H56" s="331" t="n"/>
      <c r="I56" s="332" t="n"/>
      <c r="J56" s="333" t="n"/>
      <c r="K56" s="332">
        <f>SUM(S49:S59)+SUM(T49:T59)+SUM(X49:X59)+SUM(Y49:Y59)+SUM(Z49:Z59)</f>
        <v/>
      </c>
      <c r="L56" s="333" t="n"/>
      <c r="M56" s="334">
        <f>SUM(AR49:AR59)+SUM(AS49:AS59)+SUM(AT49:AT59)+SUM(AU49:AU59)+SUM(AV49:AV59)</f>
        <v/>
      </c>
    </row>
    <row r="57" ht="71.25" customHeight="1" s="197">
      <c r="A57" s="329" t="n"/>
      <c r="B57" s="329" t="n"/>
      <c r="C57" s="329" t="inlineStr">
        <is>
          <t>Пр/812-016.0-1</t>
        </is>
      </c>
      <c r="D57" s="32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57" s="330" t="inlineStr">
        <is>
          <t>%</t>
        </is>
      </c>
      <c r="F57" s="331">
        <f>Source!BZ602</f>
        <v/>
      </c>
      <c r="G57" s="331" t="n"/>
      <c r="H57" s="331">
        <f>Source!AT602</f>
        <v/>
      </c>
      <c r="I57" s="332" t="n"/>
      <c r="J57" s="333" t="n"/>
      <c r="K57" s="332">
        <f>SUM(AD49:AD59)</f>
        <v/>
      </c>
      <c r="L57" s="333" t="n"/>
      <c r="M57" s="334">
        <f>SUM(AZ49:AZ59)</f>
        <v/>
      </c>
    </row>
    <row r="58" ht="71.25" customHeight="1" s="197">
      <c r="A58" s="336" t="n"/>
      <c r="B58" s="336" t="n"/>
      <c r="C58" s="336" t="inlineStr">
        <is>
          <t>Пр/774-016.0</t>
        </is>
      </c>
      <c r="D58" s="33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58" s="337" t="inlineStr">
        <is>
          <t>%</t>
        </is>
      </c>
      <c r="F58" s="338">
        <f>Source!CA602</f>
        <v/>
      </c>
      <c r="G58" s="338" t="n"/>
      <c r="H58" s="338">
        <f>Source!AU602</f>
        <v/>
      </c>
      <c r="I58" s="339" t="n"/>
      <c r="J58" s="340" t="n"/>
      <c r="K58" s="339">
        <f>SUM(AE49:AE59)</f>
        <v/>
      </c>
      <c r="L58" s="340" t="n"/>
      <c r="M58" s="341">
        <f>SUM(BA49:BA59)</f>
        <v/>
      </c>
    </row>
    <row r="59" ht="15" customHeight="1" s="197">
      <c r="D59" s="342" t="inlineStr">
        <is>
          <t>Всего по позиции</t>
        </is>
      </c>
      <c r="J59" s="343">
        <f>K51+K52+K53+K57+K58</f>
        <v/>
      </c>
      <c r="K59" s="199" t="n"/>
      <c r="L59" s="344">
        <f>M51+M52+M53+M57+M58</f>
        <v/>
      </c>
      <c r="M59" s="199" t="n"/>
      <c r="O59" s="345">
        <f>K51+K52+K53+K57+K58</f>
        <v/>
      </c>
      <c r="P59" s="345">
        <f>K52</f>
        <v/>
      </c>
      <c r="R59" t="inlineStr">
        <is>
          <t>=</t>
        </is>
      </c>
      <c r="S59" s="345">
        <f>K51</f>
        <v/>
      </c>
      <c r="U59" s="345">
        <f>K51</f>
        <v/>
      </c>
      <c r="X59">
        <f>0</f>
        <v/>
      </c>
      <c r="Z59" t="inlineStr">
        <is>
          <t>=</t>
        </is>
      </c>
      <c r="AA59" s="345">
        <f>K53</f>
        <v/>
      </c>
      <c r="AD59">
        <f>ROUND((Source!AT602/100)*((ROUND(Source!AF602*Source!I602, 2)+(ROUND((ROUND((((Source!EU602*ROUND(5,7)))*Source!I602),0)),0)+ROUND((ROUND(((Source!AE602-((Source!EU602*ROUND(5,7))))*Source!I602),0)),0)))), 2)</f>
        <v/>
      </c>
      <c r="AE59">
        <f>ROUND((Source!AU602/100)*((ROUND(Source!AF602*Source!I602, 2)+(ROUND((ROUND((((Source!EU602*ROUND(5,7)))*Source!I602),0)),0)+ROUND((ROUND(((Source!AE602-((Source!EU602*ROUND(5,7))))*Source!I602),0)),0)))), 2)</f>
        <v/>
      </c>
      <c r="AN59" s="346">
        <f>M51+M52+M53+M57+M58</f>
        <v/>
      </c>
      <c r="AO59" s="346">
        <f>M52</f>
        <v/>
      </c>
      <c r="AQ59" t="inlineStr">
        <is>
          <t>=</t>
        </is>
      </c>
      <c r="AR59" s="346">
        <f>M51</f>
        <v/>
      </c>
      <c r="AT59">
        <f>0</f>
        <v/>
      </c>
      <c r="AV59" t="inlineStr">
        <is>
          <t>=</t>
        </is>
      </c>
      <c r="AW59" s="346">
        <f>M53</f>
        <v/>
      </c>
      <c r="AZ59">
        <f>Source!X602</f>
        <v/>
      </c>
      <c r="BA59">
        <f>Source!Y602</f>
        <v/>
      </c>
      <c r="BH59" s="345">
        <f>K51+K52+K53+K57+K58</f>
        <v/>
      </c>
      <c r="CD59" t="n">
        <v>1</v>
      </c>
    </row>
    <row r="60" ht="14.25" customHeight="1" s="197">
      <c r="A60" s="329" t="inlineStr">
        <is>
          <t>3</t>
        </is>
      </c>
      <c r="B60" s="329" t="inlineStr">
        <is>
          <t>3</t>
        </is>
      </c>
      <c r="C60" s="329">
        <f>Source!F603</f>
        <v/>
      </c>
      <c r="D60" s="329">
        <f>Source!G603</f>
        <v/>
      </c>
      <c r="E60" s="330">
        <f>Source!H603</f>
        <v/>
      </c>
      <c r="F60" s="331">
        <f>Source!K603</f>
        <v/>
      </c>
      <c r="G60" s="331" t="n"/>
      <c r="H60" s="331">
        <f>Source!I603</f>
        <v/>
      </c>
      <c r="I60" s="332" t="n"/>
      <c r="J60" s="333" t="n"/>
      <c r="K60" s="332" t="n"/>
      <c r="L60" s="333" t="n"/>
      <c r="M60" s="334" t="n"/>
    </row>
    <row r="61">
      <c r="D61" s="335">
        <f>"Объем: "&amp;Source!I603&amp;"=2/"&amp;"100"</f>
        <v/>
      </c>
    </row>
    <row r="62" ht="14.25" customHeight="1" s="197">
      <c r="A62" s="329" t="n"/>
      <c r="B62" s="329" t="n"/>
      <c r="C62" s="333" t="n">
        <v>1</v>
      </c>
      <c r="D62" s="329" t="inlineStr">
        <is>
          <t>ОТ</t>
        </is>
      </c>
      <c r="E62" s="330" t="n"/>
      <c r="F62" s="331" t="n"/>
      <c r="G62" s="331" t="n"/>
      <c r="H62" s="331" t="n"/>
      <c r="I62" s="332">
        <f>Source!AO603</f>
        <v/>
      </c>
      <c r="J62" s="333" t="n"/>
      <c r="K62" s="332">
        <f>ROUND(Source!AF603*Source!I603, 2)</f>
        <v/>
      </c>
      <c r="L62" s="333">
        <f>IF(Source!BA603&lt;&gt; 0, Source!BA603, 1)</f>
        <v/>
      </c>
      <c r="M62" s="334">
        <f>Source!S603</f>
        <v/>
      </c>
    </row>
    <row r="63" ht="14.25" customHeight="1" s="197">
      <c r="A63" s="329" t="n"/>
      <c r="B63" s="329" t="n"/>
      <c r="C63" s="333" t="n">
        <v>4</v>
      </c>
      <c r="D63" s="329" t="inlineStr">
        <is>
          <t>М</t>
        </is>
      </c>
      <c r="E63" s="330" t="n"/>
      <c r="F63" s="331" t="n"/>
      <c r="G63" s="331" t="n"/>
      <c r="H63" s="331" t="n"/>
      <c r="I63" s="332">
        <f>Source!AL603</f>
        <v/>
      </c>
      <c r="J63" s="333" t="n"/>
      <c r="K63" s="332">
        <f>ROUND(Source!AC603*Source!I603, 2)</f>
        <v/>
      </c>
      <c r="L63" s="333">
        <f>IF(Source!BC603&lt;&gt; 0, Source!BC603, 1)</f>
        <v/>
      </c>
      <c r="M63" s="334">
        <f>Source!P603</f>
        <v/>
      </c>
    </row>
    <row r="64" ht="14.25" customHeight="1" s="197">
      <c r="A64" s="329" t="n"/>
      <c r="B64" s="329" t="n"/>
      <c r="C64" s="329" t="n"/>
      <c r="D64" s="336" t="inlineStr">
        <is>
          <t>ЗТ</t>
        </is>
      </c>
      <c r="E64" s="337" t="inlineStr">
        <is>
          <t>чел.-ч.</t>
        </is>
      </c>
      <c r="F64" s="338">
        <f>Source!AQ603</f>
        <v/>
      </c>
      <c r="G64" s="338" t="n"/>
      <c r="H64" s="338">
        <f>ROUND(Source!U603, 7)</f>
        <v/>
      </c>
      <c r="I64" s="339" t="n"/>
      <c r="J64" s="340" t="n"/>
      <c r="K64" s="339" t="n"/>
      <c r="L64" s="340" t="n"/>
      <c r="M64" s="341" t="n"/>
    </row>
    <row r="65" ht="14.25" customHeight="1" s="197">
      <c r="A65" s="329" t="n"/>
      <c r="B65" s="329" t="n"/>
      <c r="C65" s="329" t="n"/>
      <c r="D65" s="329" t="inlineStr">
        <is>
          <t>Итого по расценке</t>
        </is>
      </c>
      <c r="E65" s="330" t="n"/>
      <c r="F65" s="331" t="n"/>
      <c r="G65" s="331" t="n"/>
      <c r="H65" s="331" t="n"/>
      <c r="I65" s="332">
        <f>I62+I63</f>
        <v/>
      </c>
      <c r="J65" s="333" t="n"/>
      <c r="K65" s="332">
        <f>K62+K63</f>
        <v/>
      </c>
      <c r="L65" s="333" t="n"/>
      <c r="M65" s="334">
        <f>M62+M63</f>
        <v/>
      </c>
    </row>
    <row r="66" ht="42.75" customHeight="1" s="197">
      <c r="A66" s="329" t="inlineStr">
        <is>
          <t>3.1</t>
        </is>
      </c>
      <c r="B66" s="329" t="inlineStr">
        <is>
          <t>3.1</t>
        </is>
      </c>
      <c r="C66" s="329">
        <f>Source!F604</f>
        <v/>
      </c>
      <c r="D66" s="329">
        <f>Source!G604</f>
        <v/>
      </c>
      <c r="E66" s="330">
        <f>Source!H604</f>
        <v/>
      </c>
      <c r="F66" s="331">
        <f>SmtRes!AT296</f>
        <v/>
      </c>
      <c r="G66" s="331" t="n"/>
      <c r="H66" s="331">
        <f>Source!I604</f>
        <v/>
      </c>
      <c r="I66" s="332">
        <f>Source!AL604+Source!AO604+Source!AM604</f>
        <v/>
      </c>
      <c r="J66" s="333" t="n"/>
      <c r="K66" s="332">
        <f>ROUND(Source!AC604*Source!I604, 2)+(ROUND((ROUND(((Source!ET604)*Source!I604),0)),0)+ROUND((ROUND(((Source!AE604-(Source!EU604))*Source!I604),0)),0))+ROUND(Source!AF604*Source!I604, 2)</f>
        <v/>
      </c>
      <c r="L66" s="333">
        <f>IF(Source!BC604&lt;&gt; 0, Source!BC604, 1)</f>
        <v/>
      </c>
      <c r="M66" s="334">
        <f>Source!P604</f>
        <v/>
      </c>
      <c r="O66">
        <f>K66</f>
        <v/>
      </c>
      <c r="AA66">
        <f>K66</f>
        <v/>
      </c>
      <c r="AD66">
        <f>ROUND((Source!AT604/100)*((ROUND(Source!AF604*Source!I604, 2)+(ROUND((ROUND(((Source!EU604)*Source!I604),0)),0)+ROUND((ROUND(((Source!AE604-(Source!EU604))*Source!I604),0)),0)))), 2)</f>
        <v/>
      </c>
      <c r="AE66">
        <f>ROUND((Source!AU604/100)*((ROUND(Source!AF604*Source!I604, 2)+(ROUND((ROUND(((Source!EU604)*Source!I604),0)),0)+ROUND((ROUND(((Source!AE604-(Source!EU604))*Source!I604),0)),0)))), 2)</f>
        <v/>
      </c>
      <c r="AN66">
        <f>M66</f>
        <v/>
      </c>
      <c r="AW66">
        <f>M66</f>
        <v/>
      </c>
      <c r="AZ66">
        <f>Source!X604</f>
        <v/>
      </c>
      <c r="BA66">
        <f>Source!Y604</f>
        <v/>
      </c>
      <c r="BH66">
        <f>K66</f>
        <v/>
      </c>
      <c r="CD66" t="n">
        <v>1</v>
      </c>
    </row>
    <row r="67" ht="14.25" customHeight="1" s="197">
      <c r="A67" s="329" t="n"/>
      <c r="B67" s="329" t="n"/>
      <c r="C67" s="329" t="n"/>
      <c r="D67" s="329" t="inlineStr">
        <is>
          <t>ФОТ</t>
        </is>
      </c>
      <c r="E67" s="330" t="n"/>
      <c r="F67" s="331" t="n"/>
      <c r="G67" s="331" t="n"/>
      <c r="H67" s="331" t="n"/>
      <c r="I67" s="332" t="n"/>
      <c r="J67" s="333" t="n"/>
      <c r="K67" s="332">
        <f>SUM(S60:S70)+SUM(T60:T70)+SUM(X60:X70)+SUM(Y60:Y70)+SUM(Z60:Z70)</f>
        <v/>
      </c>
      <c r="L67" s="333" t="n"/>
      <c r="M67" s="334">
        <f>SUM(AR60:AR70)+SUM(AS60:AS70)+SUM(AT60:AT70)+SUM(AU60:AU70)+SUM(AV60:AV70)</f>
        <v/>
      </c>
    </row>
    <row r="68" ht="14.25" customHeight="1" s="197">
      <c r="A68" s="329" t="n"/>
      <c r="B68" s="329" t="n"/>
      <c r="C68" s="329" t="inlineStr">
        <is>
          <t>Пр/812-101.0-1</t>
        </is>
      </c>
      <c r="D68" s="329" t="inlineStr">
        <is>
          <t>НР Электромонтажные работы</t>
        </is>
      </c>
      <c r="E68" s="330" t="inlineStr">
        <is>
          <t>%</t>
        </is>
      </c>
      <c r="F68" s="331">
        <f>Source!BZ603</f>
        <v/>
      </c>
      <c r="G68" s="331" t="n"/>
      <c r="H68" s="331">
        <f>Source!AT603</f>
        <v/>
      </c>
      <c r="I68" s="332" t="n"/>
      <c r="J68" s="333" t="n"/>
      <c r="K68" s="332">
        <f>SUM(AD60:AD70)</f>
        <v/>
      </c>
      <c r="L68" s="333" t="n"/>
      <c r="M68" s="334">
        <f>SUM(AZ60:AZ70)</f>
        <v/>
      </c>
    </row>
    <row r="69" ht="14.25" customHeight="1" s="197">
      <c r="A69" s="336" t="n"/>
      <c r="B69" s="336" t="n"/>
      <c r="C69" s="336" t="inlineStr">
        <is>
          <t>Пр/774-101.0</t>
        </is>
      </c>
      <c r="D69" s="336" t="inlineStr">
        <is>
          <t>СП Электромонтажные работы</t>
        </is>
      </c>
      <c r="E69" s="337" t="inlineStr">
        <is>
          <t>%</t>
        </is>
      </c>
      <c r="F69" s="338">
        <f>Source!CA603</f>
        <v/>
      </c>
      <c r="G69" s="338" t="n"/>
      <c r="H69" s="338">
        <f>Source!AU603</f>
        <v/>
      </c>
      <c r="I69" s="339" t="n"/>
      <c r="J69" s="340" t="n"/>
      <c r="K69" s="339">
        <f>SUM(AE60:AE70)</f>
        <v/>
      </c>
      <c r="L69" s="340" t="n"/>
      <c r="M69" s="341">
        <f>SUM(BA60:BA70)</f>
        <v/>
      </c>
    </row>
    <row r="70" ht="15" customHeight="1" s="197">
      <c r="D70" s="342" t="inlineStr">
        <is>
          <t>Всего по позиции</t>
        </is>
      </c>
      <c r="J70" s="343">
        <f>K62+K63+K68+K69+SUM(K66:K66)-SUMIF(CE66:CE66, 1, K66:K66)</f>
        <v/>
      </c>
      <c r="K70" s="199" t="n"/>
      <c r="L70" s="344">
        <f>M62+M63+M68+M69+SUM(M66:M66)-SUMIF(CE66:CE66, 1, M66:M66)</f>
        <v/>
      </c>
      <c r="M70" s="199" t="n"/>
      <c r="O70" s="345">
        <f>K62+K63+K68+K69</f>
        <v/>
      </c>
      <c r="P70">
        <f>0</f>
        <v/>
      </c>
      <c r="R70" t="inlineStr">
        <is>
          <t>=</t>
        </is>
      </c>
      <c r="S70" s="345">
        <f>K62</f>
        <v/>
      </c>
      <c r="U70" s="345">
        <f>K62</f>
        <v/>
      </c>
      <c r="X70">
        <f>0</f>
        <v/>
      </c>
      <c r="Z70" t="inlineStr">
        <is>
          <t>=</t>
        </is>
      </c>
      <c r="AA70" s="345">
        <f>K63</f>
        <v/>
      </c>
      <c r="AD70">
        <f>ROUND((Source!AT603/100)*((ROUND(Source!AF603*Source!I603, 2)+(ROUND((ROUND(((Source!EU603)*Source!I603),0)),0)+ROUND((ROUND(((Source!AE603-(Source!EU603))*Source!I603),0)),0)))), 2)</f>
        <v/>
      </c>
      <c r="AE70">
        <f>ROUND((Source!AU603/100)*((ROUND(Source!AF603*Source!I603, 2)+(ROUND((ROUND(((Source!EU603)*Source!I603),0)),0)+ROUND((ROUND(((Source!AE603-(Source!EU603))*Source!I603),0)),0)))), 2)</f>
        <v/>
      </c>
      <c r="AN70" s="346">
        <f>M62+M63+M68+M69</f>
        <v/>
      </c>
      <c r="AO70">
        <f>0</f>
        <v/>
      </c>
      <c r="AQ70" t="inlineStr">
        <is>
          <t>=</t>
        </is>
      </c>
      <c r="AR70" s="346">
        <f>M62</f>
        <v/>
      </c>
      <c r="AT70">
        <f>0</f>
        <v/>
      </c>
      <c r="AV70" t="inlineStr">
        <is>
          <t>=</t>
        </is>
      </c>
      <c r="AW70" s="346">
        <f>M63</f>
        <v/>
      </c>
      <c r="AZ70">
        <f>Source!X603</f>
        <v/>
      </c>
      <c r="BA70">
        <f>Source!Y603</f>
        <v/>
      </c>
      <c r="BH70" s="345">
        <f>K62+K63+K68+K69</f>
        <v/>
      </c>
      <c r="CD70" t="n">
        <v>1</v>
      </c>
    </row>
    <row r="71" ht="57" customHeight="1" s="197">
      <c r="A71" s="329" t="inlineStr">
        <is>
          <t>4</t>
        </is>
      </c>
      <c r="B71" s="329" t="inlineStr">
        <is>
          <t>4</t>
        </is>
      </c>
      <c r="C71" s="329">
        <f>Source!F605</f>
        <v/>
      </c>
      <c r="D71" s="329">
        <f>Source!G605</f>
        <v/>
      </c>
      <c r="E71" s="330">
        <f>Source!H605</f>
        <v/>
      </c>
      <c r="F71" s="331">
        <f>Source!K605</f>
        <v/>
      </c>
      <c r="G71" s="331" t="n"/>
      <c r="H71" s="331">
        <f>Source!I605</f>
        <v/>
      </c>
      <c r="I71" s="332" t="n"/>
      <c r="J71" s="333" t="n"/>
      <c r="K71" s="332" t="n"/>
      <c r="L71" s="333" t="n"/>
      <c r="M71" s="334" t="n"/>
    </row>
    <row r="72">
      <c r="D72" s="335">
        <f>"Объем: "&amp;Source!I605&amp;"=8/"&amp;"100"</f>
        <v/>
      </c>
    </row>
    <row r="73" ht="14.25" customHeight="1" s="197">
      <c r="A73" s="329" t="n"/>
      <c r="B73" s="329" t="n"/>
      <c r="C73" s="333" t="n">
        <v>1</v>
      </c>
      <c r="D73" s="329" t="inlineStr">
        <is>
          <t>ОТ</t>
        </is>
      </c>
      <c r="E73" s="330" t="n"/>
      <c r="F73" s="331" t="n"/>
      <c r="G73" s="331" t="n"/>
      <c r="H73" s="331" t="n"/>
      <c r="I73" s="332">
        <f>Source!AO605</f>
        <v/>
      </c>
      <c r="J73" s="333" t="n"/>
      <c r="K73" s="332">
        <f>ROUND(Source!AF605*Source!I605, 2)</f>
        <v/>
      </c>
      <c r="L73" s="333">
        <f>IF(Source!BA605&lt;&gt; 0, Source!BA605, 1)</f>
        <v/>
      </c>
      <c r="M73" s="334">
        <f>Source!S605</f>
        <v/>
      </c>
    </row>
    <row r="74" ht="14.25" customHeight="1" s="197">
      <c r="A74" s="329" t="n"/>
      <c r="B74" s="329" t="n"/>
      <c r="C74" s="329" t="n"/>
      <c r="D74" s="336" t="inlineStr">
        <is>
          <t>ЗТ</t>
        </is>
      </c>
      <c r="E74" s="337" t="inlineStr">
        <is>
          <t>чел.-ч.</t>
        </is>
      </c>
      <c r="F74" s="338">
        <f>Source!AQ605</f>
        <v/>
      </c>
      <c r="G74" s="338" t="n"/>
      <c r="H74" s="338">
        <f>ROUND(Source!U605, 7)</f>
        <v/>
      </c>
      <c r="I74" s="339" t="n"/>
      <c r="J74" s="340" t="n"/>
      <c r="K74" s="339" t="n"/>
      <c r="L74" s="340" t="n"/>
      <c r="M74" s="341" t="n"/>
    </row>
    <row r="75" ht="14.25" customHeight="1" s="197">
      <c r="A75" s="329" t="n"/>
      <c r="B75" s="329" t="n"/>
      <c r="C75" s="329" t="n"/>
      <c r="D75" s="329" t="inlineStr">
        <is>
          <t>Итого по расценке</t>
        </is>
      </c>
      <c r="E75" s="330" t="n"/>
      <c r="F75" s="331" t="n"/>
      <c r="G75" s="331" t="n"/>
      <c r="H75" s="331" t="n"/>
      <c r="I75" s="332">
        <f>I73</f>
        <v/>
      </c>
      <c r="J75" s="333" t="n"/>
      <c r="K75" s="332">
        <f>K73</f>
        <v/>
      </c>
      <c r="L75" s="333" t="n"/>
      <c r="M75" s="334">
        <f>M73</f>
        <v/>
      </c>
    </row>
    <row r="76" ht="14.25" customHeight="1" s="197">
      <c r="A76" s="329" t="n"/>
      <c r="B76" s="329" t="n"/>
      <c r="C76" s="329" t="n"/>
      <c r="D76" s="329" t="inlineStr">
        <is>
          <t>ФОТ</t>
        </is>
      </c>
      <c r="E76" s="330" t="n"/>
      <c r="F76" s="331" t="n"/>
      <c r="G76" s="331" t="n"/>
      <c r="H76" s="331" t="n"/>
      <c r="I76" s="332" t="n"/>
      <c r="J76" s="333" t="n"/>
      <c r="K76" s="332">
        <f>SUM(S71:S79)+SUM(T71:T79)+SUM(X71:X79)+SUM(Y71:Y79)+SUM(Z71:Z79)</f>
        <v/>
      </c>
      <c r="L76" s="333" t="n"/>
      <c r="M76" s="334">
        <f>SUM(AR71:AR79)+SUM(AS71:AS79)+SUM(AT71:AT79)+SUM(AU71:AU79)+SUM(AV71:AV79)</f>
        <v/>
      </c>
    </row>
    <row r="77" ht="28.5" customHeight="1" s="197">
      <c r="A77" s="329" t="n"/>
      <c r="B77" s="329" t="n"/>
      <c r="C77" s="329" t="inlineStr">
        <is>
          <t>Пр/812-099.1-1</t>
        </is>
      </c>
      <c r="D77" s="329" t="inlineStr">
        <is>
          <t>НР Внутренние санитарнотехнические работы: демонтаж и разборка</t>
        </is>
      </c>
      <c r="E77" s="330" t="inlineStr">
        <is>
          <t>%</t>
        </is>
      </c>
      <c r="F77" s="331">
        <f>Source!BZ605</f>
        <v/>
      </c>
      <c r="G77" s="331" t="n"/>
      <c r="H77" s="331">
        <f>Source!AT605</f>
        <v/>
      </c>
      <c r="I77" s="332" t="n"/>
      <c r="J77" s="333" t="n"/>
      <c r="K77" s="332">
        <f>SUM(AD71:AD79)</f>
        <v/>
      </c>
      <c r="L77" s="333" t="n"/>
      <c r="M77" s="334">
        <f>SUM(AZ71:AZ79)</f>
        <v/>
      </c>
    </row>
    <row r="78" ht="28.5" customHeight="1" s="197">
      <c r="A78" s="336" t="n"/>
      <c r="B78" s="336" t="n"/>
      <c r="C78" s="336" t="inlineStr">
        <is>
          <t>Пр/774-099.1</t>
        </is>
      </c>
      <c r="D78" s="336" t="inlineStr">
        <is>
          <t>СП Внутренние санитарнотехнические работы: демонтаж и разборка</t>
        </is>
      </c>
      <c r="E78" s="337" t="inlineStr">
        <is>
          <t>%</t>
        </is>
      </c>
      <c r="F78" s="338">
        <f>Source!CA605</f>
        <v/>
      </c>
      <c r="G78" s="338" t="n"/>
      <c r="H78" s="338">
        <f>Source!AU605</f>
        <v/>
      </c>
      <c r="I78" s="339" t="n"/>
      <c r="J78" s="340" t="n"/>
      <c r="K78" s="339">
        <f>SUM(AE71:AE79)</f>
        <v/>
      </c>
      <c r="L78" s="340" t="n"/>
      <c r="M78" s="341">
        <f>SUM(BA71:BA79)</f>
        <v/>
      </c>
    </row>
    <row r="79" ht="15" customHeight="1" s="197">
      <c r="D79" s="342" t="inlineStr">
        <is>
          <t>Всего по позиции</t>
        </is>
      </c>
      <c r="J79" s="343">
        <f>K73+K77+K78</f>
        <v/>
      </c>
      <c r="K79" s="199" t="n"/>
      <c r="L79" s="344">
        <f>M73+M77+M78</f>
        <v/>
      </c>
      <c r="M79" s="199" t="n"/>
      <c r="O79" s="345">
        <f>K73+K77+K78</f>
        <v/>
      </c>
      <c r="P79">
        <f>0</f>
        <v/>
      </c>
      <c r="R79" t="inlineStr">
        <is>
          <t>=</t>
        </is>
      </c>
      <c r="S79" s="345">
        <f>K73</f>
        <v/>
      </c>
      <c r="U79" s="345">
        <f>K73</f>
        <v/>
      </c>
      <c r="X79">
        <f>0</f>
        <v/>
      </c>
      <c r="Z79" t="inlineStr">
        <is>
          <t>=</t>
        </is>
      </c>
      <c r="AA79">
        <f>0</f>
        <v/>
      </c>
      <c r="AD79">
        <f>ROUND((Source!AT605/100)*((ROUND(Source!AF605*Source!I605, 2)+(ROUND((ROUND(((Source!EU605)*Source!I605),0)),0)+ROUND((ROUND(((Source!AE605-(Source!EU605))*Source!I605),0)),0)))), 2)</f>
        <v/>
      </c>
      <c r="AE79">
        <f>ROUND((Source!AU605/100)*((ROUND(Source!AF605*Source!I605, 2)+(ROUND((ROUND(((Source!EU605)*Source!I605),0)),0)+ROUND((ROUND(((Source!AE605-(Source!EU605))*Source!I605),0)),0)))), 2)</f>
        <v/>
      </c>
      <c r="AN79" s="346">
        <f>M73+M77+M78</f>
        <v/>
      </c>
      <c r="AO79">
        <f>0</f>
        <v/>
      </c>
      <c r="AQ79" t="inlineStr">
        <is>
          <t>=</t>
        </is>
      </c>
      <c r="AR79" s="346">
        <f>M73</f>
        <v/>
      </c>
      <c r="AT79">
        <f>0</f>
        <v/>
      </c>
      <c r="AV79" t="inlineStr">
        <is>
          <t>=</t>
        </is>
      </c>
      <c r="AW79">
        <f>0</f>
        <v/>
      </c>
      <c r="AZ79">
        <f>Source!X605</f>
        <v/>
      </c>
      <c r="BA79">
        <f>Source!Y605</f>
        <v/>
      </c>
      <c r="BH79" s="345">
        <f>K73+K77+K78</f>
        <v/>
      </c>
      <c r="CD79" t="n">
        <v>1</v>
      </c>
    </row>
    <row r="80" ht="57" customHeight="1" s="197">
      <c r="A80" s="329" t="inlineStr">
        <is>
          <t>5</t>
        </is>
      </c>
      <c r="B80" s="329" t="inlineStr">
        <is>
          <t>5</t>
        </is>
      </c>
      <c r="C80" s="329">
        <f>Source!F606</f>
        <v/>
      </c>
      <c r="D80" s="329">
        <f>Source!G606</f>
        <v/>
      </c>
      <c r="E80" s="330">
        <f>Source!H606</f>
        <v/>
      </c>
      <c r="F80" s="331">
        <f>Source!K606</f>
        <v/>
      </c>
      <c r="G80" s="331" t="n"/>
      <c r="H80" s="331">
        <f>Source!I606</f>
        <v/>
      </c>
      <c r="I80" s="332" t="n"/>
      <c r="J80" s="333" t="n"/>
      <c r="K80" s="332" t="n"/>
      <c r="L80" s="333" t="n"/>
      <c r="M80" s="334" t="n"/>
    </row>
    <row r="81">
      <c r="D81" s="335">
        <f>"Объем: "&amp;Source!I606&amp;"=8/"&amp;"100"</f>
        <v/>
      </c>
    </row>
    <row r="82" ht="14.25" customHeight="1" s="197">
      <c r="A82" s="329" t="n"/>
      <c r="B82" s="329" t="n"/>
      <c r="C82" s="333" t="n">
        <v>1</v>
      </c>
      <c r="D82" s="329" t="inlineStr">
        <is>
          <t>ОТ</t>
        </is>
      </c>
      <c r="E82" s="330" t="n"/>
      <c r="F82" s="331" t="n"/>
      <c r="G82" s="331" t="n"/>
      <c r="H82" s="331" t="n"/>
      <c r="I82" s="332">
        <f>Source!AO606</f>
        <v/>
      </c>
      <c r="J82" s="333" t="n"/>
      <c r="K82" s="332">
        <f>ROUND(Source!AF606*Source!I606, 2)</f>
        <v/>
      </c>
      <c r="L82" s="333">
        <f>IF(Source!BA606&lt;&gt; 0, Source!BA606, 1)</f>
        <v/>
      </c>
      <c r="M82" s="334">
        <f>Source!S606</f>
        <v/>
      </c>
    </row>
    <row r="83" ht="14.25" customHeight="1" s="197">
      <c r="A83" s="329" t="n"/>
      <c r="B83" s="329" t="n"/>
      <c r="C83" s="333" t="n">
        <v>2</v>
      </c>
      <c r="D83" s="329" t="inlineStr">
        <is>
          <t>ЭМ</t>
        </is>
      </c>
      <c r="E83" s="330" t="n"/>
      <c r="F83" s="331" t="n"/>
      <c r="G83" s="331" t="n"/>
      <c r="H83" s="331" t="n"/>
      <c r="I83" s="332">
        <f>Source!AM606</f>
        <v/>
      </c>
      <c r="J83" s="333" t="n"/>
      <c r="K83" s="332">
        <f>(ROUND((ROUND(((Source!ET606)*Source!I606),0)),0)+ROUND((ROUND(((Source!AE606-(Source!EU606))*Source!I606),0)),0))</f>
        <v/>
      </c>
      <c r="L83" s="333">
        <f>IF(Source!BB606&lt;&gt; 0, Source!BB606, 1)</f>
        <v/>
      </c>
      <c r="M83" s="334">
        <f>Source!Q606</f>
        <v/>
      </c>
    </row>
    <row r="84" ht="14.25" customHeight="1" s="197">
      <c r="A84" s="329" t="n"/>
      <c r="B84" s="329" t="n"/>
      <c r="C84" s="333" t="n">
        <v>3</v>
      </c>
      <c r="D84" s="329" t="inlineStr">
        <is>
          <t>в т.ч. ОТм</t>
        </is>
      </c>
      <c r="E84" s="330" t="n"/>
      <c r="F84" s="331" t="n"/>
      <c r="G84" s="331" t="n"/>
      <c r="H84" s="331" t="n"/>
      <c r="I84" s="332">
        <f>Source!AN606</f>
        <v/>
      </c>
      <c r="J84" s="333" t="n"/>
      <c r="K84" s="347">
        <f>(ROUND((ROUND(((Source!EU606)*Source!I606),0)),0)+ROUND((ROUND(((Source!AE606-(Source!EU606))*Source!I606),0)),0))</f>
        <v/>
      </c>
      <c r="L84" s="333">
        <f>IF(Source!BS606&lt;&gt; 0, Source!BS606, 1)</f>
        <v/>
      </c>
      <c r="M84" s="348">
        <f>Source!R606</f>
        <v/>
      </c>
    </row>
    <row r="85" ht="14.25" customHeight="1" s="197">
      <c r="A85" s="329" t="n"/>
      <c r="B85" s="329" t="n"/>
      <c r="C85" s="333" t="n">
        <v>4</v>
      </c>
      <c r="D85" s="329" t="inlineStr">
        <is>
          <t>М</t>
        </is>
      </c>
      <c r="E85" s="330" t="n"/>
      <c r="F85" s="331" t="n"/>
      <c r="G85" s="331" t="n"/>
      <c r="H85" s="331" t="n"/>
      <c r="I85" s="332">
        <f>Source!AL606</f>
        <v/>
      </c>
      <c r="J85" s="333" t="n"/>
      <c r="K85" s="332">
        <f>ROUND(Source!AC606*Source!I606, 2)</f>
        <v/>
      </c>
      <c r="L85" s="333">
        <f>IF(Source!BC606&lt;&gt; 0, Source!BC606, 1)</f>
        <v/>
      </c>
      <c r="M85" s="334">
        <f>Source!P606</f>
        <v/>
      </c>
    </row>
    <row r="86" ht="14.25" customHeight="1" s="197">
      <c r="A86" s="329" t="n"/>
      <c r="B86" s="329" t="n"/>
      <c r="C86" s="329" t="n"/>
      <c r="D86" s="329" t="inlineStr">
        <is>
          <t>ЗТ</t>
        </is>
      </c>
      <c r="E86" s="330" t="inlineStr">
        <is>
          <t>чел.-ч.</t>
        </is>
      </c>
      <c r="F86" s="331">
        <f>Source!AQ606</f>
        <v/>
      </c>
      <c r="G86" s="331" t="n"/>
      <c r="H86" s="331">
        <f>ROUND(Source!U606, 7)</f>
        <v/>
      </c>
      <c r="I86" s="332" t="n"/>
      <c r="J86" s="333" t="n"/>
      <c r="K86" s="332" t="n"/>
      <c r="L86" s="333" t="n"/>
      <c r="M86" s="334" t="n"/>
    </row>
    <row r="87" ht="14.25" customHeight="1" s="197">
      <c r="A87" s="329" t="n"/>
      <c r="B87" s="329" t="n"/>
      <c r="C87" s="329" t="n"/>
      <c r="D87" s="336" t="inlineStr">
        <is>
          <t>ЗТм</t>
        </is>
      </c>
      <c r="E87" s="337" t="inlineStr">
        <is>
          <t>чел.-ч.</t>
        </is>
      </c>
      <c r="F87" s="338">
        <f>Source!AR606</f>
        <v/>
      </c>
      <c r="G87" s="338" t="n"/>
      <c r="H87" s="338">
        <f>ROUND(Source!V606, 7)</f>
        <v/>
      </c>
      <c r="I87" s="339" t="n"/>
      <c r="J87" s="340" t="n"/>
      <c r="K87" s="339" t="n"/>
      <c r="L87" s="340" t="n"/>
      <c r="M87" s="341" t="n"/>
    </row>
    <row r="88" ht="14.25" customHeight="1" s="197">
      <c r="A88" s="329" t="n"/>
      <c r="B88" s="329" t="n"/>
      <c r="C88" s="329" t="n"/>
      <c r="D88" s="329" t="inlineStr">
        <is>
          <t>Итого по расценке</t>
        </is>
      </c>
      <c r="E88" s="330" t="n"/>
      <c r="F88" s="331" t="n"/>
      <c r="G88" s="331" t="n"/>
      <c r="H88" s="331" t="n"/>
      <c r="I88" s="332">
        <f>I82+I83+I85</f>
        <v/>
      </c>
      <c r="J88" s="333" t="n"/>
      <c r="K88" s="332">
        <f>K82+K83+K85</f>
        <v/>
      </c>
      <c r="L88" s="333" t="n"/>
      <c r="M88" s="334">
        <f>M82+M83+M85</f>
        <v/>
      </c>
    </row>
    <row r="89" ht="28.5" customHeight="1" s="197">
      <c r="A89" s="329" t="inlineStr">
        <is>
          <t>5.1</t>
        </is>
      </c>
      <c r="B89" s="329" t="inlineStr">
        <is>
          <t>5.1</t>
        </is>
      </c>
      <c r="C89" s="329">
        <f>Source!F607</f>
        <v/>
      </c>
      <c r="D89" s="329">
        <f>Source!G607</f>
        <v/>
      </c>
      <c r="E89" s="330">
        <f>Source!H607</f>
        <v/>
      </c>
      <c r="F89" s="331">
        <f>SmtRes!AT313</f>
        <v/>
      </c>
      <c r="G89" s="331" t="n"/>
      <c r="H89" s="331">
        <f>Source!I607</f>
        <v/>
      </c>
      <c r="I89" s="332">
        <f>Source!AL607+Source!AO607+Source!AM607</f>
        <v/>
      </c>
      <c r="J89" s="333" t="n"/>
      <c r="K89" s="332">
        <f>ROUND(Source!AC607*Source!I607, 2)+(ROUND((ROUND(((Source!ET607)*Source!I607),0)),0)+ROUND((ROUND(((Source!AE607-(Source!EU607))*Source!I607),0)),0))+ROUND(Source!AF607*Source!I607, 2)</f>
        <v/>
      </c>
      <c r="L89" s="333">
        <f>IF(Source!BC607&lt;&gt; 0, Source!BC607, 1)</f>
        <v/>
      </c>
      <c r="M89" s="334">
        <f>Source!P607</f>
        <v/>
      </c>
      <c r="O89">
        <f>K89</f>
        <v/>
      </c>
      <c r="AA89">
        <f>K89</f>
        <v/>
      </c>
      <c r="AD89">
        <f>ROUND((Source!AT607/100)*((ROUND(Source!AF607*Source!I607, 2)+(ROUND((ROUND(((Source!EU607)*Source!I607),0)),0)+ROUND((ROUND(((Source!AE607-(Source!EU607))*Source!I607),0)),0)))), 2)</f>
        <v/>
      </c>
      <c r="AE89">
        <f>ROUND((Source!AU607/100)*((ROUND(Source!AF607*Source!I607, 2)+(ROUND((ROUND(((Source!EU607)*Source!I607),0)),0)+ROUND((ROUND(((Source!AE607-(Source!EU607))*Source!I607),0)),0)))), 2)</f>
        <v/>
      </c>
      <c r="AN89">
        <f>M89</f>
        <v/>
      </c>
      <c r="AW89">
        <f>M89</f>
        <v/>
      </c>
      <c r="AZ89">
        <f>Source!X607</f>
        <v/>
      </c>
      <c r="BA89">
        <f>Source!Y607</f>
        <v/>
      </c>
      <c r="BH89">
        <f>K89</f>
        <v/>
      </c>
      <c r="CD89" t="n">
        <v>1</v>
      </c>
    </row>
    <row r="90" ht="42.75" customHeight="1" s="197">
      <c r="A90" s="329" t="inlineStr">
        <is>
          <t>5.2</t>
        </is>
      </c>
      <c r="B90" s="329" t="inlineStr">
        <is>
          <t>5.2</t>
        </is>
      </c>
      <c r="C90" s="329">
        <f>Source!F608</f>
        <v/>
      </c>
      <c r="D90" s="329">
        <f>Source!G608</f>
        <v/>
      </c>
      <c r="E90" s="330">
        <f>Source!H608</f>
        <v/>
      </c>
      <c r="F90" s="331">
        <f>SmtRes!AT314</f>
        <v/>
      </c>
      <c r="G90" s="331" t="n"/>
      <c r="H90" s="331">
        <f>Source!I608</f>
        <v/>
      </c>
      <c r="I90" s="332">
        <f>Source!AL608+Source!AO608+Source!AM608</f>
        <v/>
      </c>
      <c r="J90" s="333" t="n"/>
      <c r="K90" s="332">
        <f>ROUND(Source!AC608*Source!I608, 2)+(ROUND((ROUND(((Source!ET608)*Source!I608),0)),0)+ROUND((ROUND(((Source!AE608-(Source!EU608))*Source!I608),0)),0))+ROUND(Source!AF608*Source!I608, 2)</f>
        <v/>
      </c>
      <c r="L90" s="333">
        <f>IF(Source!BC608&lt;&gt; 0, Source!BC608, 1)</f>
        <v/>
      </c>
      <c r="M90" s="334">
        <f>Source!P608</f>
        <v/>
      </c>
      <c r="O90">
        <f>K90</f>
        <v/>
      </c>
      <c r="AA90">
        <f>K90</f>
        <v/>
      </c>
      <c r="AD90">
        <f>ROUND((Source!AT608/100)*((ROUND(Source!AF608*Source!I608, 2)+(ROUND((ROUND(((Source!EU608)*Source!I608),0)),0)+ROUND((ROUND(((Source!AE608-(Source!EU608))*Source!I608),0)),0)))), 2)</f>
        <v/>
      </c>
      <c r="AE90">
        <f>ROUND((Source!AU608/100)*((ROUND(Source!AF608*Source!I608, 2)+(ROUND((ROUND(((Source!EU608)*Source!I608),0)),0)+ROUND((ROUND(((Source!AE608-(Source!EU608))*Source!I608),0)),0)))), 2)</f>
        <v/>
      </c>
      <c r="AN90">
        <f>M90</f>
        <v/>
      </c>
      <c r="AW90">
        <f>M90</f>
        <v/>
      </c>
      <c r="AZ90">
        <f>Source!X608</f>
        <v/>
      </c>
      <c r="BA90">
        <f>Source!Y608</f>
        <v/>
      </c>
      <c r="BH90">
        <f>K90</f>
        <v/>
      </c>
      <c r="CD90" t="n">
        <v>1</v>
      </c>
    </row>
    <row r="91" ht="42.75" customHeight="1" s="197">
      <c r="A91" s="329" t="inlineStr">
        <is>
          <t>5.3</t>
        </is>
      </c>
      <c r="B91" s="329" t="inlineStr">
        <is>
          <t>5.3</t>
        </is>
      </c>
      <c r="C91" s="329">
        <f>Source!F609</f>
        <v/>
      </c>
      <c r="D91" s="329">
        <f>Source!G609</f>
        <v/>
      </c>
      <c r="E91" s="330">
        <f>Source!H609</f>
        <v/>
      </c>
      <c r="F91" s="331">
        <f>SmtRes!AT315</f>
        <v/>
      </c>
      <c r="G91" s="331" t="n"/>
      <c r="H91" s="331">
        <f>Source!I609</f>
        <v/>
      </c>
      <c r="I91" s="332">
        <f>Source!AL609+Source!AO609+Source!AM609</f>
        <v/>
      </c>
      <c r="J91" s="333" t="n"/>
      <c r="K91" s="332">
        <f>ROUND(Source!AC609*Source!I609, 2)+(ROUND((ROUND(((Source!ET609)*Source!I609),0)),0)+ROUND((ROUND(((Source!AE609-(Source!EU609))*Source!I609),0)),0))+ROUND(Source!AF609*Source!I609, 2)</f>
        <v/>
      </c>
      <c r="L91" s="333">
        <f>IF(Source!BC609&lt;&gt; 0, Source!BC609, 1)</f>
        <v/>
      </c>
      <c r="M91" s="334">
        <f>Source!P609</f>
        <v/>
      </c>
      <c r="O91">
        <f>K91</f>
        <v/>
      </c>
      <c r="AA91">
        <f>K91</f>
        <v/>
      </c>
      <c r="AD91">
        <f>ROUND((Source!AT609/100)*((ROUND(Source!AF609*Source!I609, 2)+(ROUND((ROUND(((Source!EU609)*Source!I609),0)),0)+ROUND((ROUND(((Source!AE609-(Source!EU609))*Source!I609),0)),0)))), 2)</f>
        <v/>
      </c>
      <c r="AE91">
        <f>ROUND((Source!AU609/100)*((ROUND(Source!AF609*Source!I609, 2)+(ROUND((ROUND(((Source!EU609)*Source!I609),0)),0)+ROUND((ROUND(((Source!AE609-(Source!EU609))*Source!I609),0)),0)))), 2)</f>
        <v/>
      </c>
      <c r="AN91">
        <f>M91</f>
        <v/>
      </c>
      <c r="AW91">
        <f>M91</f>
        <v/>
      </c>
      <c r="AZ91">
        <f>Source!X609</f>
        <v/>
      </c>
      <c r="BA91">
        <f>Source!Y609</f>
        <v/>
      </c>
      <c r="BH91">
        <f>K91</f>
        <v/>
      </c>
      <c r="CD91" t="n">
        <v>1</v>
      </c>
    </row>
    <row r="92" ht="28.5" customHeight="1" s="197">
      <c r="A92" s="329" t="inlineStr">
        <is>
          <t>5.4</t>
        </is>
      </c>
      <c r="B92" s="329" t="inlineStr">
        <is>
          <t>5.4</t>
        </is>
      </c>
      <c r="C92" s="329">
        <f>Source!F610</f>
        <v/>
      </c>
      <c r="D92" s="329">
        <f>Source!G610</f>
        <v/>
      </c>
      <c r="E92" s="330">
        <f>Source!H610</f>
        <v/>
      </c>
      <c r="F92" s="331">
        <f>SmtRes!AT309</f>
        <v/>
      </c>
      <c r="G92" s="331" t="n"/>
      <c r="H92" s="331">
        <f>Source!I610</f>
        <v/>
      </c>
      <c r="I92" s="332">
        <f>Source!AL610+Source!AO610+Source!AM610</f>
        <v/>
      </c>
      <c r="J92" s="333" t="n"/>
      <c r="K92" s="332">
        <f>ROUND(Source!AC610*Source!I610, 2)+(ROUND((ROUND(((Source!ET610)*Source!I610),0)),0)+ROUND((ROUND(((Source!AE610-(Source!EU610))*Source!I610),0)),0))+ROUND(Source!AF610*Source!I610, 2)</f>
        <v/>
      </c>
      <c r="L92" s="333">
        <f>IF(Source!BC610&lt;&gt; 0, Source!BC610, 1)</f>
        <v/>
      </c>
      <c r="M92" s="334">
        <f>Source!P610</f>
        <v/>
      </c>
      <c r="O92">
        <f>K92</f>
        <v/>
      </c>
      <c r="AA92">
        <f>K92</f>
        <v/>
      </c>
      <c r="AD92">
        <f>ROUND((Source!AT610/100)*((ROUND(Source!AF610*Source!I610, 2)+(ROUND((ROUND(((Source!EU610)*Source!I610),0)),0)+ROUND((ROUND(((Source!AE610-(Source!EU610))*Source!I610),0)),0)))), 2)</f>
        <v/>
      </c>
      <c r="AE92">
        <f>ROUND((Source!AU610/100)*((ROUND(Source!AF610*Source!I610, 2)+(ROUND((ROUND(((Source!EU610)*Source!I610),0)),0)+ROUND((ROUND(((Source!AE610-(Source!EU610))*Source!I610),0)),0)))), 2)</f>
        <v/>
      </c>
      <c r="AN92">
        <f>M92</f>
        <v/>
      </c>
      <c r="AW92">
        <f>M92</f>
        <v/>
      </c>
      <c r="AZ92">
        <f>Source!X610</f>
        <v/>
      </c>
      <c r="BA92">
        <f>Source!Y610</f>
        <v/>
      </c>
      <c r="BH92">
        <f>K92</f>
        <v/>
      </c>
      <c r="CD92" t="n">
        <v>1</v>
      </c>
    </row>
    <row r="93" ht="14.25" customHeight="1" s="197">
      <c r="A93" s="329" t="n"/>
      <c r="B93" s="329" t="n"/>
      <c r="C93" s="329" t="n"/>
      <c r="D93" s="329" t="inlineStr">
        <is>
          <t>ФОТ</t>
        </is>
      </c>
      <c r="E93" s="330" t="n"/>
      <c r="F93" s="331" t="n"/>
      <c r="G93" s="331" t="n"/>
      <c r="H93" s="331" t="n"/>
      <c r="I93" s="332" t="n"/>
      <c r="J93" s="333" t="n"/>
      <c r="K93" s="332">
        <f>SUM(S80:S96)+SUM(T80:T96)+SUM(X80:X96)+SUM(Y80:Y96)+SUM(Z80:Z96)</f>
        <v/>
      </c>
      <c r="L93" s="333" t="n"/>
      <c r="M93" s="334">
        <f>SUM(AR80:AR96)+SUM(AS80:AS96)+SUM(AT80:AT96)+SUM(AU80:AU96)+SUM(AV80:AV96)</f>
        <v/>
      </c>
    </row>
    <row r="94" ht="71.25" customHeight="1" s="197">
      <c r="A94" s="329" t="n"/>
      <c r="B94" s="329" t="n"/>
      <c r="C94" s="329" t="inlineStr">
        <is>
          <t>Пр/812-016.0-1</t>
        </is>
      </c>
      <c r="D94" s="329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94" s="330" t="inlineStr">
        <is>
          <t>%</t>
        </is>
      </c>
      <c r="F94" s="331">
        <f>Source!BZ606</f>
        <v/>
      </c>
      <c r="G94" s="331" t="n"/>
      <c r="H94" s="331">
        <f>Source!AT606</f>
        <v/>
      </c>
      <c r="I94" s="332" t="n"/>
      <c r="J94" s="333" t="n"/>
      <c r="K94" s="332">
        <f>SUM(AD80:AD96)</f>
        <v/>
      </c>
      <c r="L94" s="333" t="n"/>
      <c r="M94" s="334">
        <f>SUM(AZ80:AZ96)</f>
        <v/>
      </c>
    </row>
    <row r="95" ht="71.25" customHeight="1" s="197">
      <c r="A95" s="336" t="n"/>
      <c r="B95" s="336" t="n"/>
      <c r="C95" s="336" t="inlineStr">
        <is>
          <t>Пр/774-016.0</t>
        </is>
      </c>
      <c r="D95" s="336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95" s="337" t="inlineStr">
        <is>
          <t>%</t>
        </is>
      </c>
      <c r="F95" s="338">
        <f>Source!CA606</f>
        <v/>
      </c>
      <c r="G95" s="338" t="n"/>
      <c r="H95" s="338">
        <f>Source!AU606</f>
        <v/>
      </c>
      <c r="I95" s="339" t="n"/>
      <c r="J95" s="340" t="n"/>
      <c r="K95" s="339">
        <f>SUM(AE80:AE96)</f>
        <v/>
      </c>
      <c r="L95" s="340" t="n"/>
      <c r="M95" s="341">
        <f>SUM(BA80:BA96)</f>
        <v/>
      </c>
    </row>
    <row r="96" ht="15" customHeight="1" s="197">
      <c r="D96" s="342" t="inlineStr">
        <is>
          <t>Всего по позиции</t>
        </is>
      </c>
      <c r="J96" s="343">
        <f>K82+K83+K85+K94+K95+SUM(K89:K92)-SUMIF(CE89:CE92, 1, K89:K92)</f>
        <v/>
      </c>
      <c r="K96" s="199" t="n"/>
      <c r="L96" s="344">
        <f>M82+M83+M85+M94+M95+SUM(M89:M92)-SUMIF(CE89:CE92, 1, M89:M92)</f>
        <v/>
      </c>
      <c r="M96" s="199" t="n"/>
      <c r="O96" s="345">
        <f>K82+K83+K85+K94+K95</f>
        <v/>
      </c>
      <c r="P96" s="345">
        <f>K83</f>
        <v/>
      </c>
      <c r="R96" t="inlineStr">
        <is>
          <t>=</t>
        </is>
      </c>
      <c r="S96" s="345">
        <f>K82</f>
        <v/>
      </c>
      <c r="U96" s="345">
        <f>K82</f>
        <v/>
      </c>
      <c r="X96" s="345">
        <f>K84</f>
        <v/>
      </c>
      <c r="Z96" t="inlineStr">
        <is>
          <t>=</t>
        </is>
      </c>
      <c r="AA96" s="345">
        <f>K85</f>
        <v/>
      </c>
      <c r="AD96">
        <f>ROUND((Source!AT606/100)*((ROUND(Source!AF606*Source!I606, 2)+(ROUND((ROUND(((Source!EU606)*Source!I606),0)),0)+ROUND((ROUND(((Source!AE606-(Source!EU606))*Source!I606),0)),0)))), 2)</f>
        <v/>
      </c>
      <c r="AE96">
        <f>ROUND((Source!AU606/100)*((ROUND(Source!AF606*Source!I606, 2)+(ROUND((ROUND(((Source!EU606)*Source!I606),0)),0)+ROUND((ROUND(((Source!AE606-(Source!EU606))*Source!I606),0)),0)))), 2)</f>
        <v/>
      </c>
      <c r="AN96" s="346">
        <f>M82+M83+M85+M94+M95</f>
        <v/>
      </c>
      <c r="AO96" s="346">
        <f>M83</f>
        <v/>
      </c>
      <c r="AQ96" t="inlineStr">
        <is>
          <t>=</t>
        </is>
      </c>
      <c r="AR96" s="346">
        <f>M82</f>
        <v/>
      </c>
      <c r="AT96" s="346">
        <f>M84</f>
        <v/>
      </c>
      <c r="AV96" t="inlineStr">
        <is>
          <t>=</t>
        </is>
      </c>
      <c r="AW96" s="346">
        <f>M85</f>
        <v/>
      </c>
      <c r="AZ96">
        <f>Source!X606</f>
        <v/>
      </c>
      <c r="BA96">
        <f>Source!Y606</f>
        <v/>
      </c>
      <c r="BH96" s="345">
        <f>K82+K83+K85+K94+K95</f>
        <v/>
      </c>
      <c r="CD96" t="n">
        <v>1</v>
      </c>
    </row>
    <row r="97" ht="28.5" customHeight="1" s="197">
      <c r="A97" s="329" t="inlineStr">
        <is>
          <t>6</t>
        </is>
      </c>
      <c r="B97" s="329" t="inlineStr">
        <is>
          <t>6</t>
        </is>
      </c>
      <c r="C97" s="329">
        <f>Source!F611</f>
        <v/>
      </c>
      <c r="D97" s="329">
        <f>Source!G611</f>
        <v/>
      </c>
      <c r="E97" s="330">
        <f>Source!H611</f>
        <v/>
      </c>
      <c r="F97" s="331">
        <f>Source!K611</f>
        <v/>
      </c>
      <c r="G97" s="331" t="n"/>
      <c r="H97" s="331">
        <f>Source!I611</f>
        <v/>
      </c>
      <c r="I97" s="332" t="n"/>
      <c r="J97" s="333" t="n"/>
      <c r="K97" s="332" t="n"/>
      <c r="L97" s="333" t="n"/>
      <c r="M97" s="334" t="n"/>
    </row>
    <row r="98">
      <c r="D98" s="335">
        <f>"Объем: "&amp;Source!I611&amp;"=1/"&amp;"100"</f>
        <v/>
      </c>
    </row>
    <row r="99" ht="14.25" customHeight="1" s="197">
      <c r="A99" s="329" t="n"/>
      <c r="B99" s="329" t="n"/>
      <c r="C99" s="333" t="n">
        <v>1</v>
      </c>
      <c r="D99" s="329" t="inlineStr">
        <is>
          <t>ОТ</t>
        </is>
      </c>
      <c r="E99" s="330" t="n"/>
      <c r="F99" s="331" t="n"/>
      <c r="G99" s="331" t="n"/>
      <c r="H99" s="331" t="n"/>
      <c r="I99" s="332">
        <f>Source!AO611</f>
        <v/>
      </c>
      <c r="J99" s="333" t="n"/>
      <c r="K99" s="332">
        <f>ROUND(Source!AF611*Source!I611, 2)</f>
        <v/>
      </c>
      <c r="L99" s="333">
        <f>IF(Source!BA611&lt;&gt; 0, Source!BA611, 1)</f>
        <v/>
      </c>
      <c r="M99" s="334">
        <f>Source!S611</f>
        <v/>
      </c>
    </row>
    <row r="100" ht="14.25" customHeight="1" s="197">
      <c r="A100" s="329" t="n"/>
      <c r="B100" s="329" t="n"/>
      <c r="C100" s="333" t="n">
        <v>2</v>
      </c>
      <c r="D100" s="329" t="inlineStr">
        <is>
          <t>ЭМ</t>
        </is>
      </c>
      <c r="E100" s="330" t="n"/>
      <c r="F100" s="331" t="n"/>
      <c r="G100" s="331" t="n"/>
      <c r="H100" s="331" t="n"/>
      <c r="I100" s="332">
        <f>Source!AM611</f>
        <v/>
      </c>
      <c r="J100" s="333" t="n"/>
      <c r="K100" s="332">
        <f>(ROUND((ROUND(((Source!ET611)*Source!I611),0)),0)+ROUND((ROUND(((Source!AE611-(Source!EU611))*Source!I611),0)),0))</f>
        <v/>
      </c>
      <c r="L100" s="333">
        <f>IF(Source!BB611&lt;&gt; 0, Source!BB611, 1)</f>
        <v/>
      </c>
      <c r="M100" s="334">
        <f>Source!Q611</f>
        <v/>
      </c>
    </row>
    <row r="101" ht="14.25" customHeight="1" s="197">
      <c r="A101" s="329" t="n"/>
      <c r="B101" s="329" t="n"/>
      <c r="C101" s="333" t="n">
        <v>3</v>
      </c>
      <c r="D101" s="329" t="inlineStr">
        <is>
          <t>в т.ч. ОТм</t>
        </is>
      </c>
      <c r="E101" s="330" t="n"/>
      <c r="F101" s="331" t="n"/>
      <c r="G101" s="331" t="n"/>
      <c r="H101" s="331" t="n"/>
      <c r="I101" s="332">
        <f>Source!AN611</f>
        <v/>
      </c>
      <c r="J101" s="333" t="n"/>
      <c r="K101" s="347">
        <f>(ROUND((ROUND(((Source!EU611)*Source!I611),0)),0)+ROUND((ROUND(((Source!AE611-(Source!EU611))*Source!I611),0)),0))</f>
        <v/>
      </c>
      <c r="L101" s="333">
        <f>IF(Source!BS611&lt;&gt; 0, Source!BS611, 1)</f>
        <v/>
      </c>
      <c r="M101" s="348">
        <f>Source!R611</f>
        <v/>
      </c>
    </row>
    <row r="102" ht="14.25" customHeight="1" s="197">
      <c r="A102" s="329" t="n"/>
      <c r="B102" s="329" t="n"/>
      <c r="C102" s="333" t="n">
        <v>4</v>
      </c>
      <c r="D102" s="329" t="inlineStr">
        <is>
          <t>М</t>
        </is>
      </c>
      <c r="E102" s="330" t="n"/>
      <c r="F102" s="331" t="n"/>
      <c r="G102" s="331" t="n"/>
      <c r="H102" s="331" t="n"/>
      <c r="I102" s="332">
        <f>Source!AL611</f>
        <v/>
      </c>
      <c r="J102" s="333" t="n"/>
      <c r="K102" s="332">
        <f>ROUND(Source!AC611*Source!I611, 2)</f>
        <v/>
      </c>
      <c r="L102" s="333">
        <f>IF(Source!BC611&lt;&gt; 0, Source!BC611, 1)</f>
        <v/>
      </c>
      <c r="M102" s="334">
        <f>Source!P611</f>
        <v/>
      </c>
    </row>
    <row r="103" ht="14.25" customHeight="1" s="197">
      <c r="A103" s="329" t="n"/>
      <c r="B103" s="329" t="n"/>
      <c r="C103" s="329" t="n"/>
      <c r="D103" s="329" t="inlineStr">
        <is>
          <t>ЗТ</t>
        </is>
      </c>
      <c r="E103" s="330" t="inlineStr">
        <is>
          <t>чел.-ч.</t>
        </is>
      </c>
      <c r="F103" s="331">
        <f>Source!AQ611</f>
        <v/>
      </c>
      <c r="G103" s="331" t="n"/>
      <c r="H103" s="331">
        <f>ROUND(Source!U611, 7)</f>
        <v/>
      </c>
      <c r="I103" s="332" t="n"/>
      <c r="J103" s="333" t="n"/>
      <c r="K103" s="332" t="n"/>
      <c r="L103" s="333" t="n"/>
      <c r="M103" s="334" t="n"/>
    </row>
    <row r="104" ht="14.25" customHeight="1" s="197">
      <c r="A104" s="329" t="n"/>
      <c r="B104" s="329" t="n"/>
      <c r="C104" s="329" t="n"/>
      <c r="D104" s="336" t="inlineStr">
        <is>
          <t>ЗТм</t>
        </is>
      </c>
      <c r="E104" s="337" t="inlineStr">
        <is>
          <t>чел.-ч.</t>
        </is>
      </c>
      <c r="F104" s="338">
        <f>Source!AR611</f>
        <v/>
      </c>
      <c r="G104" s="338" t="n"/>
      <c r="H104" s="338">
        <f>ROUND(Source!V611, 7)</f>
        <v/>
      </c>
      <c r="I104" s="339" t="n"/>
      <c r="J104" s="340" t="n"/>
      <c r="K104" s="339" t="n"/>
      <c r="L104" s="340" t="n"/>
      <c r="M104" s="341" t="n"/>
    </row>
    <row r="105" ht="14.25" customHeight="1" s="197">
      <c r="A105" s="329" t="n"/>
      <c r="B105" s="329" t="n"/>
      <c r="C105" s="329" t="n"/>
      <c r="D105" s="329" t="inlineStr">
        <is>
          <t>Итого по расценке</t>
        </is>
      </c>
      <c r="E105" s="330" t="n"/>
      <c r="F105" s="331" t="n"/>
      <c r="G105" s="331" t="n"/>
      <c r="H105" s="331" t="n"/>
      <c r="I105" s="332">
        <f>I99+I100+I102</f>
        <v/>
      </c>
      <c r="J105" s="333" t="n"/>
      <c r="K105" s="332">
        <f>K99+K100+K102</f>
        <v/>
      </c>
      <c r="L105" s="333" t="n"/>
      <c r="M105" s="334">
        <f>M99+M100+M102</f>
        <v/>
      </c>
    </row>
    <row r="106" ht="42.75" customHeight="1" s="197">
      <c r="A106" s="329" t="inlineStr">
        <is>
          <t>6.1</t>
        </is>
      </c>
      <c r="B106" s="329" t="inlineStr">
        <is>
          <t>6.1</t>
        </is>
      </c>
      <c r="C106" s="329">
        <f>Source!F612</f>
        <v/>
      </c>
      <c r="D106" s="329" t="inlineStr">
        <is>
          <t>Исключен
Сгоны стальные с муфтой и контргайкой, диаметром 50 мм</t>
        </is>
      </c>
      <c r="E106" s="330">
        <f>Source!H612</f>
        <v/>
      </c>
      <c r="F106" s="331">
        <f>SmtRes!AT322</f>
        <v/>
      </c>
      <c r="G106" s="331" t="n"/>
      <c r="H106" s="331">
        <f>Source!I612</f>
        <v/>
      </c>
      <c r="I106" s="332">
        <f>Source!AL612+Source!AO612+Source!AM612</f>
        <v/>
      </c>
      <c r="J106" s="333" t="n"/>
      <c r="K106" s="332">
        <f>ROUND(Source!AC612*Source!I612, 2)+(ROUND((ROUND(((Source!ET612)*Source!I612),0)),0)+ROUND((ROUND(((Source!AE612-(Source!EU612))*Source!I612),0)),0))+ROUND(Source!AF612*Source!I612, 2)</f>
        <v/>
      </c>
      <c r="L106" s="333">
        <f>IF(Source!BC612&lt;&gt; 0, Source!BC612, 1)</f>
        <v/>
      </c>
      <c r="M106" s="334">
        <f>Source!P612</f>
        <v/>
      </c>
      <c r="O106">
        <f>K106</f>
        <v/>
      </c>
      <c r="AA106">
        <f>K106</f>
        <v/>
      </c>
      <c r="AD106">
        <f>ROUND((Source!AT612/100)*((ROUND(Source!AF612*Source!I612, 2)+(ROUND((ROUND(((Source!EU612)*Source!I612),0)),0)+ROUND((ROUND(((Source!AE612-(Source!EU612))*Source!I612),0)),0)))), 2)</f>
        <v/>
      </c>
      <c r="AE106">
        <f>ROUND((Source!AU612/100)*((ROUND(Source!AF612*Source!I612, 2)+(ROUND((ROUND(((Source!EU612)*Source!I612),0)),0)+ROUND((ROUND(((Source!AE612-(Source!EU612))*Source!I612),0)),0)))), 2)</f>
        <v/>
      </c>
      <c r="AN106">
        <f>M106</f>
        <v/>
      </c>
      <c r="AW106">
        <f>M106</f>
        <v/>
      </c>
      <c r="AZ106">
        <f>Source!X612</f>
        <v/>
      </c>
      <c r="BA106">
        <f>Source!Y612</f>
        <v/>
      </c>
      <c r="BH106">
        <f>K106</f>
        <v/>
      </c>
      <c r="CD106" t="n">
        <v>1</v>
      </c>
    </row>
    <row r="107" ht="28.5" customHeight="1" s="197">
      <c r="A107" s="329" t="inlineStr">
        <is>
          <t>6.2</t>
        </is>
      </c>
      <c r="B107" s="329" t="inlineStr">
        <is>
          <t>6.2</t>
        </is>
      </c>
      <c r="C107" s="329">
        <f>Source!F613</f>
        <v/>
      </c>
      <c r="D107" s="329">
        <f>Source!G613</f>
        <v/>
      </c>
      <c r="E107" s="330">
        <f>Source!H613</f>
        <v/>
      </c>
      <c r="F107" s="331">
        <f>SmtRes!AT326</f>
        <v/>
      </c>
      <c r="G107" s="331" t="n"/>
      <c r="H107" s="331">
        <f>Source!I613</f>
        <v/>
      </c>
      <c r="I107" s="332">
        <f>Source!AL613+Source!AO613+Source!AM613</f>
        <v/>
      </c>
      <c r="J107" s="333" t="n"/>
      <c r="K107" s="332">
        <f>ROUND(Source!AC613*Source!I613, 2)+(ROUND((ROUND(((Source!ET613)*Source!I613),0)),0)+ROUND((ROUND(((Source!AE613-(Source!EU613))*Source!I613),0)),0))+ROUND(Source!AF613*Source!I613, 2)</f>
        <v/>
      </c>
      <c r="L107" s="333">
        <f>IF(Source!BC613&lt;&gt; 0, Source!BC613, 1)</f>
        <v/>
      </c>
      <c r="M107" s="334">
        <f>Source!P613</f>
        <v/>
      </c>
      <c r="O107">
        <f>K107</f>
        <v/>
      </c>
      <c r="AA107">
        <f>K107</f>
        <v/>
      </c>
      <c r="AD107">
        <f>ROUND((Source!AT613/100)*((ROUND(Source!AF613*Source!I613, 2)+(ROUND((ROUND(((Source!EU613)*Source!I613),0)),0)+ROUND((ROUND(((Source!AE613-(Source!EU613))*Source!I613),0)),0)))), 2)</f>
        <v/>
      </c>
      <c r="AE107">
        <f>ROUND((Source!AU613/100)*((ROUND(Source!AF613*Source!I613, 2)+(ROUND((ROUND(((Source!EU613)*Source!I613),0)),0)+ROUND((ROUND(((Source!AE613-(Source!EU613))*Source!I613),0)),0)))), 2)</f>
        <v/>
      </c>
      <c r="AN107">
        <f>M107</f>
        <v/>
      </c>
      <c r="AW107">
        <f>M107</f>
        <v/>
      </c>
      <c r="AZ107">
        <f>Source!X613</f>
        <v/>
      </c>
      <c r="BA107">
        <f>Source!Y613</f>
        <v/>
      </c>
      <c r="BH107">
        <f>K107</f>
        <v/>
      </c>
      <c r="CD107" t="n">
        <v>1</v>
      </c>
    </row>
    <row r="108" ht="28.5" customHeight="1" s="197">
      <c r="A108" s="329" t="inlineStr">
        <is>
          <t>6.3</t>
        </is>
      </c>
      <c r="B108" s="329" t="inlineStr">
        <is>
          <t>6.3</t>
        </is>
      </c>
      <c r="C108" s="329">
        <f>Source!F614</f>
        <v/>
      </c>
      <c r="D108" s="329">
        <f>Source!G614</f>
        <v/>
      </c>
      <c r="E108" s="330">
        <f>Source!H614</f>
        <v/>
      </c>
      <c r="F108" s="331">
        <f>SmtRes!AT323</f>
        <v/>
      </c>
      <c r="G108" s="331" t="n"/>
      <c r="H108" s="331">
        <f>Source!I614</f>
        <v/>
      </c>
      <c r="I108" s="332">
        <f>Source!AL614+Source!AO614+Source!AM614</f>
        <v/>
      </c>
      <c r="J108" s="333" t="n"/>
      <c r="K108" s="332">
        <f>ROUND(Source!AC614*Source!I614, 2)+(ROUND((ROUND(((Source!ET614)*Source!I614),0)),0)+ROUND((ROUND(((Source!AE614-(Source!EU614))*Source!I614),0)),0))+ROUND(Source!AF614*Source!I614, 2)</f>
        <v/>
      </c>
      <c r="L108" s="333">
        <f>IF(Source!BC614&lt;&gt; 0, Source!BC614, 1)</f>
        <v/>
      </c>
      <c r="M108" s="334">
        <f>Source!P614</f>
        <v/>
      </c>
      <c r="O108">
        <f>K108</f>
        <v/>
      </c>
      <c r="AA108">
        <f>K108</f>
        <v/>
      </c>
      <c r="AD108">
        <f>ROUND((Source!AT614/100)*((ROUND(Source!AF614*Source!I614, 2)+(ROUND((ROUND(((Source!EU614)*Source!I614),0)),0)+ROUND((ROUND(((Source!AE614-(Source!EU614))*Source!I614),0)),0)))), 2)</f>
        <v/>
      </c>
      <c r="AE108">
        <f>ROUND((Source!AU614/100)*((ROUND(Source!AF614*Source!I614, 2)+(ROUND((ROUND(((Source!EU614)*Source!I614),0)),0)+ROUND((ROUND(((Source!AE614-(Source!EU614))*Source!I614),0)),0)))), 2)</f>
        <v/>
      </c>
      <c r="AN108">
        <f>M108</f>
        <v/>
      </c>
      <c r="AW108">
        <f>M108</f>
        <v/>
      </c>
      <c r="AZ108">
        <f>Source!X614</f>
        <v/>
      </c>
      <c r="BA108">
        <f>Source!Y614</f>
        <v/>
      </c>
      <c r="BH108">
        <f>K108</f>
        <v/>
      </c>
      <c r="CD108" t="n">
        <v>1</v>
      </c>
    </row>
    <row r="109" ht="28.5" customHeight="1" s="197">
      <c r="A109" s="329" t="inlineStr">
        <is>
          <t>6.4</t>
        </is>
      </c>
      <c r="B109" s="329" t="inlineStr">
        <is>
          <t>6.4</t>
        </is>
      </c>
      <c r="C109" s="329">
        <f>Source!F615</f>
        <v/>
      </c>
      <c r="D109" s="329">
        <f>Source!G615</f>
        <v/>
      </c>
      <c r="E109" s="330">
        <f>Source!H615</f>
        <v/>
      </c>
      <c r="F109" s="331">
        <f>SmtRes!AT324</f>
        <v/>
      </c>
      <c r="G109" s="331" t="n"/>
      <c r="H109" s="331">
        <f>Source!I615</f>
        <v/>
      </c>
      <c r="I109" s="332">
        <f>Source!AL615+Source!AO615+Source!AM615</f>
        <v/>
      </c>
      <c r="J109" s="333" t="n"/>
      <c r="K109" s="332">
        <f>ROUND(Source!AC615*Source!I615, 2)+(ROUND((ROUND(((Source!ET615)*Source!I615),0)),0)+ROUND((ROUND(((Source!AE615-(Source!EU615))*Source!I615),0)),0))+ROUND(Source!AF615*Source!I615, 2)</f>
        <v/>
      </c>
      <c r="L109" s="333">
        <f>IF(Source!BC615&lt;&gt; 0, Source!BC615, 1)</f>
        <v/>
      </c>
      <c r="M109" s="334">
        <f>Source!P615</f>
        <v/>
      </c>
      <c r="O109">
        <f>K109</f>
        <v/>
      </c>
      <c r="AA109">
        <f>K109</f>
        <v/>
      </c>
      <c r="AD109">
        <f>ROUND((Source!AT615/100)*((ROUND(Source!AF615*Source!I615, 2)+(ROUND((ROUND(((Source!EU615)*Source!I615),0)),0)+ROUND((ROUND(((Source!AE615-(Source!EU615))*Source!I615),0)),0)))), 2)</f>
        <v/>
      </c>
      <c r="AE109">
        <f>ROUND((Source!AU615/100)*((ROUND(Source!AF615*Source!I615, 2)+(ROUND((ROUND(((Source!EU615)*Source!I615),0)),0)+ROUND((ROUND(((Source!AE615-(Source!EU615))*Source!I615),0)),0)))), 2)</f>
        <v/>
      </c>
      <c r="AN109">
        <f>M109</f>
        <v/>
      </c>
      <c r="AW109">
        <f>M109</f>
        <v/>
      </c>
      <c r="AZ109">
        <f>Source!X615</f>
        <v/>
      </c>
      <c r="BA109">
        <f>Source!Y615</f>
        <v/>
      </c>
      <c r="BH109">
        <f>K109</f>
        <v/>
      </c>
      <c r="CD109" t="n">
        <v>1</v>
      </c>
    </row>
    <row r="110" ht="28.5" customHeight="1" s="197">
      <c r="A110" s="329" t="inlineStr">
        <is>
          <t>6.5</t>
        </is>
      </c>
      <c r="B110" s="329" t="inlineStr">
        <is>
          <t>6.5</t>
        </is>
      </c>
      <c r="C110" s="329">
        <f>Source!F616</f>
        <v/>
      </c>
      <c r="D110" s="329">
        <f>Source!G616</f>
        <v/>
      </c>
      <c r="E110" s="330">
        <f>Source!H616</f>
        <v/>
      </c>
      <c r="F110" s="331">
        <f>SmtRes!AT325</f>
        <v/>
      </c>
      <c r="G110" s="331" t="n"/>
      <c r="H110" s="331">
        <f>Source!I616</f>
        <v/>
      </c>
      <c r="I110" s="332">
        <f>Source!AL616+Source!AO616+Source!AM616</f>
        <v/>
      </c>
      <c r="J110" s="333" t="n"/>
      <c r="K110" s="332">
        <f>ROUND(Source!AC616*Source!I616, 2)+(ROUND((ROUND(((Source!ET616)*Source!I616),0)),0)+ROUND((ROUND(((Source!AE616-(Source!EU616))*Source!I616),0)),0))+ROUND(Source!AF616*Source!I616, 2)</f>
        <v/>
      </c>
      <c r="L110" s="333">
        <f>IF(Source!BC616&lt;&gt; 0, Source!BC616, 1)</f>
        <v/>
      </c>
      <c r="M110" s="334">
        <f>Source!P616</f>
        <v/>
      </c>
      <c r="O110">
        <f>K110</f>
        <v/>
      </c>
      <c r="AA110">
        <f>K110</f>
        <v/>
      </c>
      <c r="AD110">
        <f>ROUND((Source!AT616/100)*((ROUND(Source!AF616*Source!I616, 2)+(ROUND((ROUND(((Source!EU616)*Source!I616),0)),0)+ROUND((ROUND(((Source!AE616-(Source!EU616))*Source!I616),0)),0)))), 2)</f>
        <v/>
      </c>
      <c r="AE110">
        <f>ROUND((Source!AU616/100)*((ROUND(Source!AF616*Source!I616, 2)+(ROUND((ROUND(((Source!EU616)*Source!I616),0)),0)+ROUND((ROUND(((Source!AE616-(Source!EU616))*Source!I616),0)),0)))), 2)</f>
        <v/>
      </c>
      <c r="AN110">
        <f>M110</f>
        <v/>
      </c>
      <c r="AW110">
        <f>M110</f>
        <v/>
      </c>
      <c r="AZ110">
        <f>Source!X616</f>
        <v/>
      </c>
      <c r="BA110">
        <f>Source!Y616</f>
        <v/>
      </c>
      <c r="BH110">
        <f>K110</f>
        <v/>
      </c>
      <c r="CD110" t="n">
        <v>1</v>
      </c>
    </row>
    <row r="111" ht="42.75" customHeight="1" s="197">
      <c r="A111" s="329" t="inlineStr">
        <is>
          <t>6.6</t>
        </is>
      </c>
      <c r="B111" s="329" t="inlineStr">
        <is>
          <t>6.6</t>
        </is>
      </c>
      <c r="C111" s="329">
        <f>Source!F617</f>
        <v/>
      </c>
      <c r="D111" s="329">
        <f>Source!G617</f>
        <v/>
      </c>
      <c r="E111" s="330">
        <f>Source!H617</f>
        <v/>
      </c>
      <c r="F111" s="331">
        <f>SmtRes!AT329</f>
        <v/>
      </c>
      <c r="G111" s="331" t="n"/>
      <c r="H111" s="331">
        <f>Source!I617</f>
        <v/>
      </c>
      <c r="I111" s="332">
        <f>Source!AL617+Source!AO617+Source!AM617</f>
        <v/>
      </c>
      <c r="J111" s="333" t="n"/>
      <c r="K111" s="332">
        <f>ROUND(Source!AC617*Source!I617, 2)+(ROUND((ROUND(((Source!ET617)*Source!I617),0)),0)+ROUND((ROUND(((Source!AE617-(Source!EU617))*Source!I617),0)),0))+ROUND(Source!AF617*Source!I617, 2)</f>
        <v/>
      </c>
      <c r="L111" s="333">
        <f>IF(Source!BC617&lt;&gt; 0, Source!BC617, 1)</f>
        <v/>
      </c>
      <c r="M111" s="334">
        <f>Source!P617</f>
        <v/>
      </c>
      <c r="O111">
        <f>K111</f>
        <v/>
      </c>
      <c r="AA111">
        <f>K111</f>
        <v/>
      </c>
      <c r="AD111">
        <f>ROUND((Source!AT617/100)*((ROUND(Source!AF617*Source!I617, 2)+(ROUND((ROUND(((Source!EU617)*Source!I617),0)),0)+ROUND((ROUND(((Source!AE617-(Source!EU617))*Source!I617),0)),0)))), 2)</f>
        <v/>
      </c>
      <c r="AE111">
        <f>ROUND((Source!AU617/100)*((ROUND(Source!AF617*Source!I617, 2)+(ROUND((ROUND(((Source!EU617)*Source!I617),0)),0)+ROUND((ROUND(((Source!AE617-(Source!EU617))*Source!I617),0)),0)))), 2)</f>
        <v/>
      </c>
      <c r="AN111">
        <f>M111</f>
        <v/>
      </c>
      <c r="AW111">
        <f>M111</f>
        <v/>
      </c>
      <c r="AZ111">
        <f>Source!X617</f>
        <v/>
      </c>
      <c r="BA111">
        <f>Source!Y617</f>
        <v/>
      </c>
      <c r="BH111">
        <f>K111</f>
        <v/>
      </c>
      <c r="CD111" t="n">
        <v>1</v>
      </c>
    </row>
    <row r="112" ht="42.75" customHeight="1" s="197">
      <c r="A112" s="329" t="inlineStr">
        <is>
          <t>6.7</t>
        </is>
      </c>
      <c r="B112" s="329" t="inlineStr">
        <is>
          <t>6.7</t>
        </is>
      </c>
      <c r="C112" s="329">
        <f>Source!F618</f>
        <v/>
      </c>
      <c r="D112" s="329">
        <f>Source!G618</f>
        <v/>
      </c>
      <c r="E112" s="330">
        <f>Source!H618</f>
        <v/>
      </c>
      <c r="F112" s="331">
        <f>SmtRes!AT328</f>
        <v/>
      </c>
      <c r="G112" s="331" t="n"/>
      <c r="H112" s="331">
        <f>Source!I618</f>
        <v/>
      </c>
      <c r="I112" s="332">
        <f>Source!AL618+Source!AO618+Source!AM618</f>
        <v/>
      </c>
      <c r="J112" s="333" t="n"/>
      <c r="K112" s="332">
        <f>ROUND(Source!AC618*Source!I618, 2)+(ROUND((ROUND(((Source!ET618)*Source!I618),0)),0)+ROUND((ROUND(((Source!AE618-(Source!EU618))*Source!I618),0)),0))+ROUND(Source!AF618*Source!I618, 2)</f>
        <v/>
      </c>
      <c r="L112" s="333">
        <f>IF(Source!BC618&lt;&gt; 0, Source!BC618, 1)</f>
        <v/>
      </c>
      <c r="M112" s="334">
        <f>Source!P618</f>
        <v/>
      </c>
      <c r="O112">
        <f>K112</f>
        <v/>
      </c>
      <c r="AA112">
        <f>K112</f>
        <v/>
      </c>
      <c r="AD112">
        <f>ROUND((Source!AT618/100)*((ROUND(Source!AF618*Source!I618, 2)+(ROUND((ROUND(((Source!EU618)*Source!I618),0)),0)+ROUND((ROUND(((Source!AE618-(Source!EU618))*Source!I618),0)),0)))), 2)</f>
        <v/>
      </c>
      <c r="AE112">
        <f>ROUND((Source!AU618/100)*((ROUND(Source!AF618*Source!I618, 2)+(ROUND((ROUND(((Source!EU618)*Source!I618),0)),0)+ROUND((ROUND(((Source!AE618-(Source!EU618))*Source!I618),0)),0)))), 2)</f>
        <v/>
      </c>
      <c r="AN112">
        <f>M112</f>
        <v/>
      </c>
      <c r="AW112">
        <f>M112</f>
        <v/>
      </c>
      <c r="AZ112">
        <f>Source!X618</f>
        <v/>
      </c>
      <c r="BA112">
        <f>Source!Y618</f>
        <v/>
      </c>
      <c r="BH112">
        <f>K112</f>
        <v/>
      </c>
      <c r="CD112" t="n">
        <v>1</v>
      </c>
    </row>
    <row r="113" ht="42.75" customHeight="1" s="197">
      <c r="A113" s="329" t="inlineStr">
        <is>
          <t>6.8</t>
        </is>
      </c>
      <c r="B113" s="329" t="inlineStr">
        <is>
          <t>6.8</t>
        </is>
      </c>
      <c r="C113" s="329">
        <f>Source!F619</f>
        <v/>
      </c>
      <c r="D113" s="329">
        <f>Source!G619</f>
        <v/>
      </c>
      <c r="E113" s="330">
        <f>Source!H619</f>
        <v/>
      </c>
      <c r="F113" s="331">
        <f>SmtRes!AT327</f>
        <v/>
      </c>
      <c r="G113" s="331" t="n"/>
      <c r="H113" s="331">
        <f>Source!I619</f>
        <v/>
      </c>
      <c r="I113" s="332">
        <f>Source!AL619+Source!AO619+Source!AM619</f>
        <v/>
      </c>
      <c r="J113" s="333" t="n"/>
      <c r="K113" s="332">
        <f>ROUND(Source!AC619*Source!I619, 2)+(ROUND((ROUND(((Source!ET619)*Source!I619),0)),0)+ROUND((ROUND(((Source!AE619-(Source!EU619))*Source!I619),0)),0))+ROUND(Source!AF619*Source!I619, 2)</f>
        <v/>
      </c>
      <c r="L113" s="333">
        <f>IF(Source!BC619&lt;&gt; 0, Source!BC619, 1)</f>
        <v/>
      </c>
      <c r="M113" s="334">
        <f>Source!P619</f>
        <v/>
      </c>
      <c r="O113">
        <f>K113</f>
        <v/>
      </c>
      <c r="AA113">
        <f>K113</f>
        <v/>
      </c>
      <c r="AD113">
        <f>ROUND((Source!AT619/100)*((ROUND(Source!AF619*Source!I619, 2)+(ROUND((ROUND(((Source!EU619)*Source!I619),0)),0)+ROUND((ROUND(((Source!AE619-(Source!EU619))*Source!I619),0)),0)))), 2)</f>
        <v/>
      </c>
      <c r="AE113">
        <f>ROUND((Source!AU619/100)*((ROUND(Source!AF619*Source!I619, 2)+(ROUND((ROUND(((Source!EU619)*Source!I619),0)),0)+ROUND((ROUND(((Source!AE619-(Source!EU619))*Source!I619),0)),0)))), 2)</f>
        <v/>
      </c>
      <c r="AN113">
        <f>M113</f>
        <v/>
      </c>
      <c r="AW113">
        <f>M113</f>
        <v/>
      </c>
      <c r="AZ113">
        <f>Source!X619</f>
        <v/>
      </c>
      <c r="BA113">
        <f>Source!Y619</f>
        <v/>
      </c>
      <c r="BH113">
        <f>K113</f>
        <v/>
      </c>
      <c r="CD113" t="n">
        <v>1</v>
      </c>
    </row>
    <row r="114" ht="14.25" customHeight="1" s="197">
      <c r="A114" s="329" t="n"/>
      <c r="B114" s="329" t="n"/>
      <c r="C114" s="329" t="n"/>
      <c r="D114" s="329" t="inlineStr">
        <is>
          <t>ФОТ</t>
        </is>
      </c>
      <c r="E114" s="330" t="n"/>
      <c r="F114" s="331" t="n"/>
      <c r="G114" s="331" t="n"/>
      <c r="H114" s="331" t="n"/>
      <c r="I114" s="332" t="n"/>
      <c r="J114" s="333" t="n"/>
      <c r="K114" s="332">
        <f>SUM(S97:S117)+SUM(T97:T117)+SUM(X97:X117)+SUM(Y97:Y117)+SUM(Z97:Z117)</f>
        <v/>
      </c>
      <c r="L114" s="333" t="n"/>
      <c r="M114" s="334">
        <f>SUM(AR97:AR117)+SUM(AS97:AS117)+SUM(AT97:AT117)+SUM(AU97:AU117)+SUM(AV97:AV117)</f>
        <v/>
      </c>
    </row>
    <row r="115" ht="42.75" customHeight="1" s="197">
      <c r="A115" s="329" t="n"/>
      <c r="B115" s="329" t="n"/>
      <c r="C115" s="329" t="inlineStr">
        <is>
          <t>Пр/812-099.2-1</t>
        </is>
      </c>
      <c r="D115" s="329" t="inlineStr">
        <is>
          <t>НР Внутренние санитарнотехнические работы: смена труб, санприборов, запорной арматуры и другое</t>
        </is>
      </c>
      <c r="E115" s="330" t="inlineStr">
        <is>
          <t>%</t>
        </is>
      </c>
      <c r="F115" s="331">
        <f>Source!BZ611</f>
        <v/>
      </c>
      <c r="G115" s="331" t="n"/>
      <c r="H115" s="331">
        <f>Source!AT611</f>
        <v/>
      </c>
      <c r="I115" s="332" t="n"/>
      <c r="J115" s="333" t="n"/>
      <c r="K115" s="332">
        <f>SUM(AD97:AD117)</f>
        <v/>
      </c>
      <c r="L115" s="333" t="n"/>
      <c r="M115" s="334">
        <f>SUM(AZ97:AZ117)</f>
        <v/>
      </c>
    </row>
    <row r="116" ht="42.75" customHeight="1" s="197">
      <c r="A116" s="336" t="n"/>
      <c r="B116" s="336" t="n"/>
      <c r="C116" s="336" t="inlineStr">
        <is>
          <t>Пр/774-099.2</t>
        </is>
      </c>
      <c r="D116" s="336" t="inlineStr">
        <is>
          <t>СП Внутренние санитарнотехнические работы: смена труб, санприборов, запорной арматуры и другое</t>
        </is>
      </c>
      <c r="E116" s="337" t="inlineStr">
        <is>
          <t>%</t>
        </is>
      </c>
      <c r="F116" s="338">
        <f>Source!CA611</f>
        <v/>
      </c>
      <c r="G116" s="338" t="n"/>
      <c r="H116" s="338">
        <f>Source!AU611</f>
        <v/>
      </c>
      <c r="I116" s="339" t="n"/>
      <c r="J116" s="340" t="n"/>
      <c r="K116" s="339">
        <f>SUM(AE97:AE117)</f>
        <v/>
      </c>
      <c r="L116" s="340" t="n"/>
      <c r="M116" s="341">
        <f>SUM(BA97:BA117)</f>
        <v/>
      </c>
    </row>
    <row r="117" ht="15" customHeight="1" s="197">
      <c r="D117" s="342" t="inlineStr">
        <is>
          <t>Всего по позиции</t>
        </is>
      </c>
      <c r="J117" s="343">
        <f>K99+K100+K102+K115+K116+SUM(K106:K113)-SUMIF(CE106:CE113, 1, K106:K113)</f>
        <v/>
      </c>
      <c r="K117" s="199" t="n"/>
      <c r="L117" s="344">
        <f>M99+M100+M102+M115+M116+SUM(M106:M113)-SUMIF(CE106:CE113, 1, M106:M113)</f>
        <v/>
      </c>
      <c r="M117" s="199" t="n"/>
      <c r="O117" s="345">
        <f>K99+K100+K102+K115+K116</f>
        <v/>
      </c>
      <c r="P117" s="345">
        <f>K100</f>
        <v/>
      </c>
      <c r="R117" t="inlineStr">
        <is>
          <t>=</t>
        </is>
      </c>
      <c r="S117" s="345">
        <f>K99</f>
        <v/>
      </c>
      <c r="U117" s="345">
        <f>K99</f>
        <v/>
      </c>
      <c r="X117" s="345">
        <f>K101</f>
        <v/>
      </c>
      <c r="Z117" t="inlineStr">
        <is>
          <t>=</t>
        </is>
      </c>
      <c r="AA117" s="345">
        <f>K102</f>
        <v/>
      </c>
      <c r="AD117">
        <f>ROUND((Source!AT611/100)*((ROUND(Source!AF611*Source!I611, 2)+(ROUND((ROUND(((Source!EU611)*Source!I611),0)),0)+ROUND((ROUND(((Source!AE611-(Source!EU611))*Source!I611),0)),0)))), 2)</f>
        <v/>
      </c>
      <c r="AE117">
        <f>ROUND((Source!AU611/100)*((ROUND(Source!AF611*Source!I611, 2)+(ROUND((ROUND(((Source!EU611)*Source!I611),0)),0)+ROUND((ROUND(((Source!AE611-(Source!EU611))*Source!I611),0)),0)))), 2)</f>
        <v/>
      </c>
      <c r="AN117" s="346">
        <f>M99+M100+M102+M115+M116</f>
        <v/>
      </c>
      <c r="AO117" s="346">
        <f>M100</f>
        <v/>
      </c>
      <c r="AQ117" t="inlineStr">
        <is>
          <t>=</t>
        </is>
      </c>
      <c r="AR117" s="346">
        <f>M99</f>
        <v/>
      </c>
      <c r="AT117" s="346">
        <f>M101</f>
        <v/>
      </c>
      <c r="AV117" t="inlineStr">
        <is>
          <t>=</t>
        </is>
      </c>
      <c r="AW117" s="346">
        <f>M102</f>
        <v/>
      </c>
      <c r="AZ117">
        <f>Source!X611</f>
        <v/>
      </c>
      <c r="BA117">
        <f>Source!Y611</f>
        <v/>
      </c>
      <c r="BH117" s="345">
        <f>K99+K100+K102+K115+K116</f>
        <v/>
      </c>
      <c r="CD117" t="n">
        <v>1</v>
      </c>
    </row>
    <row r="118"/>
    <row r="119" ht="15" customHeight="1" s="197">
      <c r="A119" s="349" t="n"/>
      <c r="B119" s="349" t="n"/>
      <c r="C119" s="350" t="n"/>
      <c r="D119" s="351" t="inlineStr">
        <is>
          <t>ИТОГИ ПО АКТУ</t>
        </is>
      </c>
      <c r="E119" s="199" t="n"/>
      <c r="F119" s="199" t="n"/>
      <c r="G119" s="199" t="n"/>
      <c r="H119" s="199" t="n"/>
      <c r="I119" s="199" t="n"/>
      <c r="J119" s="352" t="n"/>
      <c r="K119" s="343" t="n"/>
      <c r="L119" s="343" t="n"/>
      <c r="M119" s="344" t="n"/>
    </row>
    <row r="120"/>
    <row r="121" ht="15" customHeight="1" s="197">
      <c r="A121" s="353" t="n"/>
      <c r="B121" s="353" t="n"/>
      <c r="C121" s="354" t="n"/>
      <c r="D121" s="355" t="inlineStr">
        <is>
          <t>ВСЕГО строительные работы</t>
        </is>
      </c>
      <c r="J121" s="356" t="n"/>
      <c r="K121" s="357">
        <f>K123+K138+K139</f>
        <v/>
      </c>
      <c r="L121" s="357" t="n"/>
      <c r="M121" s="358">
        <f>M123+M138+M139</f>
        <v/>
      </c>
    </row>
    <row r="122" ht="14.25" customHeight="1" s="197">
      <c r="A122" s="359" t="n"/>
      <c r="B122" s="359" t="n"/>
      <c r="C122" s="360" t="n"/>
      <c r="D122" s="361" t="inlineStr">
        <is>
          <t>в том числе</t>
        </is>
      </c>
      <c r="J122" s="331" t="n"/>
      <c r="K122" s="332" t="n"/>
      <c r="L122" s="332" t="n"/>
      <c r="M122" s="334" t="n"/>
    </row>
    <row r="123" ht="14.25" customHeight="1" s="197">
      <c r="A123" s="359" t="n"/>
      <c r="B123" s="359" t="n"/>
      <c r="C123" s="360" t="n"/>
      <c r="D123" s="329" t="inlineStr">
        <is>
          <t>Всего прямые затраты</t>
        </is>
      </c>
      <c r="J123" s="331" t="n"/>
      <c r="K123" s="332">
        <f>K125+K126+K132+K136</f>
        <v/>
      </c>
      <c r="L123" s="332" t="n"/>
      <c r="M123" s="334">
        <f>M125+M126+M132+M136</f>
        <v/>
      </c>
    </row>
    <row r="124" ht="14.25" customHeight="1" s="197">
      <c r="A124" s="359" t="n"/>
      <c r="B124" s="359" t="n"/>
      <c r="C124" s="360" t="n"/>
      <c r="D124" s="361" t="inlineStr">
        <is>
          <t>в том числе</t>
        </is>
      </c>
      <c r="J124" s="331" t="n"/>
      <c r="K124" s="332" t="n"/>
      <c r="L124" s="332" t="n"/>
      <c r="M124" s="334" t="n"/>
    </row>
    <row r="125" ht="14.25" customHeight="1" s="197">
      <c r="A125" s="359" t="n"/>
      <c r="B125" s="359" t="n"/>
      <c r="C125" s="360" t="n"/>
      <c r="D125" s="329" t="inlineStr">
        <is>
          <t xml:space="preserve">  оплата труда (ОТ)</t>
        </is>
      </c>
      <c r="J125" s="331" t="n"/>
      <c r="K125" s="332">
        <f>SUMIF(CD38:CD117, 1, S38:S117)</f>
        <v/>
      </c>
      <c r="L125" s="332" t="n"/>
      <c r="M125" s="334">
        <f>SUMIF(CD38:CD117, 1, AR38:AR117)</f>
        <v/>
      </c>
    </row>
    <row r="126" ht="14.25" customHeight="1" s="197">
      <c r="A126" s="359" t="n"/>
      <c r="B126" s="359" t="n"/>
      <c r="C126" s="360" t="n"/>
      <c r="D126" s="329" t="inlineStr">
        <is>
          <t xml:space="preserve">  эксплуатация машин и механизмов</t>
        </is>
      </c>
      <c r="J126" s="331" t="n"/>
      <c r="K126" s="332">
        <f>K128+K131</f>
        <v/>
      </c>
      <c r="L126" s="332" t="n"/>
      <c r="M126" s="334">
        <f>M128+M131</f>
        <v/>
      </c>
    </row>
    <row r="127" ht="14.25" customHeight="1" s="197">
      <c r="A127" s="359" t="n"/>
      <c r="B127" s="359" t="n"/>
      <c r="C127" s="360" t="n"/>
      <c r="D127" s="361" t="inlineStr">
        <is>
          <t xml:space="preserve">  в том числе</t>
        </is>
      </c>
      <c r="J127" s="331" t="n"/>
      <c r="K127" s="332" t="n"/>
      <c r="L127" s="332" t="n"/>
      <c r="M127" s="334" t="n"/>
    </row>
    <row r="128" ht="14.25" customHeight="1" s="197">
      <c r="A128" s="359" t="n"/>
      <c r="B128" s="359" t="n"/>
      <c r="C128" s="360" t="n"/>
      <c r="D128" s="329" t="inlineStr">
        <is>
          <t xml:space="preserve">    эксплуатация машин и механизмов без учета доплат к оплате труда машинистов</t>
        </is>
      </c>
      <c r="J128" s="331" t="n"/>
      <c r="K128" s="332">
        <f>SUMIF(CD38:CD117, 1, P38:P117)</f>
        <v/>
      </c>
      <c r="L128" s="332" t="n"/>
      <c r="M128" s="334">
        <f>SUMIF(CD38:CD117, 1, AO38:AO117)</f>
        <v/>
      </c>
    </row>
    <row r="129" ht="14.25" customHeight="1" s="197">
      <c r="A129" s="359" t="n"/>
      <c r="B129" s="359" t="n"/>
      <c r="C129" s="360" t="n"/>
      <c r="D129" s="361" t="inlineStr">
        <is>
          <t xml:space="preserve">    в том числе</t>
        </is>
      </c>
      <c r="J129" s="331" t="n"/>
      <c r="K129" s="332" t="n"/>
      <c r="L129" s="332" t="n"/>
      <c r="M129" s="334" t="n"/>
    </row>
    <row r="130" ht="14.25" customHeight="1" s="197">
      <c r="A130" s="359" t="n"/>
      <c r="B130" s="359" t="n"/>
      <c r="C130" s="360" t="n"/>
      <c r="D130" s="329" t="inlineStr">
        <is>
          <t xml:space="preserve">      оплата труда машинистов (ОТм)</t>
        </is>
      </c>
      <c r="J130" s="331" t="n"/>
      <c r="K130" s="332">
        <f>SUMIF(CD38:CD117, 1, X38:X117)</f>
        <v/>
      </c>
      <c r="L130" s="332" t="n"/>
      <c r="M130" s="334">
        <f>SUMIF(CD38:CD117, 1, AT38:AT117)</f>
        <v/>
      </c>
    </row>
    <row r="131" ht="14.25" customHeight="1" s="197">
      <c r="A131" s="359" t="n"/>
      <c r="B131" s="359" t="n"/>
      <c r="C131" s="360" t="n"/>
      <c r="D131" s="329" t="inlineStr">
        <is>
          <t xml:space="preserve">    доплаты к оплате труда машинистов</t>
        </is>
      </c>
      <c r="J131" s="331" t="n"/>
      <c r="K131" s="332">
        <f>SUMIF(CD38:CD117, 1, Z38:Z117)</f>
        <v/>
      </c>
      <c r="L131" s="332" t="n"/>
      <c r="M131" s="334">
        <f>SUMIF(CD38:CD117, 1, AV38:AV117)</f>
        <v/>
      </c>
    </row>
    <row r="132" ht="14.25" customHeight="1" s="197">
      <c r="A132" s="359" t="n"/>
      <c r="B132" s="359" t="n"/>
      <c r="C132" s="360" t="n"/>
      <c r="D132" s="329" t="inlineStr">
        <is>
          <t xml:space="preserve">  материальные ресурсы</t>
        </is>
      </c>
      <c r="J132" s="331" t="n"/>
      <c r="K132" s="332">
        <f>K134+K135</f>
        <v/>
      </c>
      <c r="L132" s="332" t="n"/>
      <c r="M132" s="334">
        <f>M134+M135</f>
        <v/>
      </c>
    </row>
    <row r="133" ht="14.25" customHeight="1" s="197">
      <c r="A133" s="359" t="n"/>
      <c r="B133" s="359" t="n"/>
      <c r="C133" s="360" t="n"/>
      <c r="D133" s="361" t="inlineStr">
        <is>
          <t xml:space="preserve">  в том числе</t>
        </is>
      </c>
      <c r="J133" s="331" t="n"/>
      <c r="K133" s="332" t="n"/>
      <c r="L133" s="332" t="n"/>
      <c r="M133" s="334" t="n"/>
    </row>
    <row r="134" ht="14.25" customHeight="1" s="197">
      <c r="A134" s="359" t="n"/>
      <c r="B134" s="359" t="n"/>
      <c r="C134" s="360" t="n"/>
      <c r="D134" s="329" t="inlineStr">
        <is>
          <t xml:space="preserve">    материальные ресурсы без учета дополнительной перевозки</t>
        </is>
      </c>
      <c r="J134" s="331" t="n"/>
      <c r="K134" s="332">
        <f>SUMIF(CD38:CD117, 1, AA38:AA117)-SUMIF(CD38:CD117, 1, BJ38:BJ117)</f>
        <v/>
      </c>
      <c r="L134" s="332" t="n"/>
      <c r="M134" s="334">
        <f>SUMIF(CD38:CD117, 1, AW38:AW117)-SUMIF(CD38:CD117, 1, BK38:BK117)</f>
        <v/>
      </c>
    </row>
    <row r="135" ht="14.25" customHeight="1" s="197">
      <c r="A135" s="359" t="n"/>
      <c r="B135" s="359" t="n"/>
      <c r="C135" s="360" t="n"/>
      <c r="D135" s="329" t="inlineStr">
        <is>
          <t xml:space="preserve">    дополнительная перевозка материальных ресурсов</t>
        </is>
      </c>
      <c r="J135" s="331" t="n"/>
      <c r="K135" s="332">
        <f>SUMIF(CD38:CD117, 1, AG38:AG117)</f>
        <v/>
      </c>
      <c r="L135" s="332" t="n"/>
      <c r="M135" s="334">
        <f>SUMIF(CD38:CD117, 1, BC38:BC117)</f>
        <v/>
      </c>
    </row>
    <row r="136" ht="14.25" customHeight="1" s="197">
      <c r="A136" s="359" t="n"/>
      <c r="B136" s="359" t="n"/>
      <c r="C136" s="360" t="n"/>
      <c r="D136" s="329" t="inlineStr">
        <is>
          <t xml:space="preserve">  перевозка</t>
        </is>
      </c>
      <c r="J136" s="331" t="n"/>
      <c r="K136" s="332">
        <f>SUMIF(CD38:CD117, 1, AF38:AF117)</f>
        <v/>
      </c>
      <c r="L136" s="332" t="n"/>
      <c r="M136" s="334">
        <f>SUMIF(CD38:CD117, 1, BB38:BB117)</f>
        <v/>
      </c>
    </row>
    <row r="137" ht="14.25" customHeight="1" s="197">
      <c r="A137" s="359" t="n"/>
      <c r="B137" s="359" t="n"/>
      <c r="C137" s="360" t="n"/>
      <c r="D137" s="329" t="inlineStr">
        <is>
          <t>ФОТ (справочно)</t>
        </is>
      </c>
      <c r="J137" s="331" t="n"/>
      <c r="K137" s="332">
        <f>SUMIF(CD38:CD117, 1, S38:S117)+SUMIF(CD38:CD117, 1, X38:X117)+SUMIF(CD38:CD117, 1, Z38:Z117)</f>
        <v/>
      </c>
      <c r="L137" s="332" t="n"/>
      <c r="M137" s="334">
        <f>SUMIF(CD38:CD117, 1, AR38:AR117)+SUMIF(CD38:CD117, 1, AT38:AT117)+SUMIF(CD38:CD117, 1, AV38:AV117)</f>
        <v/>
      </c>
    </row>
    <row r="138" ht="14.25" customHeight="1" s="197">
      <c r="A138" s="359" t="n"/>
      <c r="B138" s="359" t="n"/>
      <c r="C138" s="360" t="n"/>
      <c r="D138" s="329" t="inlineStr">
        <is>
          <t>накладные расходы</t>
        </is>
      </c>
      <c r="J138" s="331" t="n"/>
      <c r="K138" s="332">
        <f>SUMIF(CD38:CD117, 1, AD38:AD117)</f>
        <v/>
      </c>
      <c r="L138" s="332" t="n"/>
      <c r="M138" s="334">
        <f>SUMIF(CD38:CD117, 1, AZ38:AZ117)</f>
        <v/>
      </c>
    </row>
    <row r="139" ht="14.25" customHeight="1" s="197">
      <c r="A139" s="359" t="n"/>
      <c r="B139" s="359" t="n"/>
      <c r="C139" s="360" t="n"/>
      <c r="D139" s="329" t="inlineStr">
        <is>
          <t>сметная прибыль</t>
        </is>
      </c>
      <c r="J139" s="331" t="n"/>
      <c r="K139" s="332">
        <f>SUMIF(CD38:CD117, 1, AE38:AE117)</f>
        <v/>
      </c>
      <c r="L139" s="332" t="n"/>
      <c r="M139" s="334">
        <f>SUMIF(CD38:CD117, 1, BA38:BA117)</f>
        <v/>
      </c>
    </row>
    <row r="140"/>
    <row r="141" ht="15" customHeight="1" s="197">
      <c r="A141" s="353" t="n"/>
      <c r="B141" s="353" t="n"/>
      <c r="C141" s="354" t="n"/>
      <c r="D141" s="355" t="inlineStr">
        <is>
          <t>ВСЕГО монтажные работы</t>
        </is>
      </c>
      <c r="J141" s="356" t="n"/>
      <c r="K141" s="357">
        <f>K143+K158+K159</f>
        <v/>
      </c>
      <c r="L141" s="357" t="n"/>
      <c r="M141" s="358">
        <f>M143+M158+M159</f>
        <v/>
      </c>
    </row>
    <row r="142" ht="14.25" customHeight="1" s="197">
      <c r="A142" s="359" t="n"/>
      <c r="B142" s="359" t="n"/>
      <c r="C142" s="360" t="n"/>
      <c r="D142" s="361" t="inlineStr">
        <is>
          <t>в том числе</t>
        </is>
      </c>
      <c r="J142" s="331" t="n"/>
      <c r="K142" s="332" t="n"/>
      <c r="L142" s="332" t="n"/>
      <c r="M142" s="334" t="n"/>
    </row>
    <row r="143" ht="14.25" customHeight="1" s="197">
      <c r="A143" s="359" t="n"/>
      <c r="B143" s="359" t="n"/>
      <c r="C143" s="360" t="n"/>
      <c r="D143" s="329" t="inlineStr">
        <is>
          <t>Всего прямые затраты</t>
        </is>
      </c>
      <c r="J143" s="331" t="n"/>
      <c r="K143" s="332">
        <f>K145+K146+K152+K156</f>
        <v/>
      </c>
      <c r="L143" s="332" t="n"/>
      <c r="M143" s="334">
        <f>M145+M146+M152+M156</f>
        <v/>
      </c>
    </row>
    <row r="144" ht="14.25" customHeight="1" s="197">
      <c r="A144" s="359" t="n"/>
      <c r="B144" s="359" t="n"/>
      <c r="C144" s="360" t="n"/>
      <c r="D144" s="361" t="inlineStr">
        <is>
          <t>в том числе</t>
        </is>
      </c>
      <c r="J144" s="331" t="n"/>
      <c r="K144" s="332" t="n"/>
      <c r="L144" s="332" t="n"/>
      <c r="M144" s="334" t="n"/>
    </row>
    <row r="145" ht="14.25" customHeight="1" s="197">
      <c r="A145" s="359" t="n"/>
      <c r="B145" s="359" t="n"/>
      <c r="C145" s="360" t="n"/>
      <c r="D145" s="329" t="inlineStr">
        <is>
          <t xml:space="preserve">  оплата труда (ОТ)</t>
        </is>
      </c>
      <c r="J145" s="331" t="n"/>
      <c r="K145" s="332">
        <f>SUMIF(CD38:CD139, 2, S38:S139)</f>
        <v/>
      </c>
      <c r="L145" s="332" t="n"/>
      <c r="M145" s="334">
        <f>SUMIF(CD38:CD139, 2, AR38:AR139)</f>
        <v/>
      </c>
    </row>
    <row r="146" ht="14.25" customHeight="1" s="197">
      <c r="A146" s="359" t="n"/>
      <c r="B146" s="359" t="n"/>
      <c r="C146" s="360" t="n"/>
      <c r="D146" s="329" t="inlineStr">
        <is>
          <t xml:space="preserve">  эксплуатация машин и механизмов</t>
        </is>
      </c>
      <c r="J146" s="331" t="n"/>
      <c r="K146" s="332">
        <f>K148+K151</f>
        <v/>
      </c>
      <c r="L146" s="332" t="n"/>
      <c r="M146" s="334">
        <f>M148+M151</f>
        <v/>
      </c>
    </row>
    <row r="147" ht="14.25" customHeight="1" s="197">
      <c r="A147" s="359" t="n"/>
      <c r="B147" s="359" t="n"/>
      <c r="C147" s="360" t="n"/>
      <c r="D147" s="361" t="inlineStr">
        <is>
          <t xml:space="preserve">  в том числе</t>
        </is>
      </c>
      <c r="J147" s="331" t="n"/>
      <c r="K147" s="332" t="n"/>
      <c r="L147" s="332" t="n"/>
      <c r="M147" s="334" t="n"/>
    </row>
    <row r="148" ht="14.25" customHeight="1" s="197">
      <c r="A148" s="359" t="n"/>
      <c r="B148" s="359" t="n"/>
      <c r="C148" s="360" t="n"/>
      <c r="D148" s="329" t="inlineStr">
        <is>
          <t xml:space="preserve">    эксплуатация машин и механизмов без учета доплат к оплате труда машинистов</t>
        </is>
      </c>
      <c r="J148" s="331" t="n"/>
      <c r="K148" s="332">
        <f>SUMIF(CD38:CD139, 2, P38:P139)</f>
        <v/>
      </c>
      <c r="L148" s="332" t="n"/>
      <c r="M148" s="334">
        <f>SUMIF(CD38:CD139, 2, AO38:AO139)</f>
        <v/>
      </c>
    </row>
    <row r="149" ht="14.25" customHeight="1" s="197">
      <c r="A149" s="359" t="n"/>
      <c r="B149" s="359" t="n"/>
      <c r="C149" s="360" t="n"/>
      <c r="D149" s="361" t="inlineStr">
        <is>
          <t xml:space="preserve">    в том числе</t>
        </is>
      </c>
      <c r="J149" s="331" t="n"/>
      <c r="K149" s="332" t="n"/>
      <c r="L149" s="332" t="n"/>
      <c r="M149" s="334" t="n"/>
    </row>
    <row r="150" ht="14.25" customHeight="1" s="197">
      <c r="A150" s="359" t="n"/>
      <c r="B150" s="359" t="n"/>
      <c r="C150" s="360" t="n"/>
      <c r="D150" s="329" t="inlineStr">
        <is>
          <t xml:space="preserve">      оплата труда машинистов (ОТм)</t>
        </is>
      </c>
      <c r="J150" s="331" t="n"/>
      <c r="K150" s="332">
        <f>SUMIF(CD38:CD139, 2, X38:X139)</f>
        <v/>
      </c>
      <c r="L150" s="332" t="n"/>
      <c r="M150" s="334">
        <f>SUMIF(CD38:CD139, 2, AT38:AT139)</f>
        <v/>
      </c>
    </row>
    <row r="151" ht="14.25" customHeight="1" s="197">
      <c r="A151" s="359" t="n"/>
      <c r="B151" s="359" t="n"/>
      <c r="C151" s="360" t="n"/>
      <c r="D151" s="329" t="inlineStr">
        <is>
          <t xml:space="preserve">    доплаты к оплате труда машинистов</t>
        </is>
      </c>
      <c r="J151" s="331" t="n"/>
      <c r="K151" s="332">
        <f>SUMIF(CD38:CD139, 2, Z38:Z139)</f>
        <v/>
      </c>
      <c r="L151" s="332" t="n"/>
      <c r="M151" s="334">
        <f>SUMIF(CD38:CD139, 2, AV38:AV139)</f>
        <v/>
      </c>
    </row>
    <row r="152" ht="14.25" customHeight="1" s="197">
      <c r="A152" s="359" t="n"/>
      <c r="B152" s="359" t="n"/>
      <c r="C152" s="360" t="n"/>
      <c r="D152" s="329" t="inlineStr">
        <is>
          <t xml:space="preserve">  материальные ресурсы</t>
        </is>
      </c>
      <c r="J152" s="331" t="n"/>
      <c r="K152" s="332">
        <f>K154+K155</f>
        <v/>
      </c>
      <c r="L152" s="332" t="n"/>
      <c r="M152" s="334">
        <f>M154+M155</f>
        <v/>
      </c>
    </row>
    <row r="153" ht="14.25" customHeight="1" s="197">
      <c r="A153" s="359" t="n"/>
      <c r="B153" s="359" t="n"/>
      <c r="C153" s="360" t="n"/>
      <c r="D153" s="361" t="inlineStr">
        <is>
          <t xml:space="preserve">  в том числе</t>
        </is>
      </c>
      <c r="J153" s="331" t="n"/>
      <c r="K153" s="332" t="n"/>
      <c r="L153" s="332" t="n"/>
      <c r="M153" s="334" t="n"/>
    </row>
    <row r="154" ht="14.25" customHeight="1" s="197">
      <c r="A154" s="359" t="n"/>
      <c r="B154" s="359" t="n"/>
      <c r="C154" s="360" t="n"/>
      <c r="D154" s="329" t="inlineStr">
        <is>
          <t xml:space="preserve">    материальные ресурсы без учета дополнительной перевозки</t>
        </is>
      </c>
      <c r="J154" s="331" t="n"/>
      <c r="K154" s="332">
        <f>SUMIF(CD38:CD139, 2, AA38:AA139)-SUMIF(CD38:CD139, 2, BJ38:BJ139)</f>
        <v/>
      </c>
      <c r="L154" s="332" t="n"/>
      <c r="M154" s="334">
        <f>SUMIF(CD38:CD139, 2, AW38:AW139)-SUMIF(CD38:CD139, 2, BK38:BK139)</f>
        <v/>
      </c>
    </row>
    <row r="155" ht="14.25" customHeight="1" s="197">
      <c r="A155" s="359" t="n"/>
      <c r="B155" s="359" t="n"/>
      <c r="C155" s="360" t="n"/>
      <c r="D155" s="329" t="inlineStr">
        <is>
          <t xml:space="preserve">    дополнительная перевозка материальных ресурсов</t>
        </is>
      </c>
      <c r="J155" s="331" t="n"/>
      <c r="K155" s="332">
        <f>SUMIF(CD38:CD139, 2, AG38:AG139)</f>
        <v/>
      </c>
      <c r="L155" s="332" t="n"/>
      <c r="M155" s="334">
        <f>SUMIF(CD38:CD139, 2, BC38:BC139)</f>
        <v/>
      </c>
    </row>
    <row r="156" ht="14.25" customHeight="1" s="197">
      <c r="A156" s="359" t="n"/>
      <c r="B156" s="359" t="n"/>
      <c r="C156" s="360" t="n"/>
      <c r="D156" s="329" t="inlineStr">
        <is>
          <t xml:space="preserve">  перевозка</t>
        </is>
      </c>
      <c r="J156" s="331" t="n"/>
      <c r="K156" s="332">
        <f>SUMIF(CD38:CD139, 2, AF38:AF139)</f>
        <v/>
      </c>
      <c r="L156" s="332" t="n"/>
      <c r="M156" s="334">
        <f>SUMIF(CD38:CD139, 2, BB38:BB139)</f>
        <v/>
      </c>
    </row>
    <row r="157" ht="14.25" customHeight="1" s="197">
      <c r="A157" s="359" t="n"/>
      <c r="B157" s="359" t="n"/>
      <c r="C157" s="360" t="n"/>
      <c r="D157" s="329" t="inlineStr">
        <is>
          <t>ФОТ (справочно)</t>
        </is>
      </c>
      <c r="J157" s="331" t="n"/>
      <c r="K157" s="332">
        <f>SUMIF(CD38:CD139, 2, S38:S139)+SUMIF(CD38:CD139, 2, X38:X139)+SUMIF(CD38:CD139, 2, Z38:Z139)</f>
        <v/>
      </c>
      <c r="L157" s="332" t="n"/>
      <c r="M157" s="334">
        <f>SUMIF(CD38:CD139, 2, AR38:AR139)+SUMIF(CD38:CD139, 2, AT38:AT139)+SUMIF(CD38:CD139, 2, AV38:AV139)</f>
        <v/>
      </c>
    </row>
    <row r="158" ht="14.25" customHeight="1" s="197">
      <c r="A158" s="359" t="n"/>
      <c r="B158" s="359" t="n"/>
      <c r="C158" s="360" t="n"/>
      <c r="D158" s="329" t="inlineStr">
        <is>
          <t>накладные расходы</t>
        </is>
      </c>
      <c r="J158" s="331" t="n"/>
      <c r="K158" s="332">
        <f>SUMIF(CD38:CD139, 2, AD38:AD139)</f>
        <v/>
      </c>
      <c r="L158" s="332" t="n"/>
      <c r="M158" s="334">
        <f>SUMIF(CD38:CD139, 2, AZ38:AZ139)</f>
        <v/>
      </c>
    </row>
    <row r="159" ht="14.25" customHeight="1" s="197">
      <c r="A159" s="359" t="n"/>
      <c r="B159" s="359" t="n"/>
      <c r="C159" s="360" t="n"/>
      <c r="D159" s="329" t="inlineStr">
        <is>
          <t>сметная прибыль</t>
        </is>
      </c>
      <c r="J159" s="331" t="n"/>
      <c r="K159" s="332">
        <f>SUMIF(CD38:CD139, 2, AE38:AE139)</f>
        <v/>
      </c>
      <c r="L159" s="332" t="n"/>
      <c r="M159" s="334">
        <f>SUMIF(CD38:CD139, 2, BA38:BA139)</f>
        <v/>
      </c>
    </row>
    <row r="160"/>
    <row r="161" ht="15" customHeight="1" s="197">
      <c r="A161" s="353" t="n"/>
      <c r="B161" s="353" t="n"/>
      <c r="C161" s="354" t="n"/>
      <c r="D161" s="355" t="inlineStr">
        <is>
          <t>ВСЕГО оборудование</t>
        </is>
      </c>
      <c r="J161" s="356" t="n"/>
      <c r="K161" s="357">
        <f>K163+K164</f>
        <v/>
      </c>
      <c r="L161" s="357" t="n"/>
      <c r="M161" s="358">
        <f>M163+M164</f>
        <v/>
      </c>
    </row>
    <row r="162" ht="14.25" customHeight="1" s="197">
      <c r="A162" s="359" t="n"/>
      <c r="B162" s="359" t="n"/>
      <c r="C162" s="360" t="n"/>
      <c r="D162" s="361" t="inlineStr">
        <is>
          <t>в том числе</t>
        </is>
      </c>
      <c r="J162" s="331" t="n"/>
      <c r="K162" s="332" t="n"/>
      <c r="L162" s="332" t="n"/>
      <c r="M162" s="334" t="n"/>
    </row>
    <row r="163" ht="14.25" customHeight="1" s="197">
      <c r="A163" s="359" t="n"/>
      <c r="B163" s="359" t="n"/>
      <c r="C163" s="360" t="n"/>
      <c r="D163" s="329" t="inlineStr">
        <is>
          <t xml:space="preserve">  оборудование без учета дополнительной перевозки</t>
        </is>
      </c>
      <c r="J163" s="331" t="n"/>
      <c r="K163" s="332">
        <f>SUMIF(CD38:CD159, 3, BJ38:BJ159)</f>
        <v/>
      </c>
      <c r="L163" s="332" t="n"/>
      <c r="M163" s="334">
        <f>SUMIF(CD38:CD159, 3, BK38:BK159)</f>
        <v/>
      </c>
    </row>
    <row r="164" ht="14.25" customHeight="1" s="197">
      <c r="A164" s="359" t="n"/>
      <c r="B164" s="359" t="n"/>
      <c r="C164" s="360" t="n"/>
      <c r="D164" s="329" t="inlineStr">
        <is>
          <t xml:space="preserve">  дополнительная перевозка оборудования</t>
        </is>
      </c>
      <c r="J164" s="331" t="n"/>
      <c r="K164" s="332">
        <f>SUMIF(CD38:CD159, 3, AH38:AH159)</f>
        <v/>
      </c>
      <c r="L164" s="332" t="n"/>
      <c r="M164" s="334">
        <f>SUMIF(CD38:CD159, 3, BD38:BD159)</f>
        <v/>
      </c>
    </row>
    <row r="165"/>
    <row r="166" ht="15" customHeight="1" s="197">
      <c r="A166" s="353" t="n"/>
      <c r="B166" s="353" t="n"/>
      <c r="C166" s="354" t="n"/>
      <c r="D166" s="355" t="inlineStr">
        <is>
          <t>ВСЕГО прочие затраты</t>
        </is>
      </c>
      <c r="J166" s="356" t="n"/>
      <c r="K166" s="357">
        <f>K172+K187+K188+K168+K169</f>
        <v/>
      </c>
      <c r="L166" s="357" t="n"/>
      <c r="M166" s="358">
        <f>M172+M187+M188+M168+M169</f>
        <v/>
      </c>
    </row>
    <row r="167" ht="14.25" customHeight="1" s="197">
      <c r="A167" s="359" t="n"/>
      <c r="B167" s="359" t="n"/>
      <c r="C167" s="360" t="n"/>
      <c r="D167" s="361" t="inlineStr">
        <is>
          <t>в том числе</t>
        </is>
      </c>
      <c r="J167" s="331" t="n"/>
      <c r="K167" s="332" t="n"/>
      <c r="L167" s="332" t="n"/>
      <c r="M167" s="334" t="n"/>
    </row>
    <row r="168" ht="14.25" customHeight="1" s="197">
      <c r="A168" s="359" t="n"/>
      <c r="B168" s="359" t="n"/>
      <c r="C168" s="360" t="n"/>
      <c r="D168" s="329" t="inlineStr">
        <is>
          <t xml:space="preserve">   прочие затраты</t>
        </is>
      </c>
      <c r="J168" s="331" t="n"/>
      <c r="K168" s="332">
        <f>SUM(BL38:BL164)</f>
        <v/>
      </c>
      <c r="L168" s="332" t="n"/>
      <c r="M168" s="334" t="n"/>
    </row>
    <row r="169" ht="14.25" customHeight="1" s="197">
      <c r="A169" s="359" t="n"/>
      <c r="B169" s="359" t="n"/>
      <c r="C169" s="360" t="n"/>
      <c r="D169" s="329" t="inlineStr">
        <is>
          <t xml:space="preserve">   Хозяйственный инвентарь</t>
        </is>
      </c>
      <c r="J169" s="331" t="n"/>
      <c r="K169" s="332">
        <f>SUM(BN38:BN164)</f>
        <v/>
      </c>
      <c r="L169" s="332" t="n"/>
      <c r="M169" s="334">
        <f>SUM(BO38:BO164)</f>
        <v/>
      </c>
    </row>
    <row r="170" ht="14.25" customHeight="1" s="197">
      <c r="A170" s="359" t="n"/>
      <c r="B170" s="359" t="n"/>
      <c r="C170" s="360" t="n"/>
      <c r="D170" s="329" t="inlineStr">
        <is>
          <t>Пусконаладочные работы</t>
        </is>
      </c>
      <c r="J170" s="331" t="n"/>
      <c r="K170" s="332">
        <f>K172+K187+K188</f>
        <v/>
      </c>
      <c r="L170" s="332" t="n"/>
      <c r="M170" s="334">
        <f>M172+M187+M188</f>
        <v/>
      </c>
    </row>
    <row r="171" ht="14.25" customHeight="1" s="197">
      <c r="A171" s="359" t="n"/>
      <c r="B171" s="359" t="n"/>
      <c r="C171" s="360" t="n"/>
      <c r="D171" s="361" t="inlineStr">
        <is>
          <t>в том числе</t>
        </is>
      </c>
      <c r="J171" s="331" t="n"/>
      <c r="K171" s="332" t="n"/>
      <c r="L171" s="332" t="n"/>
      <c r="M171" s="334" t="n"/>
    </row>
    <row r="172" ht="14.25" customHeight="1" s="197">
      <c r="A172" s="359" t="n"/>
      <c r="B172" s="359" t="n"/>
      <c r="C172" s="360" t="n"/>
      <c r="D172" s="329" t="inlineStr">
        <is>
          <t>Всего прямые затраты</t>
        </is>
      </c>
      <c r="J172" s="331" t="n"/>
      <c r="K172" s="332">
        <f>K174+K175+K181+K185</f>
        <v/>
      </c>
      <c r="L172" s="332" t="n"/>
      <c r="M172" s="334">
        <f>M174+M175+M181+M185</f>
        <v/>
      </c>
    </row>
    <row r="173" ht="14.25" customHeight="1" s="197">
      <c r="A173" s="359" t="n"/>
      <c r="B173" s="359" t="n"/>
      <c r="C173" s="360" t="n"/>
      <c r="D173" s="361" t="inlineStr">
        <is>
          <t>в том числе</t>
        </is>
      </c>
      <c r="J173" s="331" t="n"/>
      <c r="K173" s="332" t="n"/>
      <c r="L173" s="332" t="n"/>
      <c r="M173" s="334" t="n"/>
    </row>
    <row r="174" ht="14.25" customHeight="1" s="197">
      <c r="A174" s="359" t="n"/>
      <c r="B174" s="359" t="n"/>
      <c r="C174" s="360" t="n"/>
      <c r="D174" s="329" t="inlineStr">
        <is>
          <t xml:space="preserve">  оплата труда (ОТ)</t>
        </is>
      </c>
      <c r="J174" s="331" t="n"/>
      <c r="K174" s="332">
        <f>SUMIF(CD38:CD164, 4, S38:S164)</f>
        <v/>
      </c>
      <c r="L174" s="332" t="n"/>
      <c r="M174" s="334">
        <f>SUMIF(CD38:CD164, 4, AR38:AR164)</f>
        <v/>
      </c>
    </row>
    <row r="175" ht="14.25" customHeight="1" s="197">
      <c r="A175" s="359" t="n"/>
      <c r="B175" s="359" t="n"/>
      <c r="C175" s="360" t="n"/>
      <c r="D175" s="329" t="inlineStr">
        <is>
          <t xml:space="preserve">  эксплуатация машин и механизмов</t>
        </is>
      </c>
      <c r="J175" s="331" t="n"/>
      <c r="K175" s="332">
        <f>K177+K180</f>
        <v/>
      </c>
      <c r="L175" s="332" t="n"/>
      <c r="M175" s="334">
        <f>M177+M180</f>
        <v/>
      </c>
    </row>
    <row r="176" ht="14.25" customHeight="1" s="197">
      <c r="A176" s="359" t="n"/>
      <c r="B176" s="359" t="n"/>
      <c r="C176" s="360" t="n"/>
      <c r="D176" s="361" t="inlineStr">
        <is>
          <t xml:space="preserve">  в том числе</t>
        </is>
      </c>
      <c r="J176" s="331" t="n"/>
      <c r="K176" s="332" t="n"/>
      <c r="L176" s="332" t="n"/>
      <c r="M176" s="334" t="n"/>
    </row>
    <row r="177" ht="14.25" customHeight="1" s="197">
      <c r="A177" s="359" t="n"/>
      <c r="B177" s="359" t="n"/>
      <c r="C177" s="360" t="n"/>
      <c r="D177" s="329" t="inlineStr">
        <is>
          <t xml:space="preserve">    эксплуатация машин и механизмов без учета доплат к оплате труда машинистов</t>
        </is>
      </c>
      <c r="J177" s="331" t="n"/>
      <c r="K177" s="332">
        <f>SUMIF(CD38:CD164, 4, P38:P164)</f>
        <v/>
      </c>
      <c r="L177" s="332" t="n"/>
      <c r="M177" s="334">
        <f>SUMIF(CD38:CD164, 4, AO38:AO164)</f>
        <v/>
      </c>
    </row>
    <row r="178" ht="14.25" customHeight="1" s="197">
      <c r="A178" s="359" t="n"/>
      <c r="B178" s="359" t="n"/>
      <c r="C178" s="360" t="n"/>
      <c r="D178" s="361" t="inlineStr">
        <is>
          <t xml:space="preserve">    в том числе</t>
        </is>
      </c>
      <c r="J178" s="331" t="n"/>
      <c r="K178" s="332" t="n"/>
      <c r="L178" s="332" t="n"/>
      <c r="M178" s="334" t="n"/>
    </row>
    <row r="179" ht="14.25" customHeight="1" s="197">
      <c r="A179" s="359" t="n"/>
      <c r="B179" s="359" t="n"/>
      <c r="C179" s="360" t="n"/>
      <c r="D179" s="329" t="inlineStr">
        <is>
          <t xml:space="preserve">      оплата труда машинистов (ОТм)</t>
        </is>
      </c>
      <c r="J179" s="331" t="n"/>
      <c r="K179" s="332">
        <f>SUMIF(CD38:CD164, 4, X38:X164)</f>
        <v/>
      </c>
      <c r="L179" s="332" t="n"/>
      <c r="M179" s="334">
        <f>SUMIF(CD38:CD164, 4, AT38:AT164)</f>
        <v/>
      </c>
    </row>
    <row r="180" ht="14.25" customHeight="1" s="197">
      <c r="A180" s="359" t="n"/>
      <c r="B180" s="359" t="n"/>
      <c r="C180" s="360" t="n"/>
      <c r="D180" s="329" t="inlineStr">
        <is>
          <t xml:space="preserve">    доплаты к оплате труда машинистов</t>
        </is>
      </c>
      <c r="J180" s="331" t="n"/>
      <c r="K180" s="332">
        <f>SUMIF(CD38:CD164, 4, Z38:Z164)</f>
        <v/>
      </c>
      <c r="L180" s="332" t="n"/>
      <c r="M180" s="334">
        <f>SUMIF(CD38:CD164, 4, AV38:AV164)</f>
        <v/>
      </c>
    </row>
    <row r="181" ht="14.25" customHeight="1" s="197">
      <c r="A181" s="359" t="n"/>
      <c r="B181" s="359" t="n"/>
      <c r="C181" s="360" t="n"/>
      <c r="D181" s="329" t="inlineStr">
        <is>
          <t xml:space="preserve">  материальные ресурсы</t>
        </is>
      </c>
      <c r="J181" s="331" t="n"/>
      <c r="K181" s="332">
        <f>K183+K184</f>
        <v/>
      </c>
      <c r="L181" s="332" t="n"/>
      <c r="M181" s="334">
        <f>M183+M184</f>
        <v/>
      </c>
    </row>
    <row r="182" ht="14.25" customHeight="1" s="197">
      <c r="A182" s="359" t="n"/>
      <c r="B182" s="359" t="n"/>
      <c r="C182" s="360" t="n"/>
      <c r="D182" s="361" t="inlineStr">
        <is>
          <t xml:space="preserve">  в том числе</t>
        </is>
      </c>
      <c r="J182" s="331" t="n"/>
      <c r="K182" s="332" t="n"/>
      <c r="L182" s="332" t="n"/>
      <c r="M182" s="334" t="n"/>
    </row>
    <row r="183" ht="14.25" customHeight="1" s="197">
      <c r="A183" s="359" t="n"/>
      <c r="B183" s="359" t="n"/>
      <c r="C183" s="360" t="n"/>
      <c r="D183" s="329" t="inlineStr">
        <is>
          <t xml:space="preserve">    материальные ресурсы без учета дополнительной перевозки</t>
        </is>
      </c>
      <c r="J183" s="331" t="n"/>
      <c r="K183" s="332">
        <f>SUMIF(CD38:CD164, 4, AA38:AA164)-SUMIF(CD38:CD164, 4, BJ38:BJ164)</f>
        <v/>
      </c>
      <c r="L183" s="332" t="n"/>
      <c r="M183" s="334">
        <f>SUMIF(CD38:CD164, 4, AW38:AW164)-SUMIF(CD38:CD164, 4, BK38:BK164)</f>
        <v/>
      </c>
    </row>
    <row r="184" ht="14.25" customHeight="1" s="197">
      <c r="A184" s="359" t="n"/>
      <c r="B184" s="359" t="n"/>
      <c r="C184" s="360" t="n"/>
      <c r="D184" s="329" t="inlineStr">
        <is>
          <t xml:space="preserve">    дополнительная перевозка материальных ресурсов</t>
        </is>
      </c>
      <c r="J184" s="331" t="n"/>
      <c r="K184" s="332">
        <f>SUMIF(CD38:CD164, 4, AG38:AG164)</f>
        <v/>
      </c>
      <c r="L184" s="332" t="n"/>
      <c r="M184" s="334">
        <f>SUMIF(CD38:CD164, 4, BC38:BC164)</f>
        <v/>
      </c>
    </row>
    <row r="185" ht="14.25" customHeight="1" s="197">
      <c r="A185" s="359" t="n"/>
      <c r="B185" s="359" t="n"/>
      <c r="C185" s="360" t="n"/>
      <c r="D185" s="329" t="inlineStr">
        <is>
          <t xml:space="preserve">  перевозка</t>
        </is>
      </c>
      <c r="J185" s="331" t="n"/>
      <c r="K185" s="332">
        <f>SUMIF(CD38:CD164, 4, AF38:AF164)</f>
        <v/>
      </c>
      <c r="L185" s="332" t="n"/>
      <c r="M185" s="334">
        <f>SUMIF(CD38:CD164, 4, BB38:BB164)</f>
        <v/>
      </c>
    </row>
    <row r="186" ht="14.25" customHeight="1" s="197">
      <c r="A186" s="359" t="n"/>
      <c r="B186" s="359" t="n"/>
      <c r="C186" s="360" t="n"/>
      <c r="D186" s="329" t="inlineStr">
        <is>
          <t>ФОТ (справочно)</t>
        </is>
      </c>
      <c r="J186" s="331" t="n"/>
      <c r="K186" s="332">
        <f>SUMIF(CD38:CD164, 4, S38:S164)+SUMIF(CD38:CD164, 4, X38:X164)+SUMIF(CD38:CD164, 4, Z38:Z164)</f>
        <v/>
      </c>
      <c r="L186" s="332" t="n"/>
      <c r="M186" s="334">
        <f>SUMIF(CD38:CD164, 4, AR38:AR164)+SUMIF(CD38:CD164, 4, AT38:AT164)+SUMIF(CD38:CD164, 4, AV38:AV164)</f>
        <v/>
      </c>
    </row>
    <row r="187" ht="14.25" customHeight="1" s="197">
      <c r="A187" s="359" t="n"/>
      <c r="B187" s="359" t="n"/>
      <c r="C187" s="360" t="n"/>
      <c r="D187" s="329" t="inlineStr">
        <is>
          <t>накладные расходы</t>
        </is>
      </c>
      <c r="J187" s="331" t="n"/>
      <c r="K187" s="332">
        <f>SUMIF(CD38:CD164, 4, AD38:AD164)</f>
        <v/>
      </c>
      <c r="L187" s="332" t="n"/>
      <c r="M187" s="334">
        <f>SUMIF(CD38:CD164, 4, AZ38:AZ164)</f>
        <v/>
      </c>
    </row>
    <row r="188" ht="14.25" customHeight="1" s="197">
      <c r="A188" s="359" t="n"/>
      <c r="B188" s="359" t="n"/>
      <c r="C188" s="360" t="n"/>
      <c r="D188" s="329" t="inlineStr">
        <is>
          <t>сметная прибыль</t>
        </is>
      </c>
      <c r="J188" s="331" t="n"/>
      <c r="K188" s="332">
        <f>SUMIF(CD38:CD164, 4, AE38:AE164)</f>
        <v/>
      </c>
      <c r="L188" s="332" t="n"/>
      <c r="M188" s="334">
        <f>SUMIF(CD38:CD164, 4, BA38:BA164)</f>
        <v/>
      </c>
    </row>
    <row r="189"/>
    <row r="190" ht="15" customHeight="1" s="197">
      <c r="A190" s="353" t="n"/>
      <c r="B190" s="353" t="n"/>
      <c r="C190" s="354" t="n"/>
      <c r="D190" s="355" t="inlineStr">
        <is>
          <t>ВСЕГО по акту</t>
        </is>
      </c>
      <c r="J190" s="356" t="n"/>
      <c r="K190" s="357">
        <f>K121+K141+K161+K166</f>
        <v/>
      </c>
      <c r="L190" s="357" t="n"/>
      <c r="M190" s="358">
        <f>M121+M141+M161+M166</f>
        <v/>
      </c>
    </row>
    <row r="191" ht="14.25" customHeight="1" s="197">
      <c r="A191" s="359" t="n"/>
      <c r="B191" s="359" t="n"/>
      <c r="C191" s="360" t="n"/>
      <c r="D191" s="361" t="inlineStr">
        <is>
          <t>в том числе</t>
        </is>
      </c>
      <c r="J191" s="331" t="n"/>
      <c r="K191" s="332" t="n"/>
      <c r="L191" s="332" t="n"/>
      <c r="M191" s="334" t="n"/>
    </row>
    <row r="192" ht="14.25" customHeight="1" s="197">
      <c r="A192" s="359" t="n"/>
      <c r="B192" s="359" t="n"/>
      <c r="C192" s="360" t="n"/>
      <c r="D192" s="329" t="inlineStr">
        <is>
          <t>Всего прямые затраты</t>
        </is>
      </c>
      <c r="J192" s="331" t="n"/>
      <c r="K192" s="332">
        <f>K194+K195+K201+K205</f>
        <v/>
      </c>
      <c r="L192" s="332" t="n"/>
      <c r="M192" s="334">
        <f>M194+M195+M201+M205</f>
        <v/>
      </c>
    </row>
    <row r="193" ht="14.25" customHeight="1" s="197">
      <c r="A193" s="359" t="n"/>
      <c r="B193" s="359" t="n"/>
      <c r="C193" s="360" t="n"/>
      <c r="D193" s="361" t="inlineStr">
        <is>
          <t>в том числе</t>
        </is>
      </c>
      <c r="J193" s="331" t="n"/>
      <c r="K193" s="332" t="n"/>
      <c r="L193" s="332" t="n"/>
      <c r="M193" s="334" t="n"/>
    </row>
    <row r="194" ht="14.25" customHeight="1" s="197">
      <c r="A194" s="359" t="n"/>
      <c r="B194" s="359" t="n"/>
      <c r="C194" s="360" t="n"/>
      <c r="D194" s="329" t="inlineStr">
        <is>
          <t xml:space="preserve">  оплата труда (ОТ)</t>
        </is>
      </c>
      <c r="J194" s="331" t="n"/>
      <c r="K194" s="332">
        <f>SUM(S38:S188)</f>
        <v/>
      </c>
      <c r="L194" s="332" t="n"/>
      <c r="M194" s="334">
        <f>SUM(AR38:AR188)</f>
        <v/>
      </c>
    </row>
    <row r="195" ht="14.25" customHeight="1" s="197">
      <c r="A195" s="359" t="n"/>
      <c r="B195" s="359" t="n"/>
      <c r="C195" s="360" t="n"/>
      <c r="D195" s="329" t="inlineStr">
        <is>
          <t xml:space="preserve">  эксплуатация машин и механизмов</t>
        </is>
      </c>
      <c r="J195" s="331" t="n"/>
      <c r="K195" s="332">
        <f>K197+K200</f>
        <v/>
      </c>
      <c r="L195" s="332" t="n"/>
      <c r="M195" s="334">
        <f>M197+M200</f>
        <v/>
      </c>
    </row>
    <row r="196" ht="14.25" customHeight="1" s="197">
      <c r="A196" s="359" t="n"/>
      <c r="B196" s="359" t="n"/>
      <c r="C196" s="360" t="n"/>
      <c r="D196" s="361" t="inlineStr">
        <is>
          <t xml:space="preserve">  в том числе</t>
        </is>
      </c>
      <c r="J196" s="331" t="n"/>
      <c r="K196" s="332" t="n"/>
      <c r="L196" s="332" t="n"/>
      <c r="M196" s="334" t="n"/>
    </row>
    <row r="197" ht="14.25" customHeight="1" s="197">
      <c r="A197" s="359" t="n"/>
      <c r="B197" s="359" t="n"/>
      <c r="C197" s="360" t="n"/>
      <c r="D197" s="329" t="inlineStr">
        <is>
          <t xml:space="preserve">    эксплуатация машин и механизмов без учета доплат к оплате труда машинистов</t>
        </is>
      </c>
      <c r="J197" s="331" t="n"/>
      <c r="K197" s="332">
        <f>SUM(P38:P188)</f>
        <v/>
      </c>
      <c r="L197" s="332" t="n"/>
      <c r="M197" s="334">
        <f>SUM(AO38:AO188)</f>
        <v/>
      </c>
    </row>
    <row r="198" ht="14.25" customHeight="1" s="197">
      <c r="A198" s="359" t="n"/>
      <c r="B198" s="359" t="n"/>
      <c r="C198" s="360" t="n"/>
      <c r="D198" s="361" t="inlineStr">
        <is>
          <t xml:space="preserve">    в том числе</t>
        </is>
      </c>
      <c r="J198" s="331" t="n"/>
      <c r="K198" s="332" t="n"/>
      <c r="L198" s="332" t="n"/>
      <c r="M198" s="334" t="n"/>
    </row>
    <row r="199" ht="14.25" customHeight="1" s="197">
      <c r="A199" s="359" t="n"/>
      <c r="B199" s="359" t="n"/>
      <c r="C199" s="360" t="n"/>
      <c r="D199" s="329" t="inlineStr">
        <is>
          <t xml:space="preserve">      оплата труда машинистов (ОТм)</t>
        </is>
      </c>
      <c r="J199" s="331" t="n"/>
      <c r="K199" s="332">
        <f>SUM(X38:X188)</f>
        <v/>
      </c>
      <c r="L199" s="332" t="n"/>
      <c r="M199" s="334">
        <f>SUM(AT38:AT188)</f>
        <v/>
      </c>
    </row>
    <row r="200" ht="14.25" customHeight="1" s="197">
      <c r="A200" s="359" t="n"/>
      <c r="B200" s="359" t="n"/>
      <c r="C200" s="360" t="n"/>
      <c r="D200" s="329" t="inlineStr">
        <is>
          <t xml:space="preserve">    доплаты к оплате труда машинистов</t>
        </is>
      </c>
      <c r="J200" s="331" t="n"/>
      <c r="K200" s="332">
        <f>SUM(Z38:Z188)</f>
        <v/>
      </c>
      <c r="L200" s="332" t="n"/>
      <c r="M200" s="334">
        <f>SUM(AV38:AV188)</f>
        <v/>
      </c>
    </row>
    <row r="201" ht="14.25" customHeight="1" s="197">
      <c r="A201" s="359" t="n"/>
      <c r="B201" s="359" t="n"/>
      <c r="C201" s="360" t="n"/>
      <c r="D201" s="329" t="inlineStr">
        <is>
          <t xml:space="preserve">  материальные ресурсы</t>
        </is>
      </c>
      <c r="J201" s="331" t="n"/>
      <c r="K201" s="332">
        <f>K203+K204</f>
        <v/>
      </c>
      <c r="L201" s="332" t="n"/>
      <c r="M201" s="334">
        <f>M203+M204</f>
        <v/>
      </c>
    </row>
    <row r="202" ht="14.25" customHeight="1" s="197">
      <c r="A202" s="359" t="n"/>
      <c r="B202" s="359" t="n"/>
      <c r="C202" s="360" t="n"/>
      <c r="D202" s="361" t="inlineStr">
        <is>
          <t xml:space="preserve">  в том числе</t>
        </is>
      </c>
      <c r="J202" s="331" t="n"/>
      <c r="K202" s="332" t="n"/>
      <c r="L202" s="332" t="n"/>
      <c r="M202" s="334" t="n"/>
    </row>
    <row r="203" ht="14.25" customHeight="1" s="197">
      <c r="A203" s="359" t="n"/>
      <c r="B203" s="359" t="n"/>
      <c r="C203" s="360" t="n"/>
      <c r="D203" s="329" t="inlineStr">
        <is>
          <t xml:space="preserve">    материальные ресурсы без учета дополнительной перевозки</t>
        </is>
      </c>
      <c r="J203" s="331" t="n"/>
      <c r="K203" s="332">
        <f>SUM(AA38:AA188)-SUM(BJ38:BJ188)</f>
        <v/>
      </c>
      <c r="L203" s="332" t="n"/>
      <c r="M203" s="334">
        <f>SUM(AW38:AW188)-SUM(BK38:BK188)</f>
        <v/>
      </c>
    </row>
    <row r="204" ht="14.25" customHeight="1" s="197">
      <c r="A204" s="359" t="n"/>
      <c r="B204" s="359" t="n"/>
      <c r="C204" s="360" t="n"/>
      <c r="D204" s="329" t="inlineStr">
        <is>
          <t xml:space="preserve">    дополнительная перевозка материальных ресурсов</t>
        </is>
      </c>
      <c r="J204" s="331" t="n"/>
      <c r="K204" s="332">
        <f>SUM(AG38:AG188)</f>
        <v/>
      </c>
      <c r="L204" s="332" t="n"/>
      <c r="M204" s="334">
        <f>SUM(BC38:BC188)</f>
        <v/>
      </c>
    </row>
    <row r="205" ht="14.25" customHeight="1" s="197">
      <c r="A205" s="359" t="n"/>
      <c r="B205" s="359" t="n"/>
      <c r="C205" s="360" t="n"/>
      <c r="D205" s="329" t="inlineStr">
        <is>
          <t xml:space="preserve">  перевозка</t>
        </is>
      </c>
      <c r="J205" s="331" t="n"/>
      <c r="K205" s="332">
        <f>SUM(AF38:AF188)</f>
        <v/>
      </c>
      <c r="L205" s="332" t="n"/>
      <c r="M205" s="334">
        <f>SUM(BB38:BB188)</f>
        <v/>
      </c>
    </row>
    <row r="206" ht="14.25" customHeight="1" s="197">
      <c r="A206" s="359" t="n"/>
      <c r="B206" s="359" t="n"/>
      <c r="C206" s="360" t="n"/>
      <c r="D206" s="329" t="inlineStr">
        <is>
          <t>Всего ФОТ (справочно)</t>
        </is>
      </c>
      <c r="J206" s="331" t="n"/>
      <c r="K206" s="332">
        <f>SUM(S38:S188)+SUM(X38:X188)+SUM(Z38:Z188)</f>
        <v/>
      </c>
      <c r="L206" s="332" t="n"/>
      <c r="M206" s="334">
        <f>SUM(AR38:AR188)+SUM(AT38:AT188)+SUM(AV38:AV188)</f>
        <v/>
      </c>
    </row>
    <row r="207" ht="14.25" customHeight="1" s="197">
      <c r="A207" s="359" t="n"/>
      <c r="B207" s="359" t="n"/>
      <c r="C207" s="360" t="n"/>
      <c r="D207" s="329" t="inlineStr">
        <is>
          <t>Всего накладные расходы</t>
        </is>
      </c>
      <c r="J207" s="331" t="n"/>
      <c r="K207" s="332">
        <f>SUM(AD38:AD188)</f>
        <v/>
      </c>
      <c r="L207" s="332" t="n"/>
      <c r="M207" s="334">
        <f>SUM(AZ38:AZ188)</f>
        <v/>
      </c>
    </row>
    <row r="208" ht="14.25" customHeight="1" s="197">
      <c r="A208" s="359" t="n"/>
      <c r="B208" s="359" t="n"/>
      <c r="C208" s="360" t="n"/>
      <c r="D208" s="329" t="inlineStr">
        <is>
          <t>Всего сметная прибыль</t>
        </is>
      </c>
      <c r="J208" s="331" t="n"/>
      <c r="K208" s="332">
        <f>SUM(AE38:AE188)</f>
        <v/>
      </c>
      <c r="L208" s="332" t="n"/>
      <c r="M208" s="334">
        <f>SUM(BA38:BA188)</f>
        <v/>
      </c>
    </row>
    <row r="209" ht="14.25" customHeight="1" s="197">
      <c r="A209" s="359" t="n"/>
      <c r="B209" s="359" t="n"/>
      <c r="C209" s="360" t="n"/>
      <c r="D209" s="329" t="inlineStr">
        <is>
          <t>Всего оборудование</t>
        </is>
      </c>
      <c r="J209" s="331" t="n"/>
      <c r="K209" s="332">
        <f>K211+K212</f>
        <v/>
      </c>
      <c r="L209" s="332" t="n"/>
      <c r="M209" s="334">
        <f>M211+M212</f>
        <v/>
      </c>
    </row>
    <row r="210" ht="14.25" customHeight="1" s="197">
      <c r="A210" s="359" t="n"/>
      <c r="B210" s="359" t="n"/>
      <c r="C210" s="360" t="n"/>
      <c r="D210" s="361" t="inlineStr">
        <is>
          <t>в том числе</t>
        </is>
      </c>
      <c r="J210" s="331" t="n"/>
      <c r="K210" s="332" t="n"/>
      <c r="L210" s="332" t="n"/>
      <c r="M210" s="334" t="n"/>
    </row>
    <row r="211" ht="14.25" customHeight="1" s="197">
      <c r="A211" s="359" t="n"/>
      <c r="B211" s="359" t="n"/>
      <c r="C211" s="360" t="n"/>
      <c r="D211" s="329" t="inlineStr">
        <is>
          <t xml:space="preserve">  оборудование без учета дополнительной перевозки</t>
        </is>
      </c>
      <c r="J211" s="331" t="n"/>
      <c r="K211" s="332">
        <f>SUM(BJ38:BJ188)</f>
        <v/>
      </c>
      <c r="L211" s="332" t="n"/>
      <c r="M211" s="334">
        <f>SUM(BK38:BK188)</f>
        <v/>
      </c>
    </row>
    <row r="212" ht="14.25" customHeight="1" s="197">
      <c r="A212" s="359" t="n"/>
      <c r="B212" s="359" t="n"/>
      <c r="C212" s="360" t="n"/>
      <c r="D212" s="329" t="inlineStr">
        <is>
          <t xml:space="preserve">  дополнительная перевозка оборудования</t>
        </is>
      </c>
      <c r="J212" s="331" t="n"/>
      <c r="K212" s="332">
        <f>SUM(AH38:AH188)</f>
        <v/>
      </c>
      <c r="L212" s="332" t="n"/>
      <c r="M212" s="334">
        <f>SUM(BD38:BD188)</f>
        <v/>
      </c>
    </row>
    <row r="213" ht="14.25" customHeight="1" s="197">
      <c r="A213" s="359" t="n"/>
      <c r="B213" s="359" t="n"/>
      <c r="C213" s="360" t="n"/>
      <c r="D213" s="329" t="inlineStr">
        <is>
          <t>Всего прочие затраты</t>
        </is>
      </c>
      <c r="J213" s="331" t="n"/>
      <c r="K213" s="332">
        <f>K166</f>
        <v/>
      </c>
      <c r="L213" s="332" t="n"/>
      <c r="M213" s="334">
        <f>M166</f>
        <v/>
      </c>
    </row>
    <row r="214" ht="14.25" customHeight="1" s="197">
      <c r="A214" s="359" t="n"/>
      <c r="B214" s="359" t="n"/>
      <c r="C214" s="360" t="n"/>
      <c r="D214" s="355" t="inlineStr">
        <is>
          <t>Справочно</t>
        </is>
      </c>
      <c r="J214" s="331" t="n"/>
      <c r="K214" s="332" t="n"/>
      <c r="L214" s="332" t="n"/>
      <c r="M214" s="334" t="n"/>
    </row>
    <row r="215" ht="14.25" customHeight="1" s="197">
      <c r="A215" s="359" t="n"/>
      <c r="B215" s="359" t="n"/>
      <c r="C215" s="360" t="n"/>
      <c r="D215" s="329" t="inlineStr">
        <is>
          <t xml:space="preserve">  материальные ресурсы, отсутствующие в ФРСН</t>
        </is>
      </c>
      <c r="J215" s="331" t="n"/>
      <c r="K215" s="332">
        <f>SUM(AB38:AB188)</f>
        <v/>
      </c>
      <c r="L215" s="332" t="n"/>
      <c r="M215" s="334">
        <f>SUM(AX38:AX188)</f>
        <v/>
      </c>
    </row>
    <row r="216" ht="14.25" customHeight="1" s="197">
      <c r="A216" s="359" t="n"/>
      <c r="B216" s="359" t="n"/>
      <c r="C216" s="360" t="n"/>
      <c r="D216" s="329" t="inlineStr">
        <is>
          <t xml:space="preserve">  оборудование, отсутствующие в ФРСН</t>
        </is>
      </c>
      <c r="J216" s="331" t="n"/>
      <c r="K216" s="332">
        <f>SUM(AC38:AC188)</f>
        <v/>
      </c>
      <c r="L216" s="332" t="n"/>
      <c r="M216" s="334">
        <f>SUM(AY38:AY188)</f>
        <v/>
      </c>
    </row>
    <row r="217" ht="14.25" customHeight="1" s="197">
      <c r="A217" s="359" t="n"/>
      <c r="B217" s="359" t="n"/>
      <c r="C217" s="360" t="n"/>
      <c r="D217" s="329" t="inlineStr">
        <is>
          <t xml:space="preserve">  затраты труда рабочих</t>
        </is>
      </c>
      <c r="H217" s="362">
        <f>Source!F643</f>
        <v/>
      </c>
      <c r="I217" s="359" t="n"/>
      <c r="J217" s="359" t="n"/>
      <c r="K217" s="359" t="n"/>
      <c r="L217" s="359" t="n"/>
      <c r="M217" s="359" t="n"/>
    </row>
    <row r="218" ht="14.25" customHeight="1" s="197">
      <c r="A218" s="359" t="n"/>
      <c r="B218" s="359" t="n"/>
      <c r="C218" s="360" t="n"/>
      <c r="D218" s="329" t="inlineStr">
        <is>
          <t xml:space="preserve">  затраты труда машинистов</t>
        </is>
      </c>
      <c r="H218" s="362">
        <f>Source!F644</f>
        <v/>
      </c>
      <c r="I218" s="359" t="n"/>
      <c r="J218" s="359" t="n"/>
      <c r="K218" s="359" t="n"/>
      <c r="L218" s="359" t="n"/>
      <c r="M218" s="359" t="n"/>
    </row>
    <row r="219"/>
    <row r="220" ht="14.25" customHeight="1" s="197">
      <c r="D220" s="363">
        <f>Source!H650</f>
        <v/>
      </c>
      <c r="M220" s="364">
        <f>IF(Source!Y650=0, "", Source!Y650)</f>
        <v/>
      </c>
    </row>
    <row r="221" ht="14.25" customHeight="1" s="197">
      <c r="D221" s="363">
        <f>Source!H651</f>
        <v/>
      </c>
      <c r="M221" s="364">
        <f>IF(Source!Y651=0, "", Source!Y651)</f>
        <v/>
      </c>
    </row>
    <row r="222" ht="14.25" customHeight="1" s="197">
      <c r="D222" s="363">
        <f>Source!H652</f>
        <v/>
      </c>
      <c r="M222" s="364">
        <f>IF(Source!Y652=0, "", Source!Y652)</f>
        <v/>
      </c>
    </row>
    <row r="223"/>
    <row r="224"/>
    <row r="225" ht="14.25" customHeight="1" s="197">
      <c r="A225" s="394" t="n"/>
      <c r="B225" s="284" t="n"/>
      <c r="C225" s="395" t="inlineStr">
        <is>
          <t xml:space="preserve">Сдал   </t>
        </is>
      </c>
      <c r="D225" s="396" t="inlineStr">
        <is>
          <t>Инженер-сметчик</t>
        </is>
      </c>
      <c r="E225" s="389" t="n"/>
      <c r="F225" s="389" t="n"/>
      <c r="G225" s="389" t="inlineStr">
        <is>
          <t>Кондалеева О.Г.</t>
        </is>
      </c>
      <c r="H225" s="389" t="n"/>
      <c r="I225" s="290" t="inlineStr">
        <is>
          <t xml:space="preserve"> </t>
        </is>
      </c>
      <c r="J225" s="303" t="n"/>
      <c r="K225" s="303" t="n"/>
      <c r="L225" s="303" t="n"/>
      <c r="M225" s="303" t="n"/>
      <c r="N225" s="397" t="n"/>
      <c r="O225" s="397" t="n"/>
      <c r="P225" s="397" t="n"/>
      <c r="Q225" s="397" t="n"/>
      <c r="R225" s="397" t="n"/>
      <c r="S225" s="397" t="n"/>
      <c r="T225" s="397" t="n"/>
      <c r="U225" s="397" t="n"/>
      <c r="V225" s="397" t="n"/>
      <c r="W225" s="397" t="n"/>
      <c r="X225" s="397" t="n"/>
      <c r="Y225" s="397" t="n"/>
      <c r="Z225" s="397" t="n"/>
      <c r="AA225" s="397" t="n"/>
      <c r="AB225" s="397" t="n"/>
      <c r="AC225" s="397" t="n"/>
      <c r="AD225" s="397" t="n"/>
      <c r="AE225" s="397" t="n"/>
      <c r="AF225" s="397" t="n"/>
      <c r="AG225" s="397" t="n"/>
      <c r="AH225" s="397" t="n"/>
      <c r="AI225" s="397" t="n"/>
      <c r="AJ225" s="397" t="n"/>
      <c r="AK225" s="397" t="n"/>
      <c r="AL225" s="397" t="n"/>
      <c r="AM225" s="397" t="n"/>
      <c r="AN225" s="397" t="n"/>
      <c r="AO225" s="397" t="n"/>
      <c r="AP225" s="397" t="n"/>
      <c r="AQ225" s="397" t="n"/>
      <c r="AR225" s="397" t="n"/>
      <c r="AS225" s="397" t="n"/>
      <c r="AT225" s="397" t="n"/>
      <c r="AU225" s="397" t="n"/>
      <c r="AV225" s="397" t="n"/>
      <c r="AW225" s="397" t="n"/>
      <c r="AX225" s="397" t="n"/>
      <c r="AY225" s="397" t="n"/>
      <c r="AZ225" s="397" t="n"/>
      <c r="BA225" s="397" t="n"/>
      <c r="BB225" s="397" t="n"/>
      <c r="BC225" s="397" t="n"/>
      <c r="BD225" s="397" t="n"/>
      <c r="BE225" s="397" t="n"/>
      <c r="BF225" s="397" t="n"/>
      <c r="BG225" s="397" t="n"/>
      <c r="BH225" s="397" t="n"/>
      <c r="BI225" s="397" t="n"/>
      <c r="BJ225" s="397" t="n"/>
      <c r="BK225" s="397" t="n"/>
      <c r="BL225" s="397" t="n"/>
      <c r="BM225" s="397" t="n"/>
      <c r="BN225" s="397" t="n"/>
      <c r="BO225" s="397" t="n"/>
      <c r="BP225" s="397" t="n"/>
      <c r="BQ225" s="397" t="n"/>
      <c r="BR225" s="397" t="n"/>
      <c r="BS225" s="397" t="n"/>
      <c r="BT225" s="397" t="n"/>
      <c r="BU225" s="397" t="n"/>
      <c r="BV225" s="397" t="n"/>
      <c r="BW225" s="397" t="n"/>
      <c r="BX225" s="397" t="n"/>
      <c r="BY225" s="397" t="n"/>
      <c r="BZ225" s="397" t="n"/>
      <c r="CA225" s="397" t="n"/>
      <c r="CB225" s="397" t="n"/>
      <c r="CC225" s="397" t="n"/>
      <c r="CD225" s="397" t="n"/>
    </row>
    <row r="226" ht="14.25" customHeight="1" s="197">
      <c r="A226" s="308" t="n"/>
      <c r="B226" s="284" t="n"/>
      <c r="C226" s="398" t="n"/>
      <c r="D226" s="376" t="inlineStr">
        <is>
          <t>[должность,подпись(инициалы,фамилия)]</t>
        </is>
      </c>
      <c r="E226" s="199" t="n"/>
      <c r="F226" s="199" t="n"/>
      <c r="G226" s="199" t="n"/>
      <c r="H226" s="199" t="n"/>
      <c r="I226" s="289" t="n"/>
      <c r="J226" s="303" t="n"/>
      <c r="K226" s="303" t="n"/>
      <c r="L226" s="303" t="n"/>
      <c r="M226" s="303" t="n"/>
    </row>
    <row r="227" ht="12.75" customHeight="1" s="197">
      <c r="A227" s="308" t="n"/>
      <c r="B227" s="284" t="n"/>
      <c r="C227" s="399" t="n"/>
      <c r="D227" s="308" t="n"/>
      <c r="E227" s="308" t="n"/>
      <c r="F227" s="308" t="n"/>
      <c r="G227" s="308" t="n"/>
      <c r="H227" s="308" t="n"/>
      <c r="I227" s="308" t="n"/>
      <c r="J227" s="303" t="n"/>
      <c r="K227" s="303" t="n"/>
      <c r="L227" s="303" t="n"/>
      <c r="M227" s="303" t="n"/>
    </row>
    <row r="228" ht="14.25" customHeight="1" s="197">
      <c r="A228" s="308" t="n"/>
      <c r="B228" s="284" t="n"/>
      <c r="C228" s="395" t="inlineStr">
        <is>
          <t xml:space="preserve">Принял   </t>
        </is>
      </c>
      <c r="D228" s="396">
        <f>IF(Source!AI12&lt;&gt;"", Source!AI12," ")</f>
        <v/>
      </c>
      <c r="E228" s="389" t="n"/>
      <c r="F228" s="389" t="n"/>
      <c r="G228" s="389" t="n"/>
      <c r="H228" s="389" t="n"/>
      <c r="I228" s="400">
        <f>IF(Source!AH12&lt;&gt;"", Source!AH12," ")</f>
        <v/>
      </c>
      <c r="J228" s="303" t="n"/>
      <c r="K228" s="303" t="n"/>
      <c r="L228" s="303" t="n"/>
      <c r="M228" s="303" t="n"/>
    </row>
    <row r="229" ht="14.25" customHeight="1" s="197">
      <c r="A229" s="308" t="n"/>
      <c r="B229" s="289" t="n"/>
      <c r="C229" s="289" t="n"/>
      <c r="D229" s="376" t="inlineStr">
        <is>
          <t>[должность,подпись(инициалы,фамилия)]</t>
        </is>
      </c>
      <c r="E229" s="199" t="n"/>
      <c r="F229" s="199" t="n"/>
      <c r="G229" s="199" t="n"/>
      <c r="H229" s="199" t="n"/>
      <c r="I229" s="289" t="n"/>
      <c r="J229" s="303" t="n"/>
      <c r="K229" s="303" t="n"/>
      <c r="L229" s="303" t="n"/>
      <c r="M229" s="303" t="n"/>
    </row>
  </sheetData>
  <mergeCells count="165">
    <mergeCell ref="D170:I170"/>
    <mergeCell ref="A15:B15"/>
    <mergeCell ref="C17:I17"/>
    <mergeCell ref="D145:I145"/>
    <mergeCell ref="D185:I185"/>
    <mergeCell ref="D154:I154"/>
    <mergeCell ref="J59:K59"/>
    <mergeCell ref="A29:M29"/>
    <mergeCell ref="D209:I209"/>
    <mergeCell ref="D147:I147"/>
    <mergeCell ref="D162:I162"/>
    <mergeCell ref="D214:I214"/>
    <mergeCell ref="D156:I156"/>
    <mergeCell ref="D137:I137"/>
    <mergeCell ref="A31:M31"/>
    <mergeCell ref="H19:J19"/>
    <mergeCell ref="D146:I146"/>
    <mergeCell ref="D211:I211"/>
    <mergeCell ref="D121:I121"/>
    <mergeCell ref="D130:I130"/>
    <mergeCell ref="D32:D35"/>
    <mergeCell ref="D201:I201"/>
    <mergeCell ref="D117:I117"/>
    <mergeCell ref="C14:I14"/>
    <mergeCell ref="D188:I188"/>
    <mergeCell ref="D173:I173"/>
    <mergeCell ref="D123:I123"/>
    <mergeCell ref="D132:I132"/>
    <mergeCell ref="D59:I59"/>
    <mergeCell ref="L79:M79"/>
    <mergeCell ref="A17:B17"/>
    <mergeCell ref="H24:H25"/>
    <mergeCell ref="D187:I187"/>
    <mergeCell ref="D174:I174"/>
    <mergeCell ref="J4:M4"/>
    <mergeCell ref="D158:I158"/>
    <mergeCell ref="K20:M20"/>
    <mergeCell ref="A9:B9"/>
    <mergeCell ref="L32:L35"/>
    <mergeCell ref="K22:M22"/>
    <mergeCell ref="A11:B11"/>
    <mergeCell ref="D136:I136"/>
    <mergeCell ref="D70:I70"/>
    <mergeCell ref="D150:I150"/>
    <mergeCell ref="B33:B35"/>
    <mergeCell ref="D210:I210"/>
    <mergeCell ref="D200:I200"/>
    <mergeCell ref="D134:I134"/>
    <mergeCell ref="A28:M28"/>
    <mergeCell ref="C18:I18"/>
    <mergeCell ref="D221:L221"/>
    <mergeCell ref="J117:K117"/>
    <mergeCell ref="D122:I122"/>
    <mergeCell ref="D193:I193"/>
    <mergeCell ref="D184:I184"/>
    <mergeCell ref="D202:I202"/>
    <mergeCell ref="K7:M7"/>
    <mergeCell ref="D177:I177"/>
    <mergeCell ref="D192:I192"/>
    <mergeCell ref="D164:I164"/>
    <mergeCell ref="I24:J24"/>
    <mergeCell ref="D148:I148"/>
    <mergeCell ref="D138:I138"/>
    <mergeCell ref="D178:I178"/>
    <mergeCell ref="D203:I203"/>
    <mergeCell ref="D172:I172"/>
    <mergeCell ref="L59:M59"/>
    <mergeCell ref="D131:I131"/>
    <mergeCell ref="C12:I12"/>
    <mergeCell ref="D155:I155"/>
    <mergeCell ref="D149:I149"/>
    <mergeCell ref="D124:I124"/>
    <mergeCell ref="J48:K48"/>
    <mergeCell ref="L70:M70"/>
    <mergeCell ref="L48:M48"/>
    <mergeCell ref="D195:I195"/>
    <mergeCell ref="D204:I204"/>
    <mergeCell ref="D198:I198"/>
    <mergeCell ref="D213:I213"/>
    <mergeCell ref="D151:I151"/>
    <mergeCell ref="D179:I179"/>
    <mergeCell ref="D126:I126"/>
    <mergeCell ref="D141:I141"/>
    <mergeCell ref="D197:I197"/>
    <mergeCell ref="D166:I166"/>
    <mergeCell ref="D135:I135"/>
    <mergeCell ref="D206:I206"/>
    <mergeCell ref="D48:I48"/>
    <mergeCell ref="D175:I175"/>
    <mergeCell ref="D215:I215"/>
    <mergeCell ref="D125:I125"/>
    <mergeCell ref="F32:H34"/>
    <mergeCell ref="D205:I205"/>
    <mergeCell ref="D168:I168"/>
    <mergeCell ref="D218:G218"/>
    <mergeCell ref="D220:L220"/>
    <mergeCell ref="D180:I180"/>
    <mergeCell ref="D152:I152"/>
    <mergeCell ref="D167:I167"/>
    <mergeCell ref="D127:I127"/>
    <mergeCell ref="G24:G25"/>
    <mergeCell ref="D176:I176"/>
    <mergeCell ref="D161:I161"/>
    <mergeCell ref="D217:G217"/>
    <mergeCell ref="D142:I142"/>
    <mergeCell ref="I3:M3"/>
    <mergeCell ref="D216:I216"/>
    <mergeCell ref="D129:I129"/>
    <mergeCell ref="D169:I169"/>
    <mergeCell ref="D79:I79"/>
    <mergeCell ref="A32:B32"/>
    <mergeCell ref="C10:I10"/>
    <mergeCell ref="C16:I16"/>
    <mergeCell ref="D144:I144"/>
    <mergeCell ref="D153:I153"/>
    <mergeCell ref="M32:M35"/>
    <mergeCell ref="D222:L222"/>
    <mergeCell ref="C32:C35"/>
    <mergeCell ref="E32:E35"/>
    <mergeCell ref="C9:I9"/>
    <mergeCell ref="D208:I208"/>
    <mergeCell ref="D226:H226"/>
    <mergeCell ref="K21:M21"/>
    <mergeCell ref="K8:M9"/>
    <mergeCell ref="C11:I11"/>
    <mergeCell ref="D139:I139"/>
    <mergeCell ref="H20:I20"/>
    <mergeCell ref="D194:I194"/>
    <mergeCell ref="I32:K34"/>
    <mergeCell ref="K10:M11"/>
    <mergeCell ref="D163:I163"/>
    <mergeCell ref="A33:A35"/>
    <mergeCell ref="J2:M2"/>
    <mergeCell ref="D171:I171"/>
    <mergeCell ref="K16:M17"/>
    <mergeCell ref="D229:H229"/>
    <mergeCell ref="C13:I13"/>
    <mergeCell ref="D212:I212"/>
    <mergeCell ref="D181:I181"/>
    <mergeCell ref="D196:I196"/>
    <mergeCell ref="C15:I15"/>
    <mergeCell ref="D143:I143"/>
    <mergeCell ref="D157:I157"/>
    <mergeCell ref="L117:M117"/>
    <mergeCell ref="J79:K79"/>
    <mergeCell ref="J70:K70"/>
    <mergeCell ref="K19:M19"/>
    <mergeCell ref="D133:I133"/>
    <mergeCell ref="D207:I207"/>
    <mergeCell ref="K6:M6"/>
    <mergeCell ref="D182:I182"/>
    <mergeCell ref="D191:I191"/>
    <mergeCell ref="K12:M13"/>
    <mergeCell ref="J96:K96"/>
    <mergeCell ref="L96:M96"/>
    <mergeCell ref="D119:I119"/>
    <mergeCell ref="D190:I190"/>
    <mergeCell ref="D159:I159"/>
    <mergeCell ref="D128:I128"/>
    <mergeCell ref="D199:I199"/>
    <mergeCell ref="K14:M15"/>
    <mergeCell ref="D186:I186"/>
    <mergeCell ref="A13:B13"/>
    <mergeCell ref="D183:I183"/>
    <mergeCell ref="D96:I96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IK1622"/>
  <sheetViews>
    <sheetView workbookViewId="0">
      <selection activeCell="A1" sqref="A1"/>
    </sheetView>
  </sheetViews>
  <sheetFormatPr baseColWidth="8" defaultRowHeight="15"/>
  <cols>
    <col width="9.140625" customWidth="1" style="197" min="1" max="1"/>
    <col width="13" customWidth="1" style="197" min="2" max="2"/>
    <col width="13" customWidth="1" style="197" min="3" max="3"/>
    <col width="13" customWidth="1" style="197" min="4" max="4"/>
    <col width="13" customWidth="1" style="197" min="5" max="5"/>
    <col width="13" customWidth="1" style="197" min="6" max="6"/>
    <col width="13" customWidth="1" style="197" min="7" max="7"/>
    <col width="13" customWidth="1" style="197" min="8" max="8"/>
    <col width="13" customWidth="1" style="197" min="9" max="9"/>
    <col width="13" customWidth="1" style="197" min="10" max="10"/>
    <col width="13" customWidth="1" style="197" min="11" max="11"/>
    <col width="13" customWidth="1" style="197" min="12" max="12"/>
    <col width="13" customWidth="1" style="197" min="13" max="13"/>
    <col width="13" customWidth="1" style="197" min="14" max="14"/>
    <col width="13" customWidth="1" style="197" min="15" max="15"/>
    <col width="13" customWidth="1" style="197" min="16" max="16"/>
    <col width="13" customWidth="1" style="197" min="17" max="17"/>
    <col width="13" customWidth="1" style="197" min="18" max="18"/>
    <col width="13" customWidth="1" style="197" min="19" max="19"/>
    <col width="13" customWidth="1" style="197" min="20" max="20"/>
    <col width="13" customWidth="1" style="197" min="21" max="21"/>
    <col width="13" customWidth="1" style="197" min="22" max="22"/>
    <col width="13" customWidth="1" style="197" min="23" max="23"/>
    <col width="13" customWidth="1" style="197" min="24" max="24"/>
    <col width="13" customWidth="1" style="197" min="25" max="25"/>
    <col width="13" customWidth="1" style="197" min="26" max="26"/>
    <col width="13" customWidth="1" style="197" min="27" max="27"/>
    <col width="13" customWidth="1" style="197" min="28" max="28"/>
    <col width="13" customWidth="1" style="197" min="29" max="29"/>
    <col width="13" customWidth="1" style="197" min="30" max="30"/>
    <col width="13" customWidth="1" style="197" min="31" max="31"/>
    <col width="13" customWidth="1" style="197" min="32" max="32"/>
    <col width="13" customWidth="1" style="197" min="33" max="33"/>
    <col width="13" customWidth="1" style="197" min="34" max="34"/>
    <col width="13" customWidth="1" style="197" min="35" max="35"/>
    <col width="13" customWidth="1" style="197" min="36" max="36"/>
    <col width="13" customWidth="1" style="197" min="37" max="37"/>
    <col width="13" customWidth="1" style="197" min="38" max="38"/>
    <col width="13" customWidth="1" style="197" min="39" max="39"/>
    <col width="13" customWidth="1" style="197" min="40" max="40"/>
    <col width="13" customWidth="1" style="197" min="41" max="41"/>
    <col width="13" customWidth="1" style="197" min="42" max="42"/>
    <col width="13" customWidth="1" style="197" min="43" max="43"/>
    <col width="13" customWidth="1" style="197" min="44" max="44"/>
    <col width="13" customWidth="1" style="197" min="45" max="45"/>
    <col width="13" customWidth="1" style="197" min="46" max="46"/>
    <col width="13" customWidth="1" style="197" min="47" max="47"/>
    <col width="13" customWidth="1" style="197" min="48" max="48"/>
    <col width="13" customWidth="1" style="197" min="49" max="49"/>
    <col width="13" customWidth="1" style="197" min="50" max="50"/>
    <col width="13" customWidth="1" style="197" min="51" max="51"/>
    <col width="13" customWidth="1" style="197" min="52" max="52"/>
    <col width="13" customWidth="1" style="197" min="53" max="53"/>
    <col width="13" customWidth="1" style="197" min="54" max="54"/>
    <col width="13" customWidth="1" style="197" min="55" max="55"/>
    <col width="13" customWidth="1" style="197" min="56" max="56"/>
    <col width="13" customWidth="1" style="197" min="57" max="57"/>
    <col width="13" customWidth="1" style="197" min="58" max="58"/>
    <col width="13" customWidth="1" style="197" min="59" max="59"/>
    <col width="13" customWidth="1" style="197" min="60" max="60"/>
    <col width="13" customWidth="1" style="197" min="61" max="61"/>
    <col width="13" customWidth="1" style="197" min="62" max="62"/>
    <col width="13" customWidth="1" style="197" min="63" max="63"/>
    <col width="13" customWidth="1" style="197" min="64" max="64"/>
    <col width="13" customWidth="1" style="197" min="65" max="65"/>
    <col width="13" customWidth="1" style="197" min="66" max="66"/>
    <col width="13" customWidth="1" style="197" min="67" max="67"/>
    <col width="13" customWidth="1" style="197" min="68" max="68"/>
    <col width="13" customWidth="1" style="197" min="69" max="69"/>
    <col width="13" customWidth="1" style="197" min="70" max="70"/>
    <col width="13" customWidth="1" style="197" min="71" max="71"/>
    <col width="13" customWidth="1" style="197" min="72" max="72"/>
    <col width="13" customWidth="1" style="197" min="73" max="73"/>
    <col width="13" customWidth="1" style="197" min="74" max="74"/>
    <col width="13" customWidth="1" style="197" min="75" max="75"/>
    <col width="13" customWidth="1" style="197" min="76" max="76"/>
    <col width="13" customWidth="1" style="197" min="77" max="77"/>
    <col width="13" customWidth="1" style="197" min="78" max="78"/>
    <col width="13" customWidth="1" style="197" min="79" max="79"/>
    <col width="13" customWidth="1" style="197" min="80" max="80"/>
    <col width="13" customWidth="1" style="197" min="81" max="81"/>
    <col width="13" customWidth="1" style="197" min="82" max="82"/>
    <col width="13" customWidth="1" style="197" min="83" max="83"/>
    <col width="13" customWidth="1" style="197" min="84" max="84"/>
    <col width="13" customWidth="1" style="197" min="85" max="85"/>
    <col width="13" customWidth="1" style="197" min="86" max="86"/>
    <col width="13" customWidth="1" style="197" min="87" max="87"/>
    <col width="13" customWidth="1" style="197" min="88" max="88"/>
    <col width="13" customWidth="1" style="197" min="89" max="89"/>
    <col width="13" customWidth="1" style="197" min="90" max="90"/>
    <col width="13" customWidth="1" style="197" min="91" max="91"/>
    <col width="13" customWidth="1" style="197" min="92" max="92"/>
    <col width="13" customWidth="1" style="197" min="93" max="93"/>
    <col width="13" customWidth="1" style="197" min="94" max="94"/>
    <col width="13" customWidth="1" style="197" min="95" max="95"/>
    <col width="13" customWidth="1" style="197" min="96" max="96"/>
    <col width="13" customWidth="1" style="197" min="97" max="97"/>
    <col width="13" customWidth="1" style="197" min="98" max="98"/>
    <col width="13" customWidth="1" style="197" min="99" max="99"/>
    <col width="13" customWidth="1" style="197" min="100" max="100"/>
    <col width="13" customWidth="1" style="197" min="101" max="101"/>
    <col width="13" customWidth="1" style="197" min="102" max="102"/>
    <col width="13" customWidth="1" style="197" min="103" max="103"/>
    <col width="13" customWidth="1" style="197" min="104" max="104"/>
    <col width="13" customWidth="1" style="197" min="105" max="105"/>
    <col width="13" customWidth="1" style="197" min="106" max="106"/>
    <col width="13" customWidth="1" style="197" min="107" max="107"/>
    <col width="13" customWidth="1" style="197" min="108" max="108"/>
    <col width="13" customWidth="1" style="197" min="109" max="109"/>
    <col width="13" customWidth="1" style="197" min="110" max="110"/>
    <col width="13" customWidth="1" style="197" min="111" max="111"/>
    <col width="13" customWidth="1" style="197" min="112" max="112"/>
    <col width="13" customWidth="1" style="197" min="113" max="113"/>
    <col width="13" customWidth="1" style="197" min="114" max="114"/>
    <col width="13" customWidth="1" style="197" min="115" max="115"/>
    <col width="13" customWidth="1" style="197" min="116" max="116"/>
    <col width="13" customWidth="1" style="197" min="117" max="117"/>
    <col width="13" customWidth="1" style="197" min="118" max="118"/>
    <col width="13" customWidth="1" style="197" min="119" max="119"/>
    <col width="13" customWidth="1" style="197" min="120" max="120"/>
    <col width="13" customWidth="1" style="197" min="121" max="121"/>
    <col width="13" customWidth="1" style="197" min="122" max="122"/>
    <col width="13" customWidth="1" style="197" min="123" max="123"/>
    <col width="13" customWidth="1" style="197" min="124" max="124"/>
    <col width="13" customWidth="1" style="197" min="125" max="125"/>
    <col width="13" customWidth="1" style="197" min="126" max="126"/>
    <col width="13" customWidth="1" style="197" min="127" max="127"/>
    <col width="13" customWidth="1" style="197" min="128" max="128"/>
    <col width="13" customWidth="1" style="197" min="129" max="129"/>
    <col width="13" customWidth="1" style="197" min="130" max="130"/>
    <col width="13" customWidth="1" style="197" min="131" max="131"/>
    <col width="13" customWidth="1" style="197" min="132" max="132"/>
    <col width="13" customWidth="1" style="197" min="133" max="133"/>
    <col width="13" customWidth="1" style="197" min="134" max="134"/>
    <col width="13" customWidth="1" style="197" min="135" max="135"/>
    <col width="13" customWidth="1" style="197" min="136" max="136"/>
    <col width="13" customWidth="1" style="197" min="137" max="137"/>
    <col width="13" customWidth="1" style="197" min="138" max="138"/>
    <col width="13" customWidth="1" style="197" min="139" max="139"/>
    <col width="13" customWidth="1" style="197" min="140" max="140"/>
    <col width="13" customWidth="1" style="197" min="141" max="141"/>
    <col width="13" customWidth="1" style="197" min="142" max="142"/>
    <col width="13" customWidth="1" style="197" min="143" max="143"/>
    <col width="13" customWidth="1" style="197" min="144" max="144"/>
    <col width="13" customWidth="1" style="197" min="145" max="145"/>
    <col width="13" customWidth="1" style="197" min="146" max="146"/>
    <col width="13" customWidth="1" style="197" min="147" max="147"/>
    <col width="13" customWidth="1" style="197" min="148" max="148"/>
    <col width="13" customWidth="1" style="197" min="149" max="149"/>
    <col width="13" customWidth="1" style="197" min="150" max="150"/>
    <col width="13" customWidth="1" style="197" min="151" max="151"/>
    <col width="13" customWidth="1" style="197" min="152" max="152"/>
    <col width="13" customWidth="1" style="197" min="153" max="153"/>
    <col width="13" customWidth="1" style="197" min="154" max="154"/>
    <col width="13" customWidth="1" style="197" min="155" max="155"/>
    <col width="13" customWidth="1" style="197" min="156" max="156"/>
    <col width="13" customWidth="1" style="197" min="157" max="157"/>
    <col width="13" customWidth="1" style="197" min="158" max="158"/>
    <col width="13" customWidth="1" style="197" min="159" max="159"/>
    <col width="13" customWidth="1" style="197" min="160" max="160"/>
    <col width="13" customWidth="1" style="197" min="161" max="161"/>
    <col width="13" customWidth="1" style="197" min="162" max="162"/>
    <col width="13" customWidth="1" style="197" min="163" max="163"/>
    <col width="13" customWidth="1" style="197" min="164" max="164"/>
    <col width="13" customWidth="1" style="197" min="165" max="165"/>
    <col width="13" customWidth="1" style="197" min="166" max="166"/>
    <col width="13" customWidth="1" style="197" min="167" max="167"/>
    <col width="13" customWidth="1" style="197" min="168" max="168"/>
    <col width="13" customWidth="1" style="197" min="169" max="169"/>
    <col width="13" customWidth="1" style="197" min="170" max="170"/>
    <col width="13" customWidth="1" style="197" min="171" max="171"/>
    <col width="13" customWidth="1" style="197" min="172" max="172"/>
    <col width="13" customWidth="1" style="197" min="173" max="173"/>
    <col width="13" customWidth="1" style="197" min="174" max="174"/>
    <col width="13" customWidth="1" style="197" min="175" max="175"/>
    <col width="13" customWidth="1" style="197" min="176" max="176"/>
    <col width="13" customWidth="1" style="197" min="177" max="177"/>
    <col width="13" customWidth="1" style="197" min="178" max="178"/>
    <col width="13" customWidth="1" style="197" min="179" max="179"/>
    <col width="13" customWidth="1" style="197" min="180" max="180"/>
    <col width="13" customWidth="1" style="197" min="181" max="181"/>
    <col width="13" customWidth="1" style="197" min="182" max="182"/>
    <col width="13" customWidth="1" style="197" min="183" max="183"/>
    <col width="13" customWidth="1" style="197" min="184" max="184"/>
    <col width="13" customWidth="1" style="197" min="185" max="185"/>
    <col width="13" customWidth="1" style="197" min="186" max="186"/>
    <col width="13" customWidth="1" style="197" min="187" max="187"/>
    <col width="13" customWidth="1" style="197" min="188" max="188"/>
    <col width="13" customWidth="1" style="197" min="189" max="189"/>
    <col width="13" customWidth="1" style="197" min="190" max="190"/>
    <col width="13" customWidth="1" style="197" min="191" max="191"/>
    <col width="13" customWidth="1" style="197" min="192" max="192"/>
    <col width="13" customWidth="1" style="197" min="193" max="193"/>
    <col width="13" customWidth="1" style="197" min="194" max="194"/>
    <col width="13" customWidth="1" style="197" min="195" max="195"/>
    <col width="13" customWidth="1" style="197" min="196" max="196"/>
    <col width="13" customWidth="1" style="197" min="197" max="197"/>
    <col width="13" customWidth="1" style="197" min="198" max="198"/>
    <col width="13" customWidth="1" style="197" min="199" max="199"/>
    <col width="13" customWidth="1" style="197" min="200" max="200"/>
    <col width="13" customWidth="1" style="197" min="201" max="201"/>
    <col width="13" customWidth="1" style="197" min="202" max="202"/>
    <col width="13" customWidth="1" style="197" min="203" max="203"/>
    <col width="13" customWidth="1" style="197" min="204" max="204"/>
    <col width="13" customWidth="1" style="197" min="205" max="205"/>
    <col width="13" customWidth="1" style="197" min="206" max="206"/>
    <col width="13" customWidth="1" style="197" min="207" max="207"/>
    <col width="13" customWidth="1" style="197" min="208" max="208"/>
    <col width="13" customWidth="1" style="197" min="209" max="209"/>
    <col width="13" customWidth="1" style="197" min="210" max="210"/>
    <col width="13" customWidth="1" style="197" min="211" max="211"/>
    <col width="13" customWidth="1" style="197" min="212" max="212"/>
    <col width="13" customWidth="1" style="197" min="213" max="213"/>
    <col width="13" customWidth="1" style="197" min="214" max="214"/>
    <col width="13" customWidth="1" style="197" min="215" max="215"/>
    <col width="13" customWidth="1" style="197" min="216" max="216"/>
    <col width="13" customWidth="1" style="197" min="217" max="217"/>
    <col width="13" customWidth="1" style="197" min="218" max="218"/>
    <col width="13" customWidth="1" style="197" min="219" max="219"/>
    <col width="13" customWidth="1" style="197" min="220" max="220"/>
    <col width="13" customWidth="1" style="197" min="221" max="221"/>
    <col width="13" customWidth="1" style="197" min="222" max="222"/>
    <col width="13" customWidth="1" style="197" min="223" max="223"/>
    <col width="13" customWidth="1" style="197" min="224" max="224"/>
    <col width="13" customWidth="1" style="197" min="225" max="225"/>
    <col width="13" customWidth="1" style="197" min="226" max="226"/>
    <col width="13" customWidth="1" style="197" min="227" max="227"/>
    <col width="13" customWidth="1" style="197" min="228" max="228"/>
    <col width="13" customWidth="1" style="197" min="229" max="229"/>
    <col width="13" customWidth="1" style="197" min="230" max="230"/>
    <col width="13" customWidth="1" style="197" min="231" max="231"/>
    <col width="13" customWidth="1" style="197" min="232" max="232"/>
    <col width="13" customWidth="1" style="197" min="233" max="233"/>
    <col width="13" customWidth="1" style="197" min="234" max="234"/>
    <col width="13" customWidth="1" style="197" min="235" max="235"/>
    <col width="13" customWidth="1" style="197" min="236" max="236"/>
    <col width="13" customWidth="1" style="197" min="237" max="237"/>
    <col width="13" customWidth="1" style="197" min="238" max="238"/>
    <col width="13" customWidth="1" style="197" min="239" max="239"/>
    <col width="13" customWidth="1" style="197" min="240" max="240"/>
    <col width="13" customWidth="1" style="197" min="241" max="241"/>
    <col width="13" customWidth="1" style="197" min="242" max="242"/>
    <col width="13" customWidth="1" style="197" min="243" max="243"/>
    <col width="13" customWidth="1" style="197" min="244" max="244"/>
    <col width="13" customWidth="1" style="197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401" t="n">
        <v>1</v>
      </c>
      <c r="B12" s="401" t="n">
        <v>1615</v>
      </c>
      <c r="C12" s="401" t="n">
        <v>0</v>
      </c>
      <c r="D12" s="401">
        <f>ROW(A1556)</f>
        <v/>
      </c>
      <c r="E12" s="401" t="n">
        <v>0</v>
      </c>
      <c r="F12" s="401" t="inlineStr">
        <is>
          <t>Новый объект</t>
        </is>
      </c>
      <c r="G12" s="401" t="inlineStr">
        <is>
          <t>Текущий ремонт МКД по адресу: М.О., Щелково за октябрь</t>
        </is>
      </c>
      <c r="H12" s="401" t="inlineStr"/>
      <c r="I12" s="401" t="n">
        <v>0</v>
      </c>
      <c r="J12" s="401" t="inlineStr"/>
      <c r="K12" s="401" t="n">
        <v>0</v>
      </c>
      <c r="L12" s="401" t="n">
        <v>0</v>
      </c>
      <c r="M12" s="401" t="n">
        <v>11</v>
      </c>
      <c r="N12" s="401" t="n"/>
      <c r="O12" s="401" t="n">
        <v>0</v>
      </c>
      <c r="P12" s="401" t="n">
        <v>0</v>
      </c>
      <c r="Q12" s="401" t="n">
        <v>0</v>
      </c>
      <c r="R12" s="401" t="n">
        <v>0</v>
      </c>
      <c r="S12" s="401" t="n"/>
      <c r="T12" s="401" t="n">
        <v>4</v>
      </c>
      <c r="U12" s="401" t="inlineStr"/>
      <c r="V12" s="401" t="n">
        <v>0</v>
      </c>
      <c r="W12" s="401" t="inlineStr"/>
      <c r="X12" s="401" t="inlineStr"/>
      <c r="Y12" s="401" t="inlineStr"/>
      <c r="Z12" s="401" t="inlineStr"/>
      <c r="AA12" s="401" t="inlineStr"/>
      <c r="AB12" s="401" t="inlineStr"/>
      <c r="AC12" s="401" t="inlineStr"/>
      <c r="AD12" s="401" t="inlineStr"/>
      <c r="AE12" s="401" t="inlineStr"/>
      <c r="AF12" s="401" t="inlineStr"/>
      <c r="AG12" s="401" t="inlineStr"/>
      <c r="AH12" s="401" t="inlineStr"/>
      <c r="AI12" s="401" t="inlineStr"/>
      <c r="AJ12" s="401" t="inlineStr"/>
      <c r="AK12" s="401" t="n"/>
      <c r="AL12" s="401" t="inlineStr"/>
      <c r="AM12" s="401" t="inlineStr"/>
      <c r="AN12" s="401" t="inlineStr"/>
      <c r="AO12" s="401" t="n"/>
      <c r="AP12" s="401" t="inlineStr"/>
      <c r="AQ12" s="401" t="inlineStr"/>
      <c r="AR12" s="401" t="inlineStr"/>
      <c r="AS12" s="401" t="n"/>
      <c r="AT12" s="401" t="n"/>
      <c r="AU12" s="401" t="n"/>
      <c r="AV12" s="401" t="n"/>
      <c r="AW12" s="401" t="n"/>
      <c r="AX12" s="401" t="inlineStr"/>
      <c r="AY12" s="401" t="inlineStr"/>
      <c r="AZ12" s="401" t="inlineStr"/>
      <c r="BA12" s="401" t="n"/>
      <c r="BB12" s="401" t="n">
        <v>0</v>
      </c>
      <c r="BC12" s="401" t="n"/>
      <c r="BD12" s="401" t="n"/>
      <c r="BE12" s="401" t="n"/>
      <c r="BF12" s="401" t="n"/>
      <c r="BG12" s="401" t="n"/>
      <c r="BH12" s="401" t="inlineStr">
        <is>
          <t>Сметные нормы списания</t>
        </is>
      </c>
      <c r="BI12" s="401" t="inlineStr">
        <is>
          <t>Коды ценников</t>
        </is>
      </c>
      <c r="BJ12" s="401" t="n">
        <v>1</v>
      </c>
      <c r="BK12" s="401" t="n">
        <v>1</v>
      </c>
      <c r="BL12" s="401" t="n">
        <v>0</v>
      </c>
      <c r="BM12" s="401" t="n">
        <v>0</v>
      </c>
      <c r="BN12" s="401" t="n">
        <v>1</v>
      </c>
      <c r="BO12" s="401" t="n">
        <v>0</v>
      </c>
      <c r="BP12" s="401" t="n">
        <v>2</v>
      </c>
      <c r="BQ12" s="401" t="n">
        <v>2</v>
      </c>
      <c r="BR12" s="401" t="n">
        <v>1</v>
      </c>
      <c r="BS12" s="401" t="n">
        <v>1</v>
      </c>
      <c r="BT12" s="401" t="n">
        <v>0</v>
      </c>
      <c r="BU12" s="401" t="n">
        <v>0</v>
      </c>
      <c r="BV12" s="401" t="n">
        <v>1</v>
      </c>
      <c r="BW12" s="401" t="n">
        <v>0</v>
      </c>
      <c r="BX12" s="401" t="n">
        <v>0</v>
      </c>
      <c r="BY12" s="401" t="inlineStr">
        <is>
          <t>ТСНБ-2001 МО 421пр построчно</t>
        </is>
      </c>
      <c r="BZ12" s="401" t="inlineStr">
        <is>
          <t>Версия 1.7.6 ГСН (ГЭСН, ФЕР) и ТЕР (Методики НР (812/пр, 636/пр, 611/пр) и СП (774/пр и 317/пр) для версии 11.14.0.0</t>
        </is>
      </c>
      <c r="CA12" s="401" t="inlineStr">
        <is>
          <t>ТСНБ-2001 Московской области (редакция 2014 г версия 15.0)</t>
        </is>
      </c>
      <c r="CB12" s="401" t="inlineStr">
        <is>
          <t>ТСНБ-2001 Московской области (редакция 2014 г версия 15.0)</t>
        </is>
      </c>
      <c r="CC12" s="401" t="inlineStr">
        <is>
          <t>ТСНБ-2001 Московской области (редакция 2014 г версия 15.0)</t>
        </is>
      </c>
      <c r="CD12" s="401" t="inlineStr">
        <is>
          <t>ТСНБ-2001 Московской области (редакция 2014 г версия 15.0)</t>
        </is>
      </c>
      <c r="CE12" s="401" t="inlineStr">
        <is>
          <t>Поправки для НБ 2014 года от 15.06.2021 г. Строительство</t>
        </is>
      </c>
      <c r="CF12" s="401" t="n">
        <v>0</v>
      </c>
      <c r="CG12" s="401" t="n">
        <v>0</v>
      </c>
      <c r="CH12" s="401" t="n">
        <v>402989064</v>
      </c>
      <c r="CI12" s="401" t="inlineStr"/>
      <c r="CJ12" s="401" t="inlineStr"/>
      <c r="CK12" s="401" t="n">
        <v>1</v>
      </c>
      <c r="CL12" s="401" t="n"/>
      <c r="CM12" s="401" t="n"/>
      <c r="CN12" s="401" t="n"/>
      <c r="CO12" s="401" t="n"/>
      <c r="CP12" s="401" t="n"/>
      <c r="CQ12" s="40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401" t="inlineStr">
        <is>
          <t>ТЕР</t>
        </is>
      </c>
      <c r="CS12" s="401" t="n">
        <v>42794</v>
      </c>
      <c r="CT12" s="401" t="n">
        <v>421</v>
      </c>
      <c r="CU12" s="401" t="n"/>
      <c r="CV12" s="401" t="n"/>
      <c r="CW12" s="401" t="n"/>
      <c r="CX12" s="401" t="n"/>
      <c r="CY12" s="401" t="n">
        <v>0</v>
      </c>
      <c r="CZ12" s="401" t="inlineStr"/>
      <c r="DA12" s="401" t="inlineStr"/>
      <c r="DB12" s="401" t="n"/>
      <c r="DC12" s="401" t="n"/>
      <c r="DD12" s="401" t="n"/>
      <c r="DE12" s="401" t="n"/>
      <c r="DF12" s="401" t="n"/>
      <c r="DG12" s="401" t="n"/>
      <c r="DH12" s="401" t="n"/>
      <c r="DI12" s="401" t="n"/>
      <c r="DJ12" s="401" t="n"/>
      <c r="DK12" s="401" t="n"/>
      <c r="DL12" s="401" t="n"/>
      <c r="DM12" s="401" t="n"/>
      <c r="DN12" s="401" t="n"/>
      <c r="DO12" s="401" t="n"/>
      <c r="DP12" s="401" t="n"/>
      <c r="DQ12" s="401" t="n"/>
      <c r="DR12" s="401" t="n"/>
      <c r="DS12" s="401" t="n"/>
      <c r="DT12" s="401" t="n"/>
      <c r="DU12" s="401" t="n"/>
      <c r="DV12" s="401" t="n"/>
      <c r="DW12" s="401" t="n"/>
      <c r="DX12" s="401" t="n"/>
      <c r="DY12" s="401" t="n"/>
      <c r="DZ12" s="401" t="n"/>
      <c r="EA12" s="401" t="n"/>
      <c r="EB12" s="401" t="n"/>
      <c r="EC12" s="401" t="n">
        <v>0</v>
      </c>
    </row>
    <row r="13"/>
    <row r="14"/>
    <row r="15">
      <c r="A15" s="401" t="n">
        <v>15</v>
      </c>
      <c r="B15" s="401" t="n">
        <v>1</v>
      </c>
      <c r="C15" s="401" t="n"/>
      <c r="D15" s="401" t="n"/>
      <c r="E15" s="401" t="n"/>
      <c r="F15" s="401" t="n"/>
      <c r="G15" s="401" t="n"/>
      <c r="H15" s="401" t="n"/>
      <c r="I15" s="401" t="n"/>
      <c r="J15" s="401" t="n"/>
      <c r="K15" s="401" t="n"/>
      <c r="L15" s="401" t="n"/>
      <c r="M15" s="401" t="n"/>
      <c r="N15" s="401" t="n"/>
      <c r="O15" s="401" t="n"/>
      <c r="P15" s="401" t="n"/>
      <c r="Q15" s="401" t="n"/>
      <c r="R15" s="401" t="n"/>
      <c r="S15" s="401" t="n"/>
      <c r="T15" s="401" t="n"/>
      <c r="U15" s="401" t="n"/>
      <c r="V15" s="401" t="n"/>
      <c r="W15" s="401" t="n"/>
      <c r="X15" s="401" t="n"/>
      <c r="Y15" s="401" t="n"/>
      <c r="Z15" s="401" t="n"/>
      <c r="AA15" s="401" t="n"/>
      <c r="AB15" s="401" t="n"/>
      <c r="AC15" s="401" t="n"/>
      <c r="AD15" s="401" t="n"/>
      <c r="AE15" s="401" t="n"/>
      <c r="AF15" s="401" t="n"/>
      <c r="AG15" s="401" t="n"/>
      <c r="AH15" s="401" t="n"/>
      <c r="AI15" s="401" t="n"/>
      <c r="AJ15" s="401" t="n"/>
      <c r="AK15" s="401" t="n"/>
      <c r="AL15" s="401" t="n"/>
      <c r="AM15" s="401" t="n"/>
      <c r="AN15" s="401" t="n"/>
      <c r="AO15" s="401" t="n"/>
      <c r="AP15" s="401" t="n"/>
      <c r="AQ15" s="401" t="n"/>
      <c r="AR15" s="401" t="n"/>
      <c r="AS15" s="401" t="n"/>
      <c r="AT15" s="401" t="n"/>
      <c r="AU15" s="401" t="n"/>
      <c r="AV15" s="401" t="n"/>
      <c r="AW15" s="401" t="n"/>
      <c r="AX15" s="401" t="n"/>
      <c r="AY15" s="401" t="n"/>
      <c r="AZ15" s="401" t="n"/>
      <c r="BA15" s="401" t="n"/>
      <c r="BB15" s="401" t="n"/>
      <c r="BC15" s="401" t="n"/>
      <c r="BD15" s="401" t="n"/>
      <c r="BE15" s="401" t="n"/>
      <c r="BF15" s="401" t="n"/>
      <c r="BG15" s="401" t="n"/>
      <c r="BH15" s="401" t="n"/>
      <c r="BI15" s="401" t="n"/>
      <c r="BJ15" s="401" t="n"/>
      <c r="BK15" s="401" t="n"/>
      <c r="BL15" s="401" t="n"/>
      <c r="BM15" s="401" t="n"/>
      <c r="BN15" s="401" t="n"/>
      <c r="BO15" s="401" t="n"/>
      <c r="BP15" s="401" t="n"/>
      <c r="BQ15" s="401" t="n"/>
      <c r="BR15" s="401" t="n"/>
      <c r="BS15" s="401" t="n"/>
      <c r="BT15" s="401" t="n"/>
      <c r="BU15" s="401" t="n"/>
      <c r="BV15" s="401" t="n"/>
      <c r="BW15" s="401" t="n"/>
      <c r="BX15" s="401" t="n"/>
      <c r="BY15" s="401" t="n"/>
      <c r="BZ15" s="401" t="n"/>
      <c r="CA15" s="401" t="n"/>
      <c r="CB15" s="401" t="n"/>
      <c r="CC15" s="401" t="n"/>
      <c r="CD15" s="401" t="n"/>
      <c r="CE15" s="401" t="n"/>
      <c r="CF15" s="401" t="n"/>
      <c r="CG15" s="401" t="n"/>
      <c r="CH15" s="401" t="n"/>
      <c r="CI15" s="401" t="n"/>
      <c r="CJ15" s="401" t="n"/>
      <c r="CK15" s="401" t="n"/>
      <c r="CL15" s="401" t="n"/>
      <c r="CM15" s="401" t="n"/>
      <c r="CN15" s="401" t="n"/>
      <c r="CO15" s="401" t="n"/>
      <c r="CP15" s="401" t="n"/>
      <c r="CQ15" s="401" t="n"/>
      <c r="CR15" s="401" t="n"/>
      <c r="CS15" s="401" t="n"/>
      <c r="CT15" s="401" t="n"/>
      <c r="CU15" s="401" t="n"/>
      <c r="CV15" s="401" t="n"/>
      <c r="CW15" s="401" t="n"/>
      <c r="CX15" s="401" t="n"/>
      <c r="CY15" s="401" t="n"/>
      <c r="CZ15" s="401" t="n"/>
      <c r="DA15" s="401" t="n"/>
      <c r="DB15" s="401" t="n"/>
      <c r="DC15" s="401" t="n"/>
      <c r="DD15" s="401" t="n"/>
      <c r="DE15" s="401" t="n"/>
      <c r="DF15" s="401" t="n"/>
      <c r="DG15" s="401" t="n"/>
      <c r="DH15" s="401" t="n"/>
      <c r="DI15" s="401" t="n"/>
      <c r="DJ15" s="401" t="n"/>
      <c r="DK15" s="401" t="n"/>
      <c r="DL15" s="401" t="n"/>
      <c r="DM15" s="401" t="n"/>
      <c r="DN15" s="401" t="n"/>
      <c r="DO15" s="401" t="n"/>
      <c r="DP15" s="401" t="n"/>
      <c r="DQ15" s="401" t="n"/>
      <c r="DR15" s="401" t="n"/>
      <c r="DS15" s="401" t="n"/>
      <c r="DT15" s="401" t="n"/>
      <c r="DU15" s="401" t="n"/>
      <c r="DV15" s="401" t="n"/>
      <c r="DW15" s="401" t="n"/>
      <c r="DX15" s="401" t="n"/>
      <c r="DY15" s="401" t="n"/>
      <c r="DZ15" s="401" t="n"/>
      <c r="EA15" s="401" t="n"/>
      <c r="EB15" s="401" t="n"/>
      <c r="EC15" s="401" t="n"/>
    </row>
    <row r="16"/>
    <row r="17"/>
    <row r="18">
      <c r="A18" s="402" t="n">
        <v>52</v>
      </c>
      <c r="B18" s="402">
        <f>B1556</f>
        <v/>
      </c>
      <c r="C18" s="402">
        <f>C1556</f>
        <v/>
      </c>
      <c r="D18" s="402">
        <f>D1556</f>
        <v/>
      </c>
      <c r="E18" s="402">
        <f>E1556</f>
        <v/>
      </c>
      <c r="F18" s="402">
        <f>F1556</f>
        <v/>
      </c>
      <c r="G18" s="402">
        <f>G1556</f>
        <v/>
      </c>
      <c r="H18" s="402" t="n"/>
      <c r="I18" s="402" t="n"/>
      <c r="J18" s="402" t="n"/>
      <c r="K18" s="402" t="n"/>
      <c r="L18" s="402" t="n"/>
      <c r="M18" s="402" t="n"/>
      <c r="N18" s="402" t="n"/>
      <c r="O18" s="402">
        <f>O1556</f>
        <v/>
      </c>
      <c r="P18" s="402">
        <f>P1556</f>
        <v/>
      </c>
      <c r="Q18" s="402">
        <f>Q1556</f>
        <v/>
      </c>
      <c r="R18" s="402">
        <f>R1556</f>
        <v/>
      </c>
      <c r="S18" s="402">
        <f>S1556</f>
        <v/>
      </c>
      <c r="T18" s="402">
        <f>T1556</f>
        <v/>
      </c>
      <c r="U18" s="402">
        <f>U1556</f>
        <v/>
      </c>
      <c r="V18" s="402">
        <f>V1556</f>
        <v/>
      </c>
      <c r="W18" s="402">
        <f>W1556</f>
        <v/>
      </c>
      <c r="X18" s="402">
        <f>X1556</f>
        <v/>
      </c>
      <c r="Y18" s="402">
        <f>Y1556</f>
        <v/>
      </c>
      <c r="Z18" s="402">
        <f>Z1556</f>
        <v/>
      </c>
      <c r="AA18" s="402">
        <f>AA1556</f>
        <v/>
      </c>
      <c r="AB18" s="402">
        <f>AB1556</f>
        <v/>
      </c>
      <c r="AC18" s="402">
        <f>AC1556</f>
        <v/>
      </c>
      <c r="AD18" s="402">
        <f>AD1556</f>
        <v/>
      </c>
      <c r="AE18" s="402">
        <f>AE1556</f>
        <v/>
      </c>
      <c r="AF18" s="402">
        <f>AF1556</f>
        <v/>
      </c>
      <c r="AG18" s="402">
        <f>AG1556</f>
        <v/>
      </c>
      <c r="AH18" s="402">
        <f>AH1556</f>
        <v/>
      </c>
      <c r="AI18" s="402">
        <f>AI1556</f>
        <v/>
      </c>
      <c r="AJ18" s="402">
        <f>AJ1556</f>
        <v/>
      </c>
      <c r="AK18" s="402">
        <f>AK1556</f>
        <v/>
      </c>
      <c r="AL18" s="402">
        <f>AL1556</f>
        <v/>
      </c>
      <c r="AM18" s="402">
        <f>AM1556</f>
        <v/>
      </c>
      <c r="AN18" s="402">
        <f>AN1556</f>
        <v/>
      </c>
      <c r="AO18" s="402">
        <f>AO1556</f>
        <v/>
      </c>
      <c r="AP18" s="402">
        <f>AP1556</f>
        <v/>
      </c>
      <c r="AQ18" s="402">
        <f>AQ1556</f>
        <v/>
      </c>
      <c r="AR18" s="402">
        <f>AR1556</f>
        <v/>
      </c>
      <c r="AS18" s="402">
        <f>AS1556</f>
        <v/>
      </c>
      <c r="AT18" s="402">
        <f>AT1556</f>
        <v/>
      </c>
      <c r="AU18" s="402">
        <f>AU1556</f>
        <v/>
      </c>
      <c r="AV18" s="402">
        <f>AV1556</f>
        <v/>
      </c>
      <c r="AW18" s="402">
        <f>AW1556</f>
        <v/>
      </c>
      <c r="AX18" s="402">
        <f>AX1556</f>
        <v/>
      </c>
      <c r="AY18" s="402">
        <f>AY1556</f>
        <v/>
      </c>
      <c r="AZ18" s="402">
        <f>AZ1556</f>
        <v/>
      </c>
      <c r="BA18" s="402">
        <f>BA1556</f>
        <v/>
      </c>
      <c r="BB18" s="402">
        <f>BB1556</f>
        <v/>
      </c>
      <c r="BC18" s="402">
        <f>BC1556</f>
        <v/>
      </c>
      <c r="BD18" s="402">
        <f>BD1556</f>
        <v/>
      </c>
      <c r="BE18" s="402">
        <f>BE1556</f>
        <v/>
      </c>
      <c r="BF18" s="402">
        <f>BF1556</f>
        <v/>
      </c>
      <c r="BG18" s="402">
        <f>BG1556</f>
        <v/>
      </c>
      <c r="BH18" s="402">
        <f>BH1556</f>
        <v/>
      </c>
      <c r="BI18" s="402">
        <f>BI1556</f>
        <v/>
      </c>
      <c r="BJ18" s="402">
        <f>BJ1556</f>
        <v/>
      </c>
      <c r="BK18" s="402">
        <f>BK1556</f>
        <v/>
      </c>
      <c r="BL18" s="402">
        <f>BL1556</f>
        <v/>
      </c>
      <c r="BM18" s="402">
        <f>BM1556</f>
        <v/>
      </c>
      <c r="BN18" s="402">
        <f>BN1556</f>
        <v/>
      </c>
      <c r="BO18" s="402">
        <f>BO1556</f>
        <v/>
      </c>
      <c r="BP18" s="402">
        <f>BP1556</f>
        <v/>
      </c>
      <c r="BQ18" s="402">
        <f>BQ1556</f>
        <v/>
      </c>
      <c r="BR18" s="402">
        <f>BR1556</f>
        <v/>
      </c>
      <c r="BS18" s="402">
        <f>BS1556</f>
        <v/>
      </c>
      <c r="BT18" s="402">
        <f>BT1556</f>
        <v/>
      </c>
      <c r="BU18" s="402">
        <f>BU1556</f>
        <v/>
      </c>
      <c r="BV18" s="402">
        <f>BV1556</f>
        <v/>
      </c>
      <c r="BW18" s="402">
        <f>BW1556</f>
        <v/>
      </c>
      <c r="BX18" s="402">
        <f>BX1556</f>
        <v/>
      </c>
      <c r="BY18" s="402">
        <f>BY1556</f>
        <v/>
      </c>
      <c r="BZ18" s="402">
        <f>BZ1556</f>
        <v/>
      </c>
      <c r="CA18" s="402">
        <f>CA1556</f>
        <v/>
      </c>
      <c r="CB18" s="402">
        <f>CB1556</f>
        <v/>
      </c>
      <c r="CC18" s="402">
        <f>CC1556</f>
        <v/>
      </c>
      <c r="CD18" s="402">
        <f>CD1556</f>
        <v/>
      </c>
      <c r="CE18" s="402">
        <f>CE1556</f>
        <v/>
      </c>
      <c r="CF18" s="402">
        <f>CF1556</f>
        <v/>
      </c>
      <c r="CG18" s="402">
        <f>CG1556</f>
        <v/>
      </c>
      <c r="CH18" s="402">
        <f>CH1556</f>
        <v/>
      </c>
      <c r="CI18" s="402">
        <f>CI1556</f>
        <v/>
      </c>
      <c r="CJ18" s="402">
        <f>CJ1556</f>
        <v/>
      </c>
      <c r="CK18" s="402">
        <f>CK1556</f>
        <v/>
      </c>
      <c r="CL18" s="402">
        <f>CL1556</f>
        <v/>
      </c>
      <c r="CM18" s="402">
        <f>CM1556</f>
        <v/>
      </c>
      <c r="CN18" s="402">
        <f>CN1556</f>
        <v/>
      </c>
      <c r="CO18" s="402">
        <f>CO1556</f>
        <v/>
      </c>
      <c r="CP18" s="402">
        <f>CP1556</f>
        <v/>
      </c>
      <c r="CQ18" s="402">
        <f>CQ1556</f>
        <v/>
      </c>
      <c r="CR18" s="402">
        <f>CR1556</f>
        <v/>
      </c>
      <c r="CS18" s="402">
        <f>CS1556</f>
        <v/>
      </c>
      <c r="CT18" s="402">
        <f>CT1556</f>
        <v/>
      </c>
      <c r="CU18" s="402">
        <f>CU1556</f>
        <v/>
      </c>
      <c r="CV18" s="402">
        <f>CV1556</f>
        <v/>
      </c>
      <c r="CW18" s="402">
        <f>CW1556</f>
        <v/>
      </c>
      <c r="CX18" s="402">
        <f>CX1556</f>
        <v/>
      </c>
      <c r="CY18" s="402">
        <f>CY1556</f>
        <v/>
      </c>
      <c r="CZ18" s="402">
        <f>CZ1556</f>
        <v/>
      </c>
      <c r="DA18" s="402">
        <f>DA1556</f>
        <v/>
      </c>
      <c r="DB18" s="402">
        <f>DB1556</f>
        <v/>
      </c>
      <c r="DC18" s="402">
        <f>DC1556</f>
        <v/>
      </c>
      <c r="DD18" s="402">
        <f>DD1556</f>
        <v/>
      </c>
      <c r="DE18" s="402">
        <f>DE1556</f>
        <v/>
      </c>
      <c r="DF18" s="402">
        <f>DF1556</f>
        <v/>
      </c>
      <c r="DG18" s="403">
        <f>DG1556</f>
        <v/>
      </c>
      <c r="DH18" s="403">
        <f>DH1556</f>
        <v/>
      </c>
      <c r="DI18" s="403">
        <f>DI1556</f>
        <v/>
      </c>
      <c r="DJ18" s="403">
        <f>DJ1556</f>
        <v/>
      </c>
      <c r="DK18" s="403">
        <f>DK1556</f>
        <v/>
      </c>
      <c r="DL18" s="403">
        <f>DL1556</f>
        <v/>
      </c>
      <c r="DM18" s="403">
        <f>DM1556</f>
        <v/>
      </c>
      <c r="DN18" s="403">
        <f>DN1556</f>
        <v/>
      </c>
      <c r="DO18" s="403">
        <f>DO1556</f>
        <v/>
      </c>
      <c r="DP18" s="403">
        <f>DP1556</f>
        <v/>
      </c>
      <c r="DQ18" s="403">
        <f>DQ1556</f>
        <v/>
      </c>
      <c r="DR18" s="403">
        <f>DR1556</f>
        <v/>
      </c>
      <c r="DS18" s="403">
        <f>DS1556</f>
        <v/>
      </c>
      <c r="DT18" s="403">
        <f>DT1556</f>
        <v/>
      </c>
      <c r="DU18" s="403">
        <f>DU1556</f>
        <v/>
      </c>
      <c r="DV18" s="403">
        <f>DV1556</f>
        <v/>
      </c>
      <c r="DW18" s="403">
        <f>DW1556</f>
        <v/>
      </c>
      <c r="DX18" s="403">
        <f>DX1556</f>
        <v/>
      </c>
      <c r="DY18" s="403">
        <f>DY1556</f>
        <v/>
      </c>
      <c r="DZ18" s="403">
        <f>DZ1556</f>
        <v/>
      </c>
      <c r="EA18" s="403">
        <f>EA1556</f>
        <v/>
      </c>
      <c r="EB18" s="403">
        <f>EB1556</f>
        <v/>
      </c>
      <c r="EC18" s="403">
        <f>EC1556</f>
        <v/>
      </c>
      <c r="ED18" s="403">
        <f>ED1556</f>
        <v/>
      </c>
      <c r="EE18" s="403">
        <f>EE1556</f>
        <v/>
      </c>
      <c r="EF18" s="403">
        <f>EF1556</f>
        <v/>
      </c>
      <c r="EG18" s="403">
        <f>EG1556</f>
        <v/>
      </c>
      <c r="EH18" s="403">
        <f>EH1556</f>
        <v/>
      </c>
      <c r="EI18" s="403">
        <f>EI1556</f>
        <v/>
      </c>
      <c r="EJ18" s="403">
        <f>EJ1556</f>
        <v/>
      </c>
      <c r="EK18" s="403">
        <f>EK1556</f>
        <v/>
      </c>
      <c r="EL18" s="403">
        <f>EL1556</f>
        <v/>
      </c>
      <c r="EM18" s="403">
        <f>EM1556</f>
        <v/>
      </c>
      <c r="EN18" s="403">
        <f>EN1556</f>
        <v/>
      </c>
      <c r="EO18" s="403">
        <f>EO1556</f>
        <v/>
      </c>
      <c r="EP18" s="403">
        <f>EP1556</f>
        <v/>
      </c>
      <c r="EQ18" s="403">
        <f>EQ1556</f>
        <v/>
      </c>
      <c r="ER18" s="403">
        <f>ER1556</f>
        <v/>
      </c>
      <c r="ES18" s="403">
        <f>ES1556</f>
        <v/>
      </c>
      <c r="ET18" s="403">
        <f>ET1556</f>
        <v/>
      </c>
      <c r="EU18" s="403">
        <f>EU1556</f>
        <v/>
      </c>
      <c r="EV18" s="403">
        <f>EV1556</f>
        <v/>
      </c>
      <c r="EW18" s="403">
        <f>EW1556</f>
        <v/>
      </c>
      <c r="EX18" s="403">
        <f>EX1556</f>
        <v/>
      </c>
      <c r="EY18" s="403">
        <f>EY1556</f>
        <v/>
      </c>
      <c r="EZ18" s="403">
        <f>EZ1556</f>
        <v/>
      </c>
      <c r="FA18" s="403">
        <f>FA1556</f>
        <v/>
      </c>
      <c r="FB18" s="403">
        <f>FB1556</f>
        <v/>
      </c>
      <c r="FC18" s="403">
        <f>FC1556</f>
        <v/>
      </c>
      <c r="FD18" s="403">
        <f>FD1556</f>
        <v/>
      </c>
      <c r="FE18" s="403">
        <f>FE1556</f>
        <v/>
      </c>
      <c r="FF18" s="403">
        <f>FF1556</f>
        <v/>
      </c>
      <c r="FG18" s="403">
        <f>FG1556</f>
        <v/>
      </c>
      <c r="FH18" s="403">
        <f>FH1556</f>
        <v/>
      </c>
      <c r="FI18" s="403">
        <f>FI1556</f>
        <v/>
      </c>
      <c r="FJ18" s="403">
        <f>FJ1556</f>
        <v/>
      </c>
      <c r="FK18" s="403">
        <f>FK1556</f>
        <v/>
      </c>
      <c r="FL18" s="403">
        <f>FL1556</f>
        <v/>
      </c>
      <c r="FM18" s="403">
        <f>FM1556</f>
        <v/>
      </c>
      <c r="FN18" s="403">
        <f>FN1556</f>
        <v/>
      </c>
      <c r="FO18" s="403">
        <f>FO1556</f>
        <v/>
      </c>
      <c r="FP18" s="403">
        <f>FP1556</f>
        <v/>
      </c>
      <c r="FQ18" s="403">
        <f>FQ1556</f>
        <v/>
      </c>
      <c r="FR18" s="403">
        <f>FR1556</f>
        <v/>
      </c>
      <c r="FS18" s="403">
        <f>FS1556</f>
        <v/>
      </c>
      <c r="FT18" s="403">
        <f>FT1556</f>
        <v/>
      </c>
      <c r="FU18" s="403">
        <f>FU1556</f>
        <v/>
      </c>
      <c r="FV18" s="403">
        <f>FV1556</f>
        <v/>
      </c>
      <c r="FW18" s="403">
        <f>FW1556</f>
        <v/>
      </c>
      <c r="FX18" s="403">
        <f>FX1556</f>
        <v/>
      </c>
      <c r="FY18" s="403">
        <f>FY1556</f>
        <v/>
      </c>
      <c r="FZ18" s="403">
        <f>FZ1556</f>
        <v/>
      </c>
      <c r="GA18" s="403">
        <f>GA1556</f>
        <v/>
      </c>
      <c r="GB18" s="403">
        <f>GB1556</f>
        <v/>
      </c>
      <c r="GC18" s="403">
        <f>GC1556</f>
        <v/>
      </c>
      <c r="GD18" s="403">
        <f>GD1556</f>
        <v/>
      </c>
      <c r="GE18" s="403">
        <f>GE1556</f>
        <v/>
      </c>
      <c r="GF18" s="403">
        <f>GF1556</f>
        <v/>
      </c>
      <c r="GG18" s="403">
        <f>GG1556</f>
        <v/>
      </c>
      <c r="GH18" s="403">
        <f>GH1556</f>
        <v/>
      </c>
      <c r="GI18" s="403">
        <f>GI1556</f>
        <v/>
      </c>
      <c r="GJ18" s="403">
        <f>GJ1556</f>
        <v/>
      </c>
      <c r="GK18" s="403">
        <f>GK1556</f>
        <v/>
      </c>
      <c r="GL18" s="403">
        <f>GL1556</f>
        <v/>
      </c>
      <c r="GM18" s="403">
        <f>GM1556</f>
        <v/>
      </c>
      <c r="GN18" s="403">
        <f>GN1556</f>
        <v/>
      </c>
      <c r="GO18" s="403">
        <f>GO1556</f>
        <v/>
      </c>
      <c r="GP18" s="403">
        <f>GP1556</f>
        <v/>
      </c>
      <c r="GQ18" s="403">
        <f>GQ1556</f>
        <v/>
      </c>
      <c r="GR18" s="403">
        <f>GR1556</f>
        <v/>
      </c>
      <c r="GS18" s="403">
        <f>GS1556</f>
        <v/>
      </c>
      <c r="GT18" s="403">
        <f>GT1556</f>
        <v/>
      </c>
      <c r="GU18" s="403">
        <f>GU1556</f>
        <v/>
      </c>
      <c r="GV18" s="403">
        <f>GV1556</f>
        <v/>
      </c>
      <c r="GW18" s="403">
        <f>GW1556</f>
        <v/>
      </c>
      <c r="GX18" s="403">
        <f>GX1556</f>
        <v/>
      </c>
    </row>
    <row r="19"/>
    <row r="20">
      <c r="A20" s="401" t="n">
        <v>3</v>
      </c>
      <c r="B20" s="401" t="n">
        <v>0</v>
      </c>
      <c r="C20" s="401" t="n"/>
      <c r="D20" s="401">
        <f>ROW(A29)</f>
        <v/>
      </c>
      <c r="E20" s="401" t="n"/>
      <c r="F20" s="401" t="inlineStr">
        <is>
          <t>Новая локальная смета</t>
        </is>
      </c>
      <c r="G20" s="401" t="inlineStr">
        <is>
          <t>Текстильщиков 1</t>
        </is>
      </c>
      <c r="H20" s="401" t="inlineStr"/>
      <c r="I20" s="401" t="n">
        <v>0</v>
      </c>
      <c r="J20" s="401" t="inlineStr"/>
      <c r="K20" s="401" t="n">
        <v>-1</v>
      </c>
      <c r="L20" s="401" t="inlineStr">
        <is>
          <t>Новая локальная смета</t>
        </is>
      </c>
      <c r="M20" s="401" t="inlineStr"/>
      <c r="N20" s="401" t="n"/>
      <c r="O20" s="401" t="n"/>
      <c r="P20" s="401" t="n"/>
      <c r="Q20" s="401" t="n"/>
      <c r="R20" s="401" t="n"/>
      <c r="S20" s="401" t="n">
        <v>0</v>
      </c>
      <c r="T20" s="401" t="n"/>
      <c r="U20" s="401" t="inlineStr"/>
      <c r="V20" s="401" t="n">
        <v>0</v>
      </c>
      <c r="W20" s="401" t="n"/>
      <c r="X20" s="401" t="n"/>
      <c r="Y20" s="401" t="n"/>
      <c r="Z20" s="401" t="n"/>
      <c r="AA20" s="401" t="n"/>
      <c r="AB20" s="401" t="inlineStr"/>
      <c r="AC20" s="401" t="inlineStr"/>
      <c r="AD20" s="401" t="inlineStr"/>
      <c r="AE20" s="401" t="inlineStr"/>
      <c r="AF20" s="401" t="inlineStr"/>
      <c r="AG20" s="401" t="inlineStr"/>
      <c r="AH20" s="401" t="n"/>
      <c r="AI20" s="401" t="n"/>
      <c r="AJ20" s="401" t="n"/>
      <c r="AK20" s="401" t="n"/>
      <c r="AL20" s="401" t="n"/>
      <c r="AM20" s="401" t="n"/>
      <c r="AN20" s="401" t="n"/>
      <c r="AO20" s="401" t="n"/>
      <c r="AP20" s="401" t="inlineStr"/>
      <c r="AQ20" s="401" t="inlineStr"/>
      <c r="AR20" s="401" t="inlineStr"/>
      <c r="AS20" s="401" t="n"/>
      <c r="AT20" s="401" t="n"/>
      <c r="AU20" s="401" t="n"/>
      <c r="AV20" s="401" t="n"/>
      <c r="AW20" s="401" t="n"/>
      <c r="AX20" s="401" t="n"/>
      <c r="AY20" s="401" t="n"/>
      <c r="AZ20" s="401" t="inlineStr"/>
      <c r="BA20" s="401" t="n"/>
      <c r="BB20" s="401" t="inlineStr"/>
      <c r="BC20" s="401" t="inlineStr"/>
      <c r="BD20" s="401" t="inlineStr"/>
      <c r="BE20" s="401" t="inlineStr"/>
      <c r="BF20" s="401" t="inlineStr"/>
      <c r="BG20" s="401" t="inlineStr"/>
      <c r="BH20" s="401" t="inlineStr"/>
      <c r="BI20" s="401" t="inlineStr"/>
      <c r="BJ20" s="401" t="inlineStr"/>
      <c r="BK20" s="401" t="inlineStr"/>
      <c r="BL20" s="401" t="inlineStr"/>
      <c r="BM20" s="401" t="inlineStr"/>
      <c r="BN20" s="401" t="inlineStr"/>
      <c r="BO20" s="401" t="inlineStr"/>
      <c r="BP20" s="401" t="inlineStr"/>
      <c r="BQ20" s="401" t="n"/>
      <c r="BR20" s="401" t="n"/>
      <c r="BS20" s="401" t="n"/>
      <c r="BT20" s="401" t="n"/>
      <c r="BU20" s="401" t="n"/>
      <c r="BV20" s="401" t="n"/>
      <c r="BW20" s="401" t="n"/>
      <c r="BX20" s="401" t="n">
        <v>0</v>
      </c>
      <c r="BY20" s="401" t="n"/>
      <c r="BZ20" s="401" t="n"/>
      <c r="CA20" s="401" t="n"/>
      <c r="CB20" s="401" t="n"/>
      <c r="CC20" s="401" t="n"/>
      <c r="CD20" s="401" t="n"/>
      <c r="CE20" s="401" t="n"/>
      <c r="CF20" s="401" t="n">
        <v>0</v>
      </c>
      <c r="CG20" s="401" t="n">
        <v>0</v>
      </c>
      <c r="CH20" s="401" t="n"/>
      <c r="CI20" s="401" t="inlineStr"/>
      <c r="CJ20" s="401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402" t="n">
        <v>52</v>
      </c>
      <c r="B22" s="402">
        <f>B29</f>
        <v/>
      </c>
      <c r="C22" s="402">
        <f>C29</f>
        <v/>
      </c>
      <c r="D22" s="402">
        <f>D29</f>
        <v/>
      </c>
      <c r="E22" s="402">
        <f>E29</f>
        <v/>
      </c>
      <c r="F22" s="402">
        <f>F29</f>
        <v/>
      </c>
      <c r="G22" s="402">
        <f>G29</f>
        <v/>
      </c>
      <c r="H22" s="402" t="n"/>
      <c r="I22" s="402" t="n"/>
      <c r="J22" s="402" t="n"/>
      <c r="K22" s="402" t="n"/>
      <c r="L22" s="402" t="n"/>
      <c r="M22" s="402" t="n"/>
      <c r="N22" s="402" t="n"/>
      <c r="O22" s="402">
        <f>O29</f>
        <v/>
      </c>
      <c r="P22" s="402">
        <f>P29</f>
        <v/>
      </c>
      <c r="Q22" s="402">
        <f>Q29</f>
        <v/>
      </c>
      <c r="R22" s="402">
        <f>R29</f>
        <v/>
      </c>
      <c r="S22" s="402">
        <f>S29</f>
        <v/>
      </c>
      <c r="T22" s="402">
        <f>T29</f>
        <v/>
      </c>
      <c r="U22" s="402">
        <f>U29</f>
        <v/>
      </c>
      <c r="V22" s="402">
        <f>V29</f>
        <v/>
      </c>
      <c r="W22" s="402">
        <f>W29</f>
        <v/>
      </c>
      <c r="X22" s="402">
        <f>X29</f>
        <v/>
      </c>
      <c r="Y22" s="402">
        <f>Y29</f>
        <v/>
      </c>
      <c r="Z22" s="402">
        <f>Z29</f>
        <v/>
      </c>
      <c r="AA22" s="402">
        <f>AA29</f>
        <v/>
      </c>
      <c r="AB22" s="402">
        <f>AB29</f>
        <v/>
      </c>
      <c r="AC22" s="402">
        <f>AC29</f>
        <v/>
      </c>
      <c r="AD22" s="402">
        <f>AD29</f>
        <v/>
      </c>
      <c r="AE22" s="402">
        <f>AE29</f>
        <v/>
      </c>
      <c r="AF22" s="402">
        <f>AF29</f>
        <v/>
      </c>
      <c r="AG22" s="402">
        <f>AG29</f>
        <v/>
      </c>
      <c r="AH22" s="402">
        <f>AH29</f>
        <v/>
      </c>
      <c r="AI22" s="402">
        <f>AI29</f>
        <v/>
      </c>
      <c r="AJ22" s="402">
        <f>AJ29</f>
        <v/>
      </c>
      <c r="AK22" s="402">
        <f>AK29</f>
        <v/>
      </c>
      <c r="AL22" s="402">
        <f>AL29</f>
        <v/>
      </c>
      <c r="AM22" s="402">
        <f>AM29</f>
        <v/>
      </c>
      <c r="AN22" s="402">
        <f>AN29</f>
        <v/>
      </c>
      <c r="AO22" s="402">
        <f>AO29</f>
        <v/>
      </c>
      <c r="AP22" s="402">
        <f>AP29</f>
        <v/>
      </c>
      <c r="AQ22" s="402">
        <f>AQ29</f>
        <v/>
      </c>
      <c r="AR22" s="402">
        <f>AR29</f>
        <v/>
      </c>
      <c r="AS22" s="402">
        <f>AS29</f>
        <v/>
      </c>
      <c r="AT22" s="402">
        <f>AT29</f>
        <v/>
      </c>
      <c r="AU22" s="402">
        <f>AU29</f>
        <v/>
      </c>
      <c r="AV22" s="402">
        <f>AV29</f>
        <v/>
      </c>
      <c r="AW22" s="402">
        <f>AW29</f>
        <v/>
      </c>
      <c r="AX22" s="402">
        <f>AX29</f>
        <v/>
      </c>
      <c r="AY22" s="402">
        <f>AY29</f>
        <v/>
      </c>
      <c r="AZ22" s="402">
        <f>AZ29</f>
        <v/>
      </c>
      <c r="BA22" s="402">
        <f>BA29</f>
        <v/>
      </c>
      <c r="BB22" s="402">
        <f>BB29</f>
        <v/>
      </c>
      <c r="BC22" s="402">
        <f>BC29</f>
        <v/>
      </c>
      <c r="BD22" s="402">
        <f>BD29</f>
        <v/>
      </c>
      <c r="BE22" s="402">
        <f>BE29</f>
        <v/>
      </c>
      <c r="BF22" s="402">
        <f>BF29</f>
        <v/>
      </c>
      <c r="BG22" s="402">
        <f>BG29</f>
        <v/>
      </c>
      <c r="BH22" s="402">
        <f>BH29</f>
        <v/>
      </c>
      <c r="BI22" s="402">
        <f>BI29</f>
        <v/>
      </c>
      <c r="BJ22" s="402">
        <f>BJ29</f>
        <v/>
      </c>
      <c r="BK22" s="402">
        <f>BK29</f>
        <v/>
      </c>
      <c r="BL22" s="402">
        <f>BL29</f>
        <v/>
      </c>
      <c r="BM22" s="402">
        <f>BM29</f>
        <v/>
      </c>
      <c r="BN22" s="402">
        <f>BN29</f>
        <v/>
      </c>
      <c r="BO22" s="402">
        <f>BO29</f>
        <v/>
      </c>
      <c r="BP22" s="402">
        <f>BP29</f>
        <v/>
      </c>
      <c r="BQ22" s="402">
        <f>BQ29</f>
        <v/>
      </c>
      <c r="BR22" s="402">
        <f>BR29</f>
        <v/>
      </c>
      <c r="BS22" s="402">
        <f>BS29</f>
        <v/>
      </c>
      <c r="BT22" s="402">
        <f>BT29</f>
        <v/>
      </c>
      <c r="BU22" s="402">
        <f>BU29</f>
        <v/>
      </c>
      <c r="BV22" s="402">
        <f>BV29</f>
        <v/>
      </c>
      <c r="BW22" s="402">
        <f>BW29</f>
        <v/>
      </c>
      <c r="BX22" s="402">
        <f>BX29</f>
        <v/>
      </c>
      <c r="BY22" s="402">
        <f>BY29</f>
        <v/>
      </c>
      <c r="BZ22" s="402">
        <f>BZ29</f>
        <v/>
      </c>
      <c r="CA22" s="402">
        <f>CA29</f>
        <v/>
      </c>
      <c r="CB22" s="402">
        <f>CB29</f>
        <v/>
      </c>
      <c r="CC22" s="402">
        <f>CC29</f>
        <v/>
      </c>
      <c r="CD22" s="402">
        <f>CD29</f>
        <v/>
      </c>
      <c r="CE22" s="402">
        <f>CE29</f>
        <v/>
      </c>
      <c r="CF22" s="402">
        <f>CF29</f>
        <v/>
      </c>
      <c r="CG22" s="402">
        <f>CG29</f>
        <v/>
      </c>
      <c r="CH22" s="402">
        <f>CH29</f>
        <v/>
      </c>
      <c r="CI22" s="402">
        <f>CI29</f>
        <v/>
      </c>
      <c r="CJ22" s="402">
        <f>CJ29</f>
        <v/>
      </c>
      <c r="CK22" s="402">
        <f>CK29</f>
        <v/>
      </c>
      <c r="CL22" s="402">
        <f>CL29</f>
        <v/>
      </c>
      <c r="CM22" s="402">
        <f>CM29</f>
        <v/>
      </c>
      <c r="CN22" s="402">
        <f>CN29</f>
        <v/>
      </c>
      <c r="CO22" s="402">
        <f>CO29</f>
        <v/>
      </c>
      <c r="CP22" s="402">
        <f>CP29</f>
        <v/>
      </c>
      <c r="CQ22" s="402">
        <f>CQ29</f>
        <v/>
      </c>
      <c r="CR22" s="402">
        <f>CR29</f>
        <v/>
      </c>
      <c r="CS22" s="402">
        <f>CS29</f>
        <v/>
      </c>
      <c r="CT22" s="402">
        <f>CT29</f>
        <v/>
      </c>
      <c r="CU22" s="402">
        <f>CU29</f>
        <v/>
      </c>
      <c r="CV22" s="402">
        <f>CV29</f>
        <v/>
      </c>
      <c r="CW22" s="402">
        <f>CW29</f>
        <v/>
      </c>
      <c r="CX22" s="402">
        <f>CX29</f>
        <v/>
      </c>
      <c r="CY22" s="402">
        <f>CY29</f>
        <v/>
      </c>
      <c r="CZ22" s="402">
        <f>CZ29</f>
        <v/>
      </c>
      <c r="DA22" s="402">
        <f>DA29</f>
        <v/>
      </c>
      <c r="DB22" s="402">
        <f>DB29</f>
        <v/>
      </c>
      <c r="DC22" s="402">
        <f>DC29</f>
        <v/>
      </c>
      <c r="DD22" s="402">
        <f>DD29</f>
        <v/>
      </c>
      <c r="DE22" s="402">
        <f>DE29</f>
        <v/>
      </c>
      <c r="DF22" s="402">
        <f>DF29</f>
        <v/>
      </c>
      <c r="DG22" s="403">
        <f>DG29</f>
        <v/>
      </c>
      <c r="DH22" s="403">
        <f>DH29</f>
        <v/>
      </c>
      <c r="DI22" s="403">
        <f>DI29</f>
        <v/>
      </c>
      <c r="DJ22" s="403">
        <f>DJ29</f>
        <v/>
      </c>
      <c r="DK22" s="403">
        <f>DK29</f>
        <v/>
      </c>
      <c r="DL22" s="403">
        <f>DL29</f>
        <v/>
      </c>
      <c r="DM22" s="403">
        <f>DM29</f>
        <v/>
      </c>
      <c r="DN22" s="403">
        <f>DN29</f>
        <v/>
      </c>
      <c r="DO22" s="403">
        <f>DO29</f>
        <v/>
      </c>
      <c r="DP22" s="403">
        <f>DP29</f>
        <v/>
      </c>
      <c r="DQ22" s="403">
        <f>DQ29</f>
        <v/>
      </c>
      <c r="DR22" s="403">
        <f>DR29</f>
        <v/>
      </c>
      <c r="DS22" s="403">
        <f>DS29</f>
        <v/>
      </c>
      <c r="DT22" s="403">
        <f>DT29</f>
        <v/>
      </c>
      <c r="DU22" s="403">
        <f>DU29</f>
        <v/>
      </c>
      <c r="DV22" s="403">
        <f>DV29</f>
        <v/>
      </c>
      <c r="DW22" s="403">
        <f>DW29</f>
        <v/>
      </c>
      <c r="DX22" s="403">
        <f>DX29</f>
        <v/>
      </c>
      <c r="DY22" s="403">
        <f>DY29</f>
        <v/>
      </c>
      <c r="DZ22" s="403">
        <f>DZ29</f>
        <v/>
      </c>
      <c r="EA22" s="403">
        <f>EA29</f>
        <v/>
      </c>
      <c r="EB22" s="403">
        <f>EB29</f>
        <v/>
      </c>
      <c r="EC22" s="403">
        <f>EC29</f>
        <v/>
      </c>
      <c r="ED22" s="403">
        <f>ED29</f>
        <v/>
      </c>
      <c r="EE22" s="403">
        <f>EE29</f>
        <v/>
      </c>
      <c r="EF22" s="403">
        <f>EF29</f>
        <v/>
      </c>
      <c r="EG22" s="403">
        <f>EG29</f>
        <v/>
      </c>
      <c r="EH22" s="403">
        <f>EH29</f>
        <v/>
      </c>
      <c r="EI22" s="403">
        <f>EI29</f>
        <v/>
      </c>
      <c r="EJ22" s="403">
        <f>EJ29</f>
        <v/>
      </c>
      <c r="EK22" s="403">
        <f>EK29</f>
        <v/>
      </c>
      <c r="EL22" s="403">
        <f>EL29</f>
        <v/>
      </c>
      <c r="EM22" s="403">
        <f>EM29</f>
        <v/>
      </c>
      <c r="EN22" s="403">
        <f>EN29</f>
        <v/>
      </c>
      <c r="EO22" s="403">
        <f>EO29</f>
        <v/>
      </c>
      <c r="EP22" s="403">
        <f>EP29</f>
        <v/>
      </c>
      <c r="EQ22" s="403">
        <f>EQ29</f>
        <v/>
      </c>
      <c r="ER22" s="403">
        <f>ER29</f>
        <v/>
      </c>
      <c r="ES22" s="403">
        <f>ES29</f>
        <v/>
      </c>
      <c r="ET22" s="403">
        <f>ET29</f>
        <v/>
      </c>
      <c r="EU22" s="403">
        <f>EU29</f>
        <v/>
      </c>
      <c r="EV22" s="403">
        <f>EV29</f>
        <v/>
      </c>
      <c r="EW22" s="403">
        <f>EW29</f>
        <v/>
      </c>
      <c r="EX22" s="403">
        <f>EX29</f>
        <v/>
      </c>
      <c r="EY22" s="403">
        <f>EY29</f>
        <v/>
      </c>
      <c r="EZ22" s="403">
        <f>EZ29</f>
        <v/>
      </c>
      <c r="FA22" s="403">
        <f>FA29</f>
        <v/>
      </c>
      <c r="FB22" s="403">
        <f>FB29</f>
        <v/>
      </c>
      <c r="FC22" s="403">
        <f>FC29</f>
        <v/>
      </c>
      <c r="FD22" s="403">
        <f>FD29</f>
        <v/>
      </c>
      <c r="FE22" s="403">
        <f>FE29</f>
        <v/>
      </c>
      <c r="FF22" s="403">
        <f>FF29</f>
        <v/>
      </c>
      <c r="FG22" s="403">
        <f>FG29</f>
        <v/>
      </c>
      <c r="FH22" s="403">
        <f>FH29</f>
        <v/>
      </c>
      <c r="FI22" s="403">
        <f>FI29</f>
        <v/>
      </c>
      <c r="FJ22" s="403">
        <f>FJ29</f>
        <v/>
      </c>
      <c r="FK22" s="403">
        <f>FK29</f>
        <v/>
      </c>
      <c r="FL22" s="403">
        <f>FL29</f>
        <v/>
      </c>
      <c r="FM22" s="403">
        <f>FM29</f>
        <v/>
      </c>
      <c r="FN22" s="403">
        <f>FN29</f>
        <v/>
      </c>
      <c r="FO22" s="403">
        <f>FO29</f>
        <v/>
      </c>
      <c r="FP22" s="403">
        <f>FP29</f>
        <v/>
      </c>
      <c r="FQ22" s="403">
        <f>FQ29</f>
        <v/>
      </c>
      <c r="FR22" s="403">
        <f>FR29</f>
        <v/>
      </c>
      <c r="FS22" s="403">
        <f>FS29</f>
        <v/>
      </c>
      <c r="FT22" s="403">
        <f>FT29</f>
        <v/>
      </c>
      <c r="FU22" s="403">
        <f>FU29</f>
        <v/>
      </c>
      <c r="FV22" s="403">
        <f>FV29</f>
        <v/>
      </c>
      <c r="FW22" s="403">
        <f>FW29</f>
        <v/>
      </c>
      <c r="FX22" s="403">
        <f>FX29</f>
        <v/>
      </c>
      <c r="FY22" s="403">
        <f>FY29</f>
        <v/>
      </c>
      <c r="FZ22" s="403">
        <f>FZ29</f>
        <v/>
      </c>
      <c r="GA22" s="403">
        <f>GA29</f>
        <v/>
      </c>
      <c r="GB22" s="403">
        <f>GB29</f>
        <v/>
      </c>
      <c r="GC22" s="403">
        <f>GC29</f>
        <v/>
      </c>
      <c r="GD22" s="403">
        <f>GD29</f>
        <v/>
      </c>
      <c r="GE22" s="403">
        <f>GE29</f>
        <v/>
      </c>
      <c r="GF22" s="403">
        <f>GF29</f>
        <v/>
      </c>
      <c r="GG22" s="403">
        <f>GG29</f>
        <v/>
      </c>
      <c r="GH22" s="403">
        <f>GH29</f>
        <v/>
      </c>
      <c r="GI22" s="403">
        <f>GI29</f>
        <v/>
      </c>
      <c r="GJ22" s="403">
        <f>GJ29</f>
        <v/>
      </c>
      <c r="GK22" s="403">
        <f>GK29</f>
        <v/>
      </c>
      <c r="GL22" s="403">
        <f>GL29</f>
        <v/>
      </c>
      <c r="GM22" s="403">
        <f>GM29</f>
        <v/>
      </c>
      <c r="GN22" s="403">
        <f>GN29</f>
        <v/>
      </c>
      <c r="GO22" s="403">
        <f>GO29</f>
        <v/>
      </c>
      <c r="GP22" s="403">
        <f>GP29</f>
        <v/>
      </c>
      <c r="GQ22" s="403">
        <f>GQ29</f>
        <v/>
      </c>
      <c r="GR22" s="403">
        <f>GR29</f>
        <v/>
      </c>
      <c r="GS22" s="403">
        <f>GS29</f>
        <v/>
      </c>
      <c r="GT22" s="403">
        <f>GT29</f>
        <v/>
      </c>
      <c r="GU22" s="403">
        <f>GU29</f>
        <v/>
      </c>
      <c r="GV22" s="403">
        <f>GV29</f>
        <v/>
      </c>
      <c r="GW22" s="403">
        <f>GW29</f>
        <v/>
      </c>
      <c r="GX22" s="403">
        <f>GX29</f>
        <v/>
      </c>
    </row>
    <row r="23"/>
    <row r="24">
      <c r="A24" t="n">
        <v>17</v>
      </c>
      <c r="B24" t="n">
        <v>0</v>
      </c>
      <c r="C24">
        <f>ROW(SmtRes!A5)</f>
        <v/>
      </c>
      <c r="D24">
        <f>ROW(EtalonRes!A5)</f>
        <v/>
      </c>
      <c r="E24" t="inlineStr">
        <is>
          <t>1</t>
        </is>
      </c>
      <c r="F24" t="inlineStr">
        <is>
          <t>65-10-1</t>
        </is>
      </c>
      <c r="G24" t="inlineStr">
        <is>
          <t>Очистка канализационной сети внутренней</t>
        </is>
      </c>
      <c r="H24" t="inlineStr">
        <is>
          <t>100 м трубопровода</t>
        </is>
      </c>
      <c r="I24">
        <f>ROUND(ROUND(80/100,4),7)</f>
        <v/>
      </c>
      <c r="J24" t="n">
        <v>0</v>
      </c>
      <c r="K24">
        <f>ROUND(ROUND(80/100,4),7)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78869116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403.3</v>
      </c>
      <c r="AL24" t="n">
        <v>139.36</v>
      </c>
      <c r="AM24" t="n">
        <v>0.87</v>
      </c>
      <c r="AN24" t="n">
        <v>0</v>
      </c>
      <c r="AO24" t="n">
        <v>263.07</v>
      </c>
      <c r="AP24" t="n">
        <v>0</v>
      </c>
      <c r="AQ24" t="n">
        <v>32.2</v>
      </c>
      <c r="AR24" t="n">
        <v>0</v>
      </c>
      <c r="AS24" t="n">
        <v>0</v>
      </c>
      <c r="AT24" t="n">
        <v>103</v>
      </c>
      <c r="AU24" t="n">
        <v>52</v>
      </c>
      <c r="AV24" t="n">
        <v>1</v>
      </c>
      <c r="AW24" t="n">
        <v>1</v>
      </c>
      <c r="AZ24" t="n">
        <v>1</v>
      </c>
      <c r="BA24" t="n">
        <v>52.25</v>
      </c>
      <c r="BB24" t="n">
        <v>25.03</v>
      </c>
      <c r="BC24" t="n">
        <v>11.85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65-10-1, приказ Минстроя России №675/пр от 28.02.2017 № 263/пр</t>
        </is>
      </c>
      <c r="BM24" t="n">
        <v>65007</v>
      </c>
      <c r="BN24" t="n">
        <v>0</v>
      </c>
      <c r="BO24" t="inlineStr">
        <is>
          <t>65-10-1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103</v>
      </c>
      <c r="CA24" t="n">
        <v>52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78726000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65007</v>
      </c>
      <c r="EL24" t="inlineStr">
        <is>
          <t>Внутренние санитарнотехнические работы: смена труб, санприборов, запорной арматуры и другое</t>
        </is>
      </c>
      <c r="EM24" t="inlineStr">
        <is>
          <t>рФЕР-65</t>
        </is>
      </c>
      <c r="EO24" t="inlineStr"/>
      <c r="EQ24" t="n">
        <v>0</v>
      </c>
      <c r="ER24" t="n">
        <v>403.3</v>
      </c>
      <c r="ES24" t="n">
        <v>139.36</v>
      </c>
      <c r="ET24" t="n">
        <v>0.87</v>
      </c>
      <c r="EU24" t="n">
        <v>0</v>
      </c>
      <c r="EV24" t="n">
        <v>263.07</v>
      </c>
      <c r="EW24" t="n">
        <v>32.2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103</v>
      </c>
      <c r="FY24" t="n">
        <v>52</v>
      </c>
      <c r="GA24" t="inlineStr"/>
      <c r="GD24" t="n">
        <v>1</v>
      </c>
      <c r="GF24" t="n">
        <v>-66904957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Пр/812-099.2-1</t>
        </is>
      </c>
      <c r="HO24" t="inlineStr">
        <is>
          <t>Пр/774-099.2</t>
        </is>
      </c>
      <c r="HP24" t="inlineStr">
        <is>
          <t>Внутренние санитарнотехнические работы: смена труб, санприборов, запорной арматуры и другое</t>
        </is>
      </c>
      <c r="HQ24" t="inlineStr">
        <is>
          <t>Внутренние санитарнотехнические работы: смена труб, санприборов, запорной арматуры и другое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ROW(SmtRes!A8)</f>
        <v/>
      </c>
      <c r="D25">
        <f>ROW(EtalonRes!A7)</f>
        <v/>
      </c>
      <c r="E25" t="inlineStr">
        <is>
          <t>2</t>
        </is>
      </c>
      <c r="F25" t="inlineStr">
        <is>
          <t>67-5-2</t>
        </is>
      </c>
      <c r="G25" t="inlineStr">
        <is>
          <t>Смена ламп люминесцентных</t>
        </is>
      </c>
      <c r="H25" t="inlineStr">
        <is>
          <t>100 шт.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78869116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970.5700000000001</v>
      </c>
      <c r="AL25" t="n">
        <v>852</v>
      </c>
      <c r="AM25" t="n">
        <v>0</v>
      </c>
      <c r="AN25" t="n">
        <v>0</v>
      </c>
      <c r="AO25" t="n">
        <v>118.57</v>
      </c>
      <c r="AP25" t="n">
        <v>0</v>
      </c>
      <c r="AQ25" t="n">
        <v>13.9</v>
      </c>
      <c r="AR25" t="n">
        <v>0</v>
      </c>
      <c r="AS25" t="n">
        <v>0</v>
      </c>
      <c r="AT25" t="n">
        <v>91</v>
      </c>
      <c r="AU25" t="n">
        <v>48</v>
      </c>
      <c r="AV25" t="n">
        <v>1</v>
      </c>
      <c r="AW25" t="n">
        <v>1</v>
      </c>
      <c r="AZ25" t="n">
        <v>1</v>
      </c>
      <c r="BA25" t="n">
        <v>52.25</v>
      </c>
      <c r="BB25" t="n">
        <v>1</v>
      </c>
      <c r="BC25" t="n">
        <v>4.14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ТЕРр Московской обл., 67-5-2, приказ Минстроя России №675/пр от 28.02.2017 № 263/пр</t>
        </is>
      </c>
      <c r="BM25" t="n">
        <v>67001</v>
      </c>
      <c r="BN25" t="n">
        <v>0</v>
      </c>
      <c r="BO25" t="inlineStr">
        <is>
          <t>67-5-2</t>
        </is>
      </c>
      <c r="BP25" t="n">
        <v>1</v>
      </c>
      <c r="BQ25" t="n">
        <v>6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91</v>
      </c>
      <c r="CA25" t="n">
        <v>48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1010</v>
      </c>
      <c r="DV25" t="inlineStr">
        <is>
          <t>100 шт.</t>
        </is>
      </c>
      <c r="DW25" t="inlineStr">
        <is>
          <t>100 шт.</t>
        </is>
      </c>
      <c r="DX25" t="n">
        <v>100</v>
      </c>
      <c r="DZ25" t="inlineStr"/>
      <c r="EA25" t="inlineStr"/>
      <c r="EB25" t="inlineStr"/>
      <c r="EC25" t="inlineStr"/>
      <c r="EE25" t="n">
        <v>78726030</v>
      </c>
      <c r="EF25" t="n">
        <v>6</v>
      </c>
      <c r="EG25" t="inlineStr">
        <is>
          <t>Ремонтно-строительные работы</t>
        </is>
      </c>
      <c r="EH25" t="n">
        <v>101</v>
      </c>
      <c r="EI25" t="inlineStr">
        <is>
          <t>Электромонтажные работы</t>
        </is>
      </c>
      <c r="EJ25" t="n">
        <v>1</v>
      </c>
      <c r="EK25" t="n">
        <v>67001</v>
      </c>
      <c r="EL25" t="inlineStr">
        <is>
          <t>Электромонтажные работы</t>
        </is>
      </c>
      <c r="EM25" t="inlineStr">
        <is>
          <t>рФЕР-67</t>
        </is>
      </c>
      <c r="EO25" t="inlineStr"/>
      <c r="EQ25" t="n">
        <v>0</v>
      </c>
      <c r="ER25" t="n">
        <v>970.5700000000001</v>
      </c>
      <c r="ES25" t="n">
        <v>852</v>
      </c>
      <c r="ET25" t="n">
        <v>0</v>
      </c>
      <c r="EU25" t="n">
        <v>0</v>
      </c>
      <c r="EV25" t="n">
        <v>118.57</v>
      </c>
      <c r="EW25" t="n">
        <v>13.9</v>
      </c>
      <c r="EX25" t="n">
        <v>0</v>
      </c>
      <c r="EY25" t="n">
        <v>0</v>
      </c>
      <c r="FQ25" t="n">
        <v>0</v>
      </c>
      <c r="FR25" t="n">
        <v>0</v>
      </c>
      <c r="FS25" t="n">
        <v>0</v>
      </c>
      <c r="FX25" t="n">
        <v>91</v>
      </c>
      <c r="FY25" t="n">
        <v>48</v>
      </c>
      <c r="GA25" t="inlineStr"/>
      <c r="GD25" t="n">
        <v>1</v>
      </c>
      <c r="GF25" t="n">
        <v>1400342257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Пр/812-101.0-1</t>
        </is>
      </c>
      <c r="HO25" t="inlineStr">
        <is>
          <t>Пр/774-101.0</t>
        </is>
      </c>
      <c r="HP25" t="inlineStr">
        <is>
          <t>Электромонтажные работы</t>
        </is>
      </c>
      <c r="HQ25" t="inlineStr">
        <is>
          <t>Электромонтажные работы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8</v>
      </c>
      <c r="E26" t="inlineStr">
        <is>
          <t>2,1</t>
        </is>
      </c>
      <c r="F26" t="inlineStr">
        <is>
          <t>509-6744</t>
        </is>
      </c>
      <c r="G26" t="inlineStr">
        <is>
          <t>Лампы люминесцентные компактные энергосберегающие с цоколем Е27 мощностью 55 Вт</t>
        </is>
      </c>
      <c r="H26" t="inlineStr">
        <is>
          <t>шт.</t>
        </is>
      </c>
      <c r="I26">
        <f>I25*J26</f>
        <v/>
      </c>
      <c r="J26" t="n">
        <v>100</v>
      </c>
      <c r="K26" t="n">
        <v>100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78869116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140.69</v>
      </c>
      <c r="AL26" t="n">
        <v>140.69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91</v>
      </c>
      <c r="AU26" t="n">
        <v>48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1.69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509-6744, приказ Минстроя России №675/пр от 28.02.2017 № 258/пр</t>
        </is>
      </c>
      <c r="BM26" t="n">
        <v>67001</v>
      </c>
      <c r="BN26" t="n">
        <v>0</v>
      </c>
      <c r="BO26" t="inlineStr">
        <is>
          <t>509-6744</t>
        </is>
      </c>
      <c r="BP26" t="n">
        <v>1</v>
      </c>
      <c r="BQ26" t="n">
        <v>6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91</v>
      </c>
      <c r="CA26" t="n">
        <v>48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шт.</t>
        </is>
      </c>
      <c r="DW26" t="inlineStr">
        <is>
          <t>шт.</t>
        </is>
      </c>
      <c r="DX26" t="n">
        <v>1</v>
      </c>
      <c r="DZ26" t="inlineStr"/>
      <c r="EA26" t="inlineStr"/>
      <c r="EB26" t="inlineStr"/>
      <c r="EC26" t="inlineStr"/>
      <c r="EE26" t="n">
        <v>78726030</v>
      </c>
      <c r="EF26" t="n">
        <v>6</v>
      </c>
      <c r="EG26" t="inlineStr">
        <is>
          <t>Ремонтно-строительные работы</t>
        </is>
      </c>
      <c r="EH26" t="n">
        <v>101</v>
      </c>
      <c r="EI26" t="inlineStr">
        <is>
          <t>Электромонтажные работы</t>
        </is>
      </c>
      <c r="EJ26" t="n">
        <v>1</v>
      </c>
      <c r="EK26" t="n">
        <v>67001</v>
      </c>
      <c r="EL26" t="inlineStr">
        <is>
          <t>Электромонтажные работы</t>
        </is>
      </c>
      <c r="EM26" t="inlineStr">
        <is>
          <t>рФЕР-67</t>
        </is>
      </c>
      <c r="EO26" t="inlineStr"/>
      <c r="EQ26" t="n">
        <v>0</v>
      </c>
      <c r="ER26" t="n">
        <v>140.69</v>
      </c>
      <c r="ES26" t="n">
        <v>140.69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91</v>
      </c>
      <c r="FY26" t="n">
        <v>48</v>
      </c>
      <c r="GA26" t="inlineStr"/>
      <c r="GD26" t="n">
        <v>1</v>
      </c>
      <c r="GF26" t="n">
        <v>-228955380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Пр/812-101.0-1</t>
        </is>
      </c>
      <c r="HO26" t="inlineStr">
        <is>
          <t>Пр/774-101.0</t>
        </is>
      </c>
      <c r="HP26" t="inlineStr">
        <is>
          <t>Электромонтажные работы</t>
        </is>
      </c>
      <c r="HQ26" t="inlineStr">
        <is>
          <t>Электромонтажные работы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ROW(SmtRes!A14)</f>
        <v/>
      </c>
      <c r="D27">
        <f>ROW(EtalonRes!A13)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ROUND(ROUND(120/100,4),7)</f>
        <v/>
      </c>
      <c r="J27" t="n">
        <v>0</v>
      </c>
      <c r="K27">
        <f>ROUND(ROUND(120/100,4),7)</f>
        <v/>
      </c>
      <c r="O27">
        <f>ROUND(CP27,0)</f>
        <v/>
      </c>
      <c r="P27">
        <f>ROUND(CQ27*I27,0)</f>
        <v/>
      </c>
      <c r="Q27">
        <f>(ROUND((ROUND((((ET27*ROUND(5,7)))*I27),0)*BB27),0)+ROUND((ROUND(((AE27-((EU27*ROUND(5,7))))*I27),0)*BS27),0))</f>
        <v/>
      </c>
      <c r="R27">
        <f>(ROUND((ROUND((((EU27*ROUND(5,7)))*I27),0)*BS27),0)+ROUND((ROUND(((AE27-((EU27*ROUND(5,7))))*I27),0)*BS27),0))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78869116</v>
      </c>
      <c r="AB27">
        <f>ROUND((AC27+AD27+AF27),2)</f>
        <v/>
      </c>
      <c r="AC27">
        <f>ROUND(((ES27*ROUND(5,7))),2)</f>
        <v/>
      </c>
      <c r="AD27">
        <f>ROUND(((((ET27*ROUND(5,7)))-((EU27*ROUND(5,7))))+AE27),2)</f>
        <v/>
      </c>
      <c r="AE27">
        <f>ROUND(((EU27*ROUND(5,7))),2)</f>
        <v/>
      </c>
      <c r="AF27">
        <f>ROUND(((EV27*ROUND(5,7))),2)</f>
        <v/>
      </c>
      <c r="AG27">
        <f>ROUND((AP27),2)</f>
        <v/>
      </c>
      <c r="AH27">
        <f>((EW27*ROUND(5,7)))</f>
        <v/>
      </c>
      <c r="AI27">
        <f>((EX27*ROUND(5,7)))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(ROUND((ROUND((((ET27*ROUND(5,7)))*1),0)*BB27),0)+ROUND((ROUND(((AE27-((EU27*ROUND(5,7))))*1),0)*BS27),0))</f>
        <v/>
      </c>
      <c r="CS27">
        <f>(ROUND((ROUND((((EU27*ROUND(5,7)))*1),0)*BS27),0)+ROUND((ROUND(((AE27-((EU27*ROUND(5,7))))*1),0)*BS27),0))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>
        <is>
          <t>)*5</t>
        </is>
      </c>
      <c r="DE27" t="inlineStr">
        <is>
          <t>)*5</t>
        </is>
      </c>
      <c r="DF27" t="inlineStr">
        <is>
          <t>)*5</t>
        </is>
      </c>
      <c r="DG27" t="inlineStr">
        <is>
          <t>)*5</t>
        </is>
      </c>
      <c r="DH27" t="inlineStr"/>
      <c r="DI27" t="inlineStr">
        <is>
          <t>)*5</t>
        </is>
      </c>
      <c r="DJ27" t="inlineStr">
        <is>
          <t>)*5</t>
        </is>
      </c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402" t="n">
        <v>51</v>
      </c>
      <c r="B29" s="402">
        <f>B20</f>
        <v/>
      </c>
      <c r="C29" s="402">
        <f>A20</f>
        <v/>
      </c>
      <c r="D29" s="402">
        <f>ROW(A20)</f>
        <v/>
      </c>
      <c r="E29" s="402" t="n"/>
      <c r="F29" s="402">
        <f>IF(F20&lt;&gt;"",F20,"")</f>
        <v/>
      </c>
      <c r="G29" s="402">
        <f>IF(G20&lt;&gt;"",G20,"")</f>
        <v/>
      </c>
      <c r="H29" s="402" t="n">
        <v>0</v>
      </c>
      <c r="I29" s="402" t="n"/>
      <c r="J29" s="402" t="n"/>
      <c r="K29" s="402" t="n"/>
      <c r="L29" s="402" t="n"/>
      <c r="M29" s="402" t="n"/>
      <c r="N29" s="402" t="n"/>
      <c r="O29" s="402" t="n">
        <v>0</v>
      </c>
      <c r="P29" s="402" t="n">
        <v>0</v>
      </c>
      <c r="Q29" s="402" t="n">
        <v>0</v>
      </c>
      <c r="R29" s="402" t="n">
        <v>0</v>
      </c>
      <c r="S29" s="402" t="n">
        <v>0</v>
      </c>
      <c r="T29" s="402" t="n">
        <v>0</v>
      </c>
      <c r="U29" s="402" t="n">
        <v>0</v>
      </c>
      <c r="V29" s="402" t="n">
        <v>0</v>
      </c>
      <c r="W29" s="402" t="n">
        <v>0</v>
      </c>
      <c r="X29" s="402" t="n">
        <v>0</v>
      </c>
      <c r="Y29" s="402" t="n">
        <v>0</v>
      </c>
      <c r="Z29" s="402" t="n"/>
      <c r="AA29" s="402" t="n"/>
      <c r="AB29" s="402" t="n"/>
      <c r="AC29" s="402" t="n"/>
      <c r="AD29" s="402" t="n"/>
      <c r="AE29" s="402" t="n"/>
      <c r="AF29" s="402" t="n"/>
      <c r="AG29" s="402" t="n"/>
      <c r="AH29" s="402" t="n"/>
      <c r="AI29" s="402" t="n"/>
      <c r="AJ29" s="402" t="n"/>
      <c r="AK29" s="402" t="n"/>
      <c r="AL29" s="402" t="n"/>
      <c r="AM29" s="402" t="n"/>
      <c r="AN29" s="402" t="n"/>
      <c r="AO29" s="402">
        <f>ROUND(BX29,0)</f>
        <v/>
      </c>
      <c r="AP29" s="402">
        <f>ROUND(BY29,0)</f>
        <v/>
      </c>
      <c r="AQ29" s="402">
        <f>ROUND(BZ29,0)</f>
        <v/>
      </c>
      <c r="AR29" s="402">
        <f>ROUND(CA29,0)</f>
        <v/>
      </c>
      <c r="AS29" s="402">
        <f>ROUND(CB29,0)</f>
        <v/>
      </c>
      <c r="AT29" s="402">
        <f>ROUND(CC29,0)</f>
        <v/>
      </c>
      <c r="AU29" s="402">
        <f>ROUND(CD29,0)</f>
        <v/>
      </c>
      <c r="AV29" s="402">
        <f>ROUND(CE29,0)</f>
        <v/>
      </c>
      <c r="AW29" s="402">
        <f>ROUND(CF29,0)</f>
        <v/>
      </c>
      <c r="AX29" s="402">
        <f>ROUND(CG29,0)</f>
        <v/>
      </c>
      <c r="AY29" s="402">
        <f>ROUND(CH29,0)</f>
        <v/>
      </c>
      <c r="AZ29" s="402">
        <f>ROUND(CI29,0)</f>
        <v/>
      </c>
      <c r="BA29" s="402">
        <f>ROUND(CJ29,0)</f>
        <v/>
      </c>
      <c r="BB29" s="402">
        <f>ROUND(CK29,0)</f>
        <v/>
      </c>
      <c r="BC29" s="402">
        <f>ROUND(CL29,0)</f>
        <v/>
      </c>
      <c r="BD29" s="402">
        <f>ROUND(CM29,0)</f>
        <v/>
      </c>
      <c r="BE29" s="402" t="n"/>
      <c r="BF29" s="402" t="n"/>
      <c r="BG29" s="402" t="n"/>
      <c r="BH29" s="402" t="n"/>
      <c r="BI29" s="402" t="n"/>
      <c r="BJ29" s="402" t="n"/>
      <c r="BK29" s="402" t="n"/>
      <c r="BL29" s="402" t="n"/>
      <c r="BM29" s="402" t="n"/>
      <c r="BN29" s="402" t="n"/>
      <c r="BO29" s="402" t="n"/>
      <c r="BP29" s="402" t="n"/>
      <c r="BQ29" s="402" t="n"/>
      <c r="BR29" s="402" t="n"/>
      <c r="BS29" s="402" t="n"/>
      <c r="BT29" s="402" t="n"/>
      <c r="BU29" s="402" t="n"/>
      <c r="BV29" s="402" t="n"/>
      <c r="BW29" s="402" t="n"/>
      <c r="BX29" s="402" t="n"/>
      <c r="BY29" s="402" t="n"/>
      <c r="BZ29" s="402" t="n"/>
      <c r="CA29" s="402" t="n"/>
      <c r="CB29" s="402" t="n"/>
      <c r="CC29" s="402" t="n"/>
      <c r="CD29" s="402" t="n"/>
      <c r="CE29" s="402" t="n"/>
      <c r="CF29" s="402" t="n"/>
      <c r="CG29" s="402" t="n"/>
      <c r="CH29" s="402" t="n"/>
      <c r="CI29" s="402" t="n"/>
      <c r="CJ29" s="402" t="n"/>
      <c r="CK29" s="402" t="n"/>
      <c r="CL29" s="402" t="n"/>
      <c r="CM29" s="402" t="n"/>
      <c r="CN29" s="402" t="n"/>
      <c r="CO29" s="402" t="n"/>
      <c r="CP29" s="402" t="n"/>
      <c r="CQ29" s="402" t="n"/>
      <c r="CR29" s="402" t="n"/>
      <c r="CS29" s="402" t="n"/>
      <c r="CT29" s="402" t="n"/>
      <c r="CU29" s="402" t="n"/>
      <c r="CV29" s="402" t="n"/>
      <c r="CW29" s="402" t="n"/>
      <c r="CX29" s="402" t="n"/>
      <c r="CY29" s="402" t="n"/>
      <c r="CZ29" s="402" t="n"/>
      <c r="DA29" s="402" t="n"/>
      <c r="DB29" s="402" t="n"/>
      <c r="DC29" s="402" t="n"/>
      <c r="DD29" s="402" t="n"/>
      <c r="DE29" s="402" t="n"/>
      <c r="DF29" s="402" t="n"/>
      <c r="DG29" s="403" t="n"/>
      <c r="DH29" s="403" t="n"/>
      <c r="DI29" s="403" t="n"/>
      <c r="DJ29" s="403" t="n"/>
      <c r="DK29" s="403" t="n"/>
      <c r="DL29" s="403" t="n"/>
      <c r="DM29" s="403" t="n"/>
      <c r="DN29" s="403" t="n"/>
      <c r="DO29" s="403" t="n"/>
      <c r="DP29" s="403" t="n"/>
      <c r="DQ29" s="403" t="n"/>
      <c r="DR29" s="403" t="n"/>
      <c r="DS29" s="403" t="n"/>
      <c r="DT29" s="403" t="n"/>
      <c r="DU29" s="403" t="n"/>
      <c r="DV29" s="403" t="n"/>
      <c r="DW29" s="403" t="n"/>
      <c r="DX29" s="403" t="n"/>
      <c r="DY29" s="403" t="n"/>
      <c r="DZ29" s="403" t="n"/>
      <c r="EA29" s="403" t="n"/>
      <c r="EB29" s="403" t="n"/>
      <c r="EC29" s="403" t="n"/>
      <c r="ED29" s="403" t="n"/>
      <c r="EE29" s="403" t="n"/>
      <c r="EF29" s="403" t="n"/>
      <c r="EG29" s="403" t="n"/>
      <c r="EH29" s="403" t="n"/>
      <c r="EI29" s="403" t="n"/>
      <c r="EJ29" s="403" t="n"/>
      <c r="EK29" s="403" t="n"/>
      <c r="EL29" s="403" t="n"/>
      <c r="EM29" s="403" t="n"/>
      <c r="EN29" s="403" t="n"/>
      <c r="EO29" s="403" t="n"/>
      <c r="EP29" s="403" t="n"/>
      <c r="EQ29" s="403" t="n"/>
      <c r="ER29" s="403" t="n"/>
      <c r="ES29" s="403" t="n"/>
      <c r="ET29" s="403" t="n"/>
      <c r="EU29" s="403" t="n"/>
      <c r="EV29" s="403" t="n"/>
      <c r="EW29" s="403" t="n"/>
      <c r="EX29" s="403" t="n"/>
      <c r="EY29" s="403" t="n"/>
      <c r="EZ29" s="403" t="n"/>
      <c r="FA29" s="403" t="n"/>
      <c r="FB29" s="403" t="n"/>
      <c r="FC29" s="403" t="n"/>
      <c r="FD29" s="403" t="n"/>
      <c r="FE29" s="403" t="n"/>
      <c r="FF29" s="403" t="n"/>
      <c r="FG29" s="403" t="n"/>
      <c r="FH29" s="403" t="n"/>
      <c r="FI29" s="403" t="n"/>
      <c r="FJ29" s="403" t="n"/>
      <c r="FK29" s="403" t="n"/>
      <c r="FL29" s="403" t="n"/>
      <c r="FM29" s="403" t="n"/>
      <c r="FN29" s="403" t="n"/>
      <c r="FO29" s="403" t="n"/>
      <c r="FP29" s="403" t="n"/>
      <c r="FQ29" s="403" t="n"/>
      <c r="FR29" s="403" t="n"/>
      <c r="FS29" s="403" t="n"/>
      <c r="FT29" s="403" t="n"/>
      <c r="FU29" s="403" t="n"/>
      <c r="FV29" s="403" t="n"/>
      <c r="FW29" s="403" t="n"/>
      <c r="FX29" s="403" t="n"/>
      <c r="FY29" s="403" t="n"/>
      <c r="FZ29" s="403" t="n"/>
      <c r="GA29" s="403" t="n"/>
      <c r="GB29" s="403" t="n"/>
      <c r="GC29" s="403" t="n"/>
      <c r="GD29" s="403" t="n"/>
      <c r="GE29" s="403" t="n"/>
      <c r="GF29" s="403" t="n"/>
      <c r="GG29" s="403" t="n"/>
      <c r="GH29" s="403" t="n"/>
      <c r="GI29" s="403" t="n"/>
      <c r="GJ29" s="403" t="n"/>
      <c r="GK29" s="403" t="n"/>
      <c r="GL29" s="403" t="n"/>
      <c r="GM29" s="403" t="n"/>
      <c r="GN29" s="403" t="n"/>
      <c r="GO29" s="403" t="n"/>
      <c r="GP29" s="403" t="n"/>
      <c r="GQ29" s="403" t="n"/>
      <c r="GR29" s="403" t="n"/>
      <c r="GS29" s="403" t="n"/>
      <c r="GT29" s="403" t="n"/>
      <c r="GU29" s="403" t="n"/>
      <c r="GV29" s="403" t="n"/>
      <c r="GW29" s="403" t="n"/>
      <c r="GX29" s="403" t="n">
        <v>0</v>
      </c>
    </row>
    <row r="30"/>
    <row r="31">
      <c r="A31" s="404" t="n">
        <v>50</v>
      </c>
      <c r="B31" s="404" t="n">
        <v>0</v>
      </c>
      <c r="C31" s="404" t="n">
        <v>0</v>
      </c>
      <c r="D31" s="404" t="n">
        <v>1</v>
      </c>
      <c r="E31" s="404" t="n">
        <v>201</v>
      </c>
      <c r="F31" s="404">
        <f>ROUND(Source!O29,O31)</f>
        <v/>
      </c>
      <c r="G31" s="404" t="inlineStr">
        <is>
          <t>ПЗ</t>
        </is>
      </c>
      <c r="H31" s="404" t="inlineStr">
        <is>
          <t>Прямые затраты</t>
        </is>
      </c>
      <c r="I31" s="404" t="n"/>
      <c r="J31" s="404" t="n"/>
      <c r="K31" s="404" t="n">
        <v>201</v>
      </c>
      <c r="L31" s="404" t="n">
        <v>1</v>
      </c>
      <c r="M31" s="404" t="n">
        <v>3</v>
      </c>
      <c r="N31" s="404" t="inlineStr"/>
      <c r="O31" s="404" t="n">
        <v>0</v>
      </c>
      <c r="P31" s="404" t="n"/>
      <c r="Q31" s="404" t="n"/>
      <c r="R31" s="404" t="n"/>
      <c r="S31" s="404" t="n"/>
      <c r="T31" s="404" t="n"/>
      <c r="U31" s="404" t="n"/>
      <c r="V31" s="404" t="n"/>
      <c r="W31" s="404" t="n">
        <v>0</v>
      </c>
      <c r="X31" s="404" t="n">
        <v>1</v>
      </c>
      <c r="Y31" s="404" t="n">
        <v>0</v>
      </c>
      <c r="Z31" s="404" t="n"/>
      <c r="AA31" s="404" t="n"/>
      <c r="AB31" s="404" t="n"/>
    </row>
    <row r="32">
      <c r="A32" s="404" t="n">
        <v>50</v>
      </c>
      <c r="B32" s="404" t="n">
        <v>0</v>
      </c>
      <c r="C32" s="404" t="n">
        <v>0</v>
      </c>
      <c r="D32" s="404" t="n">
        <v>1</v>
      </c>
      <c r="E32" s="404" t="n">
        <v>202</v>
      </c>
      <c r="F32" s="404">
        <f>ROUND(Source!P29,O32)</f>
        <v/>
      </c>
      <c r="G32" s="404" t="inlineStr">
        <is>
          <t>СтМатОб</t>
        </is>
      </c>
      <c r="H32" s="404" t="inlineStr">
        <is>
          <t>Стоимость материальных ресурсов (всего)</t>
        </is>
      </c>
      <c r="I32" s="404" t="n"/>
      <c r="J32" s="404" t="n"/>
      <c r="K32" s="404" t="n">
        <v>202</v>
      </c>
      <c r="L32" s="404" t="n">
        <v>2</v>
      </c>
      <c r="M32" s="404" t="n">
        <v>3</v>
      </c>
      <c r="N32" s="404" t="inlineStr"/>
      <c r="O32" s="404" t="n">
        <v>0</v>
      </c>
      <c r="P32" s="404" t="n"/>
      <c r="Q32" s="404" t="n"/>
      <c r="R32" s="404" t="n"/>
      <c r="S32" s="404" t="n"/>
      <c r="T32" s="404" t="n"/>
      <c r="U32" s="404" t="n"/>
      <c r="V32" s="404" t="n"/>
      <c r="W32" s="404" t="n">
        <v>0</v>
      </c>
      <c r="X32" s="404" t="n">
        <v>1</v>
      </c>
      <c r="Y32" s="404" t="n">
        <v>0</v>
      </c>
      <c r="Z32" s="404" t="n"/>
      <c r="AA32" s="404" t="n"/>
      <c r="AB32" s="404" t="n"/>
    </row>
    <row r="33">
      <c r="A33" s="404" t="n">
        <v>50</v>
      </c>
      <c r="B33" s="404" t="n">
        <v>0</v>
      </c>
      <c r="C33" s="404" t="n">
        <v>0</v>
      </c>
      <c r="D33" s="404" t="n">
        <v>1</v>
      </c>
      <c r="E33" s="404" t="n">
        <v>222</v>
      </c>
      <c r="F33" s="404">
        <f>ROUND(Source!AO29,O33)</f>
        <v/>
      </c>
      <c r="G33" s="404" t="inlineStr">
        <is>
          <t>СтМатОбЗак</t>
        </is>
      </c>
      <c r="H33" s="404" t="inlineStr">
        <is>
          <t>Стоимость материалов и оборудования заказчика</t>
        </is>
      </c>
      <c r="I33" s="404" t="n"/>
      <c r="J33" s="404" t="n"/>
      <c r="K33" s="404" t="n">
        <v>222</v>
      </c>
      <c r="L33" s="404" t="n">
        <v>3</v>
      </c>
      <c r="M33" s="404" t="n">
        <v>3</v>
      </c>
      <c r="N33" s="404" t="inlineStr"/>
      <c r="O33" s="404" t="n">
        <v>0</v>
      </c>
      <c r="P33" s="404" t="n"/>
      <c r="Q33" s="404" t="n"/>
      <c r="R33" s="404" t="n"/>
      <c r="S33" s="404" t="n"/>
      <c r="T33" s="404" t="n"/>
      <c r="U33" s="404" t="n"/>
      <c r="V33" s="404" t="n"/>
      <c r="W33" s="404" t="n">
        <v>0</v>
      </c>
      <c r="X33" s="404" t="n">
        <v>1</v>
      </c>
      <c r="Y33" s="404" t="n">
        <v>0</v>
      </c>
      <c r="Z33" s="404" t="n"/>
      <c r="AA33" s="404" t="n"/>
      <c r="AB33" s="404" t="n"/>
    </row>
    <row r="34">
      <c r="A34" s="404" t="n">
        <v>50</v>
      </c>
      <c r="B34" s="404" t="n">
        <v>0</v>
      </c>
      <c r="C34" s="404" t="n">
        <v>0</v>
      </c>
      <c r="D34" s="404" t="n">
        <v>1</v>
      </c>
      <c r="E34" s="404" t="n">
        <v>225</v>
      </c>
      <c r="F34" s="404">
        <f>ROUND(Source!AV29,O34)</f>
        <v/>
      </c>
      <c r="G34" s="404" t="inlineStr">
        <is>
          <t>СтМатОбПод</t>
        </is>
      </c>
      <c r="H34" s="404" t="inlineStr">
        <is>
          <t>Стоимость материалов и оборудования подрядчика</t>
        </is>
      </c>
      <c r="I34" s="404" t="n"/>
      <c r="J34" s="404" t="n"/>
      <c r="K34" s="404" t="n">
        <v>225</v>
      </c>
      <c r="L34" s="404" t="n">
        <v>4</v>
      </c>
      <c r="M34" s="404" t="n">
        <v>3</v>
      </c>
      <c r="N34" s="404" t="inlineStr"/>
      <c r="O34" s="404" t="n">
        <v>0</v>
      </c>
      <c r="P34" s="404" t="n"/>
      <c r="Q34" s="404" t="n"/>
      <c r="R34" s="404" t="n"/>
      <c r="S34" s="404" t="n"/>
      <c r="T34" s="404" t="n"/>
      <c r="U34" s="404" t="n"/>
      <c r="V34" s="404" t="n"/>
      <c r="W34" s="404" t="n">
        <v>0</v>
      </c>
      <c r="X34" s="404" t="n">
        <v>1</v>
      </c>
      <c r="Y34" s="404" t="n">
        <v>0</v>
      </c>
      <c r="Z34" s="404" t="n"/>
      <c r="AA34" s="404" t="n"/>
      <c r="AB34" s="404" t="n"/>
    </row>
    <row r="35">
      <c r="A35" s="404" t="n">
        <v>50</v>
      </c>
      <c r="B35" s="404" t="n">
        <v>0</v>
      </c>
      <c r="C35" s="404" t="n">
        <v>0</v>
      </c>
      <c r="D35" s="404" t="n">
        <v>1</v>
      </c>
      <c r="E35" s="404" t="n">
        <v>226</v>
      </c>
      <c r="F35" s="404">
        <f>ROUND(Source!AW29,O35)</f>
        <v/>
      </c>
      <c r="G35" s="404" t="inlineStr">
        <is>
          <t>СтМат</t>
        </is>
      </c>
      <c r="H35" s="404" t="inlineStr">
        <is>
          <t>Стоимость материалов (всего)</t>
        </is>
      </c>
      <c r="I35" s="404" t="n"/>
      <c r="J35" s="404" t="n"/>
      <c r="K35" s="404" t="n">
        <v>226</v>
      </c>
      <c r="L35" s="404" t="n">
        <v>5</v>
      </c>
      <c r="M35" s="404" t="n">
        <v>3</v>
      </c>
      <c r="N35" s="404" t="inlineStr"/>
      <c r="O35" s="404" t="n">
        <v>0</v>
      </c>
      <c r="P35" s="404" t="n"/>
      <c r="Q35" s="404" t="n"/>
      <c r="R35" s="404" t="n"/>
      <c r="S35" s="404" t="n"/>
      <c r="T35" s="404" t="n"/>
      <c r="U35" s="404" t="n"/>
      <c r="V35" s="404" t="n"/>
      <c r="W35" s="404" t="n">
        <v>0</v>
      </c>
      <c r="X35" s="404" t="n">
        <v>1</v>
      </c>
      <c r="Y35" s="404" t="n">
        <v>0</v>
      </c>
      <c r="Z35" s="404" t="n"/>
      <c r="AA35" s="404" t="n"/>
      <c r="AB35" s="404" t="n"/>
    </row>
    <row r="36">
      <c r="A36" s="404" t="n">
        <v>50</v>
      </c>
      <c r="B36" s="404" t="n">
        <v>0</v>
      </c>
      <c r="C36" s="404" t="n">
        <v>0</v>
      </c>
      <c r="D36" s="404" t="n">
        <v>1</v>
      </c>
      <c r="E36" s="404" t="n">
        <v>227</v>
      </c>
      <c r="F36" s="404">
        <f>ROUND(Source!AX29,O36)</f>
        <v/>
      </c>
      <c r="G36" s="404" t="inlineStr">
        <is>
          <t>СтМатЗак</t>
        </is>
      </c>
      <c r="H36" s="404" t="inlineStr">
        <is>
          <t>Стоимость материалов заказчика</t>
        </is>
      </c>
      <c r="I36" s="404" t="n"/>
      <c r="J36" s="404" t="n"/>
      <c r="K36" s="404" t="n">
        <v>227</v>
      </c>
      <c r="L36" s="404" t="n">
        <v>6</v>
      </c>
      <c r="M36" s="404" t="n">
        <v>3</v>
      </c>
      <c r="N36" s="404" t="inlineStr"/>
      <c r="O36" s="404" t="n">
        <v>0</v>
      </c>
      <c r="P36" s="404" t="n"/>
      <c r="Q36" s="404" t="n"/>
      <c r="R36" s="404" t="n"/>
      <c r="S36" s="404" t="n"/>
      <c r="T36" s="404" t="n"/>
      <c r="U36" s="404" t="n"/>
      <c r="V36" s="404" t="n"/>
      <c r="W36" s="404" t="n">
        <v>0</v>
      </c>
      <c r="X36" s="404" t="n">
        <v>1</v>
      </c>
      <c r="Y36" s="404" t="n">
        <v>0</v>
      </c>
      <c r="Z36" s="404" t="n"/>
      <c r="AA36" s="404" t="n"/>
      <c r="AB36" s="404" t="n"/>
    </row>
    <row r="37">
      <c r="A37" s="404" t="n">
        <v>50</v>
      </c>
      <c r="B37" s="404" t="n">
        <v>0</v>
      </c>
      <c r="C37" s="404" t="n">
        <v>0</v>
      </c>
      <c r="D37" s="404" t="n">
        <v>1</v>
      </c>
      <c r="E37" s="404" t="n">
        <v>228</v>
      </c>
      <c r="F37" s="404">
        <f>ROUND(Source!AY29,O37)</f>
        <v/>
      </c>
      <c r="G37" s="404" t="inlineStr">
        <is>
          <t>СтМатПод</t>
        </is>
      </c>
      <c r="H37" s="404" t="inlineStr">
        <is>
          <t>Стоимость материалов подрядчика</t>
        </is>
      </c>
      <c r="I37" s="404" t="n"/>
      <c r="J37" s="404" t="n"/>
      <c r="K37" s="404" t="n">
        <v>228</v>
      </c>
      <c r="L37" s="404" t="n">
        <v>7</v>
      </c>
      <c r="M37" s="404" t="n">
        <v>3</v>
      </c>
      <c r="N37" s="404" t="inlineStr"/>
      <c r="O37" s="404" t="n">
        <v>0</v>
      </c>
      <c r="P37" s="404" t="n"/>
      <c r="Q37" s="404" t="n"/>
      <c r="R37" s="404" t="n"/>
      <c r="S37" s="404" t="n"/>
      <c r="T37" s="404" t="n"/>
      <c r="U37" s="404" t="n"/>
      <c r="V37" s="404" t="n"/>
      <c r="W37" s="404" t="n">
        <v>0</v>
      </c>
      <c r="X37" s="404" t="n">
        <v>1</v>
      </c>
      <c r="Y37" s="404" t="n">
        <v>0</v>
      </c>
      <c r="Z37" s="404" t="n"/>
      <c r="AA37" s="404" t="n"/>
      <c r="AB37" s="404" t="n"/>
    </row>
    <row r="38">
      <c r="A38" s="404" t="n">
        <v>50</v>
      </c>
      <c r="B38" s="404" t="n">
        <v>0</v>
      </c>
      <c r="C38" s="404" t="n">
        <v>0</v>
      </c>
      <c r="D38" s="404" t="n">
        <v>1</v>
      </c>
      <c r="E38" s="404" t="n">
        <v>216</v>
      </c>
      <c r="F38" s="404">
        <f>ROUND(Source!AP29,O38)</f>
        <v/>
      </c>
      <c r="G38" s="404" t="inlineStr">
        <is>
          <t>Оборуд</t>
        </is>
      </c>
      <c r="H38" s="404" t="inlineStr">
        <is>
          <t>Стоимость оборудования (всего)</t>
        </is>
      </c>
      <c r="I38" s="404" t="n"/>
      <c r="J38" s="404" t="n"/>
      <c r="K38" s="404" t="n">
        <v>216</v>
      </c>
      <c r="L38" s="404" t="n">
        <v>8</v>
      </c>
      <c r="M38" s="404" t="n">
        <v>3</v>
      </c>
      <c r="N38" s="404" t="inlineStr"/>
      <c r="O38" s="404" t="n">
        <v>0</v>
      </c>
      <c r="P38" s="404" t="n"/>
      <c r="Q38" s="404" t="n"/>
      <c r="R38" s="404" t="n"/>
      <c r="S38" s="404" t="n"/>
      <c r="T38" s="404" t="n"/>
      <c r="U38" s="404" t="n"/>
      <c r="V38" s="404" t="n"/>
      <c r="W38" s="404" t="n">
        <v>0</v>
      </c>
      <c r="X38" s="404" t="n">
        <v>1</v>
      </c>
      <c r="Y38" s="404" t="n">
        <v>0</v>
      </c>
      <c r="Z38" s="404" t="n"/>
      <c r="AA38" s="404" t="n"/>
      <c r="AB38" s="404" t="n"/>
    </row>
    <row r="39">
      <c r="A39" s="404" t="n">
        <v>50</v>
      </c>
      <c r="B39" s="404" t="n">
        <v>0</v>
      </c>
      <c r="C39" s="404" t="n">
        <v>0</v>
      </c>
      <c r="D39" s="404" t="n">
        <v>1</v>
      </c>
      <c r="E39" s="404" t="n">
        <v>223</v>
      </c>
      <c r="F39" s="404">
        <f>ROUND(Source!AQ29,O39)</f>
        <v/>
      </c>
      <c r="G39" s="404" t="inlineStr">
        <is>
          <t>ОборудЗак</t>
        </is>
      </c>
      <c r="H39" s="404" t="inlineStr">
        <is>
          <t>Стоимость оборудования заказчика</t>
        </is>
      </c>
      <c r="I39" s="404" t="n"/>
      <c r="J39" s="404" t="n"/>
      <c r="K39" s="404" t="n">
        <v>223</v>
      </c>
      <c r="L39" s="404" t="n">
        <v>9</v>
      </c>
      <c r="M39" s="404" t="n">
        <v>3</v>
      </c>
      <c r="N39" s="404" t="inlineStr"/>
      <c r="O39" s="404" t="n">
        <v>0</v>
      </c>
      <c r="P39" s="404" t="n"/>
      <c r="Q39" s="404" t="n"/>
      <c r="R39" s="404" t="n"/>
      <c r="S39" s="404" t="n"/>
      <c r="T39" s="404" t="n"/>
      <c r="U39" s="404" t="n"/>
      <c r="V39" s="404" t="n"/>
      <c r="W39" s="404" t="n">
        <v>0</v>
      </c>
      <c r="X39" s="404" t="n">
        <v>1</v>
      </c>
      <c r="Y39" s="404" t="n">
        <v>0</v>
      </c>
      <c r="Z39" s="404" t="n"/>
      <c r="AA39" s="404" t="n"/>
      <c r="AB39" s="404" t="n"/>
    </row>
    <row r="40">
      <c r="A40" s="404" t="n">
        <v>50</v>
      </c>
      <c r="B40" s="404" t="n">
        <v>0</v>
      </c>
      <c r="C40" s="404" t="n">
        <v>0</v>
      </c>
      <c r="D40" s="404" t="n">
        <v>1</v>
      </c>
      <c r="E40" s="404" t="n">
        <v>229</v>
      </c>
      <c r="F40" s="404">
        <f>ROUND(Source!AZ29,O40)</f>
        <v/>
      </c>
      <c r="G40" s="404" t="inlineStr">
        <is>
          <t>ОборудПод</t>
        </is>
      </c>
      <c r="H40" s="404" t="inlineStr">
        <is>
          <t>Стоимость оборудования подрядчика</t>
        </is>
      </c>
      <c r="I40" s="404" t="n"/>
      <c r="J40" s="404" t="n"/>
      <c r="K40" s="404" t="n">
        <v>229</v>
      </c>
      <c r="L40" s="404" t="n">
        <v>10</v>
      </c>
      <c r="M40" s="404" t="n">
        <v>3</v>
      </c>
      <c r="N40" s="404" t="inlineStr"/>
      <c r="O40" s="404" t="n">
        <v>0</v>
      </c>
      <c r="P40" s="404" t="n"/>
      <c r="Q40" s="404" t="n"/>
      <c r="R40" s="404" t="n"/>
      <c r="S40" s="404" t="n"/>
      <c r="T40" s="404" t="n"/>
      <c r="U40" s="404" t="n"/>
      <c r="V40" s="404" t="n"/>
      <c r="W40" s="404" t="n">
        <v>0</v>
      </c>
      <c r="X40" s="404" t="n">
        <v>1</v>
      </c>
      <c r="Y40" s="404" t="n">
        <v>0</v>
      </c>
      <c r="Z40" s="404" t="n"/>
      <c r="AA40" s="404" t="n"/>
      <c r="AB40" s="404" t="n"/>
    </row>
    <row r="41">
      <c r="A41" s="404" t="n">
        <v>50</v>
      </c>
      <c r="B41" s="404" t="n">
        <v>0</v>
      </c>
      <c r="C41" s="404" t="n">
        <v>0</v>
      </c>
      <c r="D41" s="404" t="n">
        <v>1</v>
      </c>
      <c r="E41" s="404" t="n">
        <v>203</v>
      </c>
      <c r="F41" s="404">
        <f>ROUND(Source!Q29,O41)</f>
        <v/>
      </c>
      <c r="G41" s="404" t="inlineStr">
        <is>
          <t>ЭММ</t>
        </is>
      </c>
      <c r="H41" s="404" t="inlineStr">
        <is>
          <t>Эксплуатация машин</t>
        </is>
      </c>
      <c r="I41" s="404" t="n"/>
      <c r="J41" s="404" t="n"/>
      <c r="K41" s="404" t="n">
        <v>203</v>
      </c>
      <c r="L41" s="404" t="n">
        <v>11</v>
      </c>
      <c r="M41" s="404" t="n">
        <v>3</v>
      </c>
      <c r="N41" s="404" t="inlineStr"/>
      <c r="O41" s="404" t="n">
        <v>0</v>
      </c>
      <c r="P41" s="404" t="n"/>
      <c r="Q41" s="404" t="n"/>
      <c r="R41" s="404" t="n"/>
      <c r="S41" s="404" t="n"/>
      <c r="T41" s="404" t="n"/>
      <c r="U41" s="404" t="n"/>
      <c r="V41" s="404" t="n"/>
      <c r="W41" s="404" t="n">
        <v>0</v>
      </c>
      <c r="X41" s="404" t="n">
        <v>1</v>
      </c>
      <c r="Y41" s="404" t="n">
        <v>0</v>
      </c>
      <c r="Z41" s="404" t="n"/>
      <c r="AA41" s="404" t="n"/>
      <c r="AB41" s="404" t="n"/>
    </row>
    <row r="42">
      <c r="A42" s="404" t="n">
        <v>50</v>
      </c>
      <c r="B42" s="404" t="n">
        <v>0</v>
      </c>
      <c r="C42" s="404" t="n">
        <v>0</v>
      </c>
      <c r="D42" s="404" t="n">
        <v>1</v>
      </c>
      <c r="E42" s="404" t="n">
        <v>231</v>
      </c>
      <c r="F42" s="404">
        <f>ROUND(Source!BB29,O42)</f>
        <v/>
      </c>
      <c r="G42" s="404" t="inlineStr">
        <is>
          <t>ЭММсНРиСП</t>
        </is>
      </c>
      <c r="H42" s="404" t="inlineStr">
        <is>
          <t>Эксплуатация машин по ТСН-2001.16</t>
        </is>
      </c>
      <c r="I42" s="404" t="n"/>
      <c r="J42" s="404" t="n"/>
      <c r="K42" s="404" t="n">
        <v>231</v>
      </c>
      <c r="L42" s="404" t="n">
        <v>12</v>
      </c>
      <c r="M42" s="404" t="n">
        <v>3</v>
      </c>
      <c r="N42" s="404" t="inlineStr"/>
      <c r="O42" s="404" t="n">
        <v>0</v>
      </c>
      <c r="P42" s="404" t="n"/>
      <c r="Q42" s="404" t="n"/>
      <c r="R42" s="404" t="n"/>
      <c r="S42" s="404" t="n"/>
      <c r="T42" s="404" t="n"/>
      <c r="U42" s="404" t="n"/>
      <c r="V42" s="404" t="n"/>
      <c r="W42" s="404" t="n">
        <v>0</v>
      </c>
      <c r="X42" s="404" t="n">
        <v>1</v>
      </c>
      <c r="Y42" s="404" t="n">
        <v>0</v>
      </c>
      <c r="Z42" s="404" t="n"/>
      <c r="AA42" s="404" t="n"/>
      <c r="AB42" s="404" t="n"/>
    </row>
    <row r="43">
      <c r="A43" s="404" t="n">
        <v>50</v>
      </c>
      <c r="B43" s="404" t="n">
        <v>0</v>
      </c>
      <c r="C43" s="404" t="n">
        <v>0</v>
      </c>
      <c r="D43" s="404" t="n">
        <v>1</v>
      </c>
      <c r="E43" s="404" t="n">
        <v>204</v>
      </c>
      <c r="F43" s="404">
        <f>ROUND(Source!R29,O43)</f>
        <v/>
      </c>
      <c r="G43" s="404" t="inlineStr">
        <is>
          <t>ЗПМ</t>
        </is>
      </c>
      <c r="H43" s="404" t="inlineStr">
        <is>
          <t>ЗП машинистов</t>
        </is>
      </c>
      <c r="I43" s="404" t="n"/>
      <c r="J43" s="404" t="n"/>
      <c r="K43" s="404" t="n">
        <v>204</v>
      </c>
      <c r="L43" s="404" t="n">
        <v>13</v>
      </c>
      <c r="M43" s="404" t="n">
        <v>3</v>
      </c>
      <c r="N43" s="404" t="inlineStr"/>
      <c r="O43" s="404" t="n">
        <v>0</v>
      </c>
      <c r="P43" s="404" t="n"/>
      <c r="Q43" s="404" t="n"/>
      <c r="R43" s="404" t="n"/>
      <c r="S43" s="404" t="n"/>
      <c r="T43" s="404" t="n"/>
      <c r="U43" s="404" t="n"/>
      <c r="V43" s="404" t="n"/>
      <c r="W43" s="404" t="n">
        <v>0</v>
      </c>
      <c r="X43" s="404" t="n">
        <v>1</v>
      </c>
      <c r="Y43" s="404" t="n">
        <v>0</v>
      </c>
      <c r="Z43" s="404" t="n"/>
      <c r="AA43" s="404" t="n"/>
      <c r="AB43" s="404" t="n"/>
    </row>
    <row r="44">
      <c r="A44" s="404" t="n">
        <v>50</v>
      </c>
      <c r="B44" s="404" t="n">
        <v>0</v>
      </c>
      <c r="C44" s="404" t="n">
        <v>0</v>
      </c>
      <c r="D44" s="404" t="n">
        <v>1</v>
      </c>
      <c r="E44" s="404" t="n">
        <v>205</v>
      </c>
      <c r="F44" s="404">
        <f>ROUND(Source!S29,O44)</f>
        <v/>
      </c>
      <c r="G44" s="404" t="inlineStr">
        <is>
          <t>ОЗП</t>
        </is>
      </c>
      <c r="H44" s="404" t="inlineStr">
        <is>
          <t>Основная ЗП рабочих</t>
        </is>
      </c>
      <c r="I44" s="404" t="n"/>
      <c r="J44" s="404" t="n"/>
      <c r="K44" s="404" t="n">
        <v>205</v>
      </c>
      <c r="L44" s="404" t="n">
        <v>14</v>
      </c>
      <c r="M44" s="404" t="n">
        <v>3</v>
      </c>
      <c r="N44" s="404" t="inlineStr"/>
      <c r="O44" s="404" t="n">
        <v>0</v>
      </c>
      <c r="P44" s="404" t="n"/>
      <c r="Q44" s="404" t="n"/>
      <c r="R44" s="404" t="n"/>
      <c r="S44" s="404" t="n"/>
      <c r="T44" s="404" t="n"/>
      <c r="U44" s="404" t="n"/>
      <c r="V44" s="404" t="n"/>
      <c r="W44" s="404" t="n">
        <v>0</v>
      </c>
      <c r="X44" s="404" t="n">
        <v>1</v>
      </c>
      <c r="Y44" s="404" t="n">
        <v>0</v>
      </c>
      <c r="Z44" s="404" t="n"/>
      <c r="AA44" s="404" t="n"/>
      <c r="AB44" s="404" t="n"/>
    </row>
    <row r="45">
      <c r="A45" s="404" t="n">
        <v>50</v>
      </c>
      <c r="B45" s="404" t="n">
        <v>0</v>
      </c>
      <c r="C45" s="404" t="n">
        <v>0</v>
      </c>
      <c r="D45" s="404" t="n">
        <v>1</v>
      </c>
      <c r="E45" s="404" t="n">
        <v>232</v>
      </c>
      <c r="F45" s="404">
        <f>ROUND(Source!BC29,O45)</f>
        <v/>
      </c>
      <c r="G45" s="404" t="inlineStr">
        <is>
          <t>ОЗПсНРиСП</t>
        </is>
      </c>
      <c r="H45" s="404" t="inlineStr">
        <is>
          <t>Основная ЗП рабочих по ТСН-2001.16</t>
        </is>
      </c>
      <c r="I45" s="404" t="n"/>
      <c r="J45" s="404" t="n"/>
      <c r="K45" s="404" t="n">
        <v>232</v>
      </c>
      <c r="L45" s="404" t="n">
        <v>15</v>
      </c>
      <c r="M45" s="404" t="n">
        <v>3</v>
      </c>
      <c r="N45" s="404" t="inlineStr"/>
      <c r="O45" s="404" t="n">
        <v>0</v>
      </c>
      <c r="P45" s="404" t="n"/>
      <c r="Q45" s="404" t="n"/>
      <c r="R45" s="404" t="n"/>
      <c r="S45" s="404" t="n"/>
      <c r="T45" s="404" t="n"/>
      <c r="U45" s="404" t="n"/>
      <c r="V45" s="404" t="n"/>
      <c r="W45" s="404" t="n">
        <v>0</v>
      </c>
      <c r="X45" s="404" t="n">
        <v>1</v>
      </c>
      <c r="Y45" s="404" t="n">
        <v>0</v>
      </c>
      <c r="Z45" s="404" t="n"/>
      <c r="AA45" s="404" t="n"/>
      <c r="AB45" s="404" t="n"/>
    </row>
    <row r="46">
      <c r="A46" s="404" t="n">
        <v>50</v>
      </c>
      <c r="B46" s="404" t="n">
        <v>0</v>
      </c>
      <c r="C46" s="404" t="n">
        <v>0</v>
      </c>
      <c r="D46" s="404" t="n">
        <v>1</v>
      </c>
      <c r="E46" s="404" t="n">
        <v>214</v>
      </c>
      <c r="F46" s="404">
        <f>ROUND(Source!AS29,O46)</f>
        <v/>
      </c>
      <c r="G46" s="404" t="inlineStr">
        <is>
          <t>Строит</t>
        </is>
      </c>
      <c r="H46" s="404" t="inlineStr">
        <is>
          <t>Строительные работы с НР и СП</t>
        </is>
      </c>
      <c r="I46" s="404" t="n"/>
      <c r="J46" s="404" t="n"/>
      <c r="K46" s="404" t="n">
        <v>214</v>
      </c>
      <c r="L46" s="404" t="n">
        <v>16</v>
      </c>
      <c r="M46" s="404" t="n">
        <v>3</v>
      </c>
      <c r="N46" s="404" t="inlineStr"/>
      <c r="O46" s="404" t="n">
        <v>0</v>
      </c>
      <c r="P46" s="404" t="n"/>
      <c r="Q46" s="404" t="n"/>
      <c r="R46" s="404" t="n"/>
      <c r="S46" s="404" t="n"/>
      <c r="T46" s="404" t="n"/>
      <c r="U46" s="404" t="n"/>
      <c r="V46" s="404" t="n"/>
      <c r="W46" s="404" t="n">
        <v>0</v>
      </c>
      <c r="X46" s="404" t="n">
        <v>1</v>
      </c>
      <c r="Y46" s="404" t="n">
        <v>0</v>
      </c>
      <c r="Z46" s="404" t="n"/>
      <c r="AA46" s="404" t="n"/>
      <c r="AB46" s="404" t="n"/>
    </row>
    <row r="47">
      <c r="A47" s="404" t="n">
        <v>50</v>
      </c>
      <c r="B47" s="404" t="n">
        <v>0</v>
      </c>
      <c r="C47" s="404" t="n">
        <v>0</v>
      </c>
      <c r="D47" s="404" t="n">
        <v>1</v>
      </c>
      <c r="E47" s="404" t="n">
        <v>215</v>
      </c>
      <c r="F47" s="404">
        <f>ROUND(Source!AT29,O47)</f>
        <v/>
      </c>
      <c r="G47" s="404" t="inlineStr">
        <is>
          <t>Монтаж</t>
        </is>
      </c>
      <c r="H47" s="404" t="inlineStr">
        <is>
          <t>Монтажные работы с НР и СП</t>
        </is>
      </c>
      <c r="I47" s="404" t="n"/>
      <c r="J47" s="404" t="n"/>
      <c r="K47" s="404" t="n">
        <v>215</v>
      </c>
      <c r="L47" s="404" t="n">
        <v>17</v>
      </c>
      <c r="M47" s="404" t="n">
        <v>3</v>
      </c>
      <c r="N47" s="404" t="inlineStr"/>
      <c r="O47" s="404" t="n">
        <v>0</v>
      </c>
      <c r="P47" s="404" t="n"/>
      <c r="Q47" s="404" t="n"/>
      <c r="R47" s="404" t="n"/>
      <c r="S47" s="404" t="n"/>
      <c r="T47" s="404" t="n"/>
      <c r="U47" s="404" t="n"/>
      <c r="V47" s="404" t="n"/>
      <c r="W47" s="404" t="n">
        <v>0</v>
      </c>
      <c r="X47" s="404" t="n">
        <v>1</v>
      </c>
      <c r="Y47" s="404" t="n">
        <v>0</v>
      </c>
      <c r="Z47" s="404" t="n"/>
      <c r="AA47" s="404" t="n"/>
      <c r="AB47" s="404" t="n"/>
    </row>
    <row r="48">
      <c r="A48" s="404" t="n">
        <v>50</v>
      </c>
      <c r="B48" s="404" t="n">
        <v>0</v>
      </c>
      <c r="C48" s="404" t="n">
        <v>0</v>
      </c>
      <c r="D48" s="404" t="n">
        <v>1</v>
      </c>
      <c r="E48" s="404" t="n">
        <v>217</v>
      </c>
      <c r="F48" s="404">
        <f>ROUND(Source!AU29,O48)</f>
        <v/>
      </c>
      <c r="G48" s="404" t="inlineStr">
        <is>
          <t>Прочие</t>
        </is>
      </c>
      <c r="H48" s="404" t="inlineStr">
        <is>
          <t>Прочие работы с НР и СП</t>
        </is>
      </c>
      <c r="I48" s="404" t="n"/>
      <c r="J48" s="404" t="n"/>
      <c r="K48" s="404" t="n">
        <v>217</v>
      </c>
      <c r="L48" s="404" t="n">
        <v>18</v>
      </c>
      <c r="M48" s="404" t="n">
        <v>3</v>
      </c>
      <c r="N48" s="404" t="inlineStr"/>
      <c r="O48" s="404" t="n">
        <v>0</v>
      </c>
      <c r="P48" s="404" t="n"/>
      <c r="Q48" s="404" t="n"/>
      <c r="R48" s="404" t="n"/>
      <c r="S48" s="404" t="n"/>
      <c r="T48" s="404" t="n"/>
      <c r="U48" s="404" t="n"/>
      <c r="V48" s="404" t="n"/>
      <c r="W48" s="404" t="n">
        <v>0</v>
      </c>
      <c r="X48" s="404" t="n">
        <v>1</v>
      </c>
      <c r="Y48" s="404" t="n">
        <v>0</v>
      </c>
      <c r="Z48" s="404" t="n"/>
      <c r="AA48" s="404" t="n"/>
      <c r="AB48" s="404" t="n"/>
    </row>
    <row r="49">
      <c r="A49" s="404" t="n">
        <v>50</v>
      </c>
      <c r="B49" s="404" t="n">
        <v>0</v>
      </c>
      <c r="C49" s="404" t="n">
        <v>0</v>
      </c>
      <c r="D49" s="404" t="n">
        <v>1</v>
      </c>
      <c r="E49" s="404" t="n">
        <v>230</v>
      </c>
      <c r="F49" s="404">
        <f>ROUND(Source!BA29,O49)</f>
        <v/>
      </c>
      <c r="G49" s="404" t="inlineStr">
        <is>
          <t>ПрочиеЗатр</t>
        </is>
      </c>
      <c r="H49" s="404" t="inlineStr">
        <is>
          <t>Прочие затраты по ТСН-2001.16</t>
        </is>
      </c>
      <c r="I49" s="404" t="n"/>
      <c r="J49" s="404" t="n"/>
      <c r="K49" s="404" t="n">
        <v>230</v>
      </c>
      <c r="L49" s="404" t="n">
        <v>19</v>
      </c>
      <c r="M49" s="404" t="n">
        <v>3</v>
      </c>
      <c r="N49" s="404" t="inlineStr"/>
      <c r="O49" s="404" t="n">
        <v>0</v>
      </c>
      <c r="P49" s="404" t="n"/>
      <c r="Q49" s="404" t="n"/>
      <c r="R49" s="404" t="n"/>
      <c r="S49" s="404" t="n"/>
      <c r="T49" s="404" t="n"/>
      <c r="U49" s="404" t="n"/>
      <c r="V49" s="404" t="n"/>
      <c r="W49" s="404" t="n">
        <v>0</v>
      </c>
      <c r="X49" s="404" t="n">
        <v>1</v>
      </c>
      <c r="Y49" s="404" t="n">
        <v>0</v>
      </c>
      <c r="Z49" s="404" t="n"/>
      <c r="AA49" s="404" t="n"/>
      <c r="AB49" s="404" t="n"/>
    </row>
    <row r="50">
      <c r="A50" s="404" t="n">
        <v>50</v>
      </c>
      <c r="B50" s="404" t="n">
        <v>0</v>
      </c>
      <c r="C50" s="404" t="n">
        <v>0</v>
      </c>
      <c r="D50" s="404" t="n">
        <v>1</v>
      </c>
      <c r="E50" s="404" t="n">
        <v>206</v>
      </c>
      <c r="F50" s="404">
        <f>ROUND(Source!T29,O50)</f>
        <v/>
      </c>
      <c r="G50" s="404" t="inlineStr">
        <is>
          <t>ВозврМат</t>
        </is>
      </c>
      <c r="H50" s="404" t="inlineStr">
        <is>
          <t>Возврат материалов</t>
        </is>
      </c>
      <c r="I50" s="404" t="n"/>
      <c r="J50" s="404" t="n"/>
      <c r="K50" s="404" t="n">
        <v>206</v>
      </c>
      <c r="L50" s="404" t="n">
        <v>20</v>
      </c>
      <c r="M50" s="404" t="n">
        <v>3</v>
      </c>
      <c r="N50" s="404" t="inlineStr"/>
      <c r="O50" s="404" t="n">
        <v>0</v>
      </c>
      <c r="P50" s="404" t="n"/>
      <c r="Q50" s="404" t="n"/>
      <c r="R50" s="404" t="n"/>
      <c r="S50" s="404" t="n"/>
      <c r="T50" s="404" t="n"/>
      <c r="U50" s="404" t="n"/>
      <c r="V50" s="404" t="n"/>
      <c r="W50" s="404" t="n">
        <v>0</v>
      </c>
      <c r="X50" s="404" t="n">
        <v>1</v>
      </c>
      <c r="Y50" s="404" t="n">
        <v>0</v>
      </c>
      <c r="Z50" s="404" t="n"/>
      <c r="AA50" s="404" t="n"/>
      <c r="AB50" s="404" t="n"/>
    </row>
    <row r="51">
      <c r="A51" s="404" t="n">
        <v>50</v>
      </c>
      <c r="B51" s="404" t="n">
        <v>0</v>
      </c>
      <c r="C51" s="404" t="n">
        <v>0</v>
      </c>
      <c r="D51" s="404" t="n">
        <v>1</v>
      </c>
      <c r="E51" s="404" t="n">
        <v>207</v>
      </c>
      <c r="F51" s="404">
        <f>ROUND(Source!U29,O51)</f>
        <v/>
      </c>
      <c r="G51" s="404" t="inlineStr">
        <is>
          <t>ТрудСтр</t>
        </is>
      </c>
      <c r="H51" s="404" t="inlineStr">
        <is>
          <t>Трудозатраты строителей</t>
        </is>
      </c>
      <c r="I51" s="404" t="n"/>
      <c r="J51" s="404" t="n"/>
      <c r="K51" s="404" t="n">
        <v>207</v>
      </c>
      <c r="L51" s="404" t="n">
        <v>21</v>
      </c>
      <c r="M51" s="404" t="n">
        <v>3</v>
      </c>
      <c r="N51" s="404" t="inlineStr"/>
      <c r="O51" s="404" t="n">
        <v>7</v>
      </c>
      <c r="P51" s="404" t="n"/>
      <c r="Q51" s="404" t="n"/>
      <c r="R51" s="404" t="n"/>
      <c r="S51" s="404" t="n"/>
      <c r="T51" s="404" t="n"/>
      <c r="U51" s="404" t="n"/>
      <c r="V51" s="404" t="n"/>
      <c r="W51" s="404" t="n">
        <v>0</v>
      </c>
      <c r="X51" s="404" t="n">
        <v>1</v>
      </c>
      <c r="Y51" s="404" t="n">
        <v>0</v>
      </c>
      <c r="Z51" s="404" t="n"/>
      <c r="AA51" s="404" t="n"/>
      <c r="AB51" s="404" t="n"/>
    </row>
    <row r="52">
      <c r="A52" s="404" t="n">
        <v>50</v>
      </c>
      <c r="B52" s="404" t="n">
        <v>0</v>
      </c>
      <c r="C52" s="404" t="n">
        <v>0</v>
      </c>
      <c r="D52" s="404" t="n">
        <v>1</v>
      </c>
      <c r="E52" s="404" t="n">
        <v>208</v>
      </c>
      <c r="F52" s="404">
        <f>ROUND(Source!V29,O52)</f>
        <v/>
      </c>
      <c r="G52" s="404" t="inlineStr">
        <is>
          <t>ТрудМаш</t>
        </is>
      </c>
      <c r="H52" s="404" t="inlineStr">
        <is>
          <t>Трудозатраты машинистов</t>
        </is>
      </c>
      <c r="I52" s="404" t="n"/>
      <c r="J52" s="404" t="n"/>
      <c r="K52" s="404" t="n">
        <v>208</v>
      </c>
      <c r="L52" s="404" t="n">
        <v>22</v>
      </c>
      <c r="M52" s="404" t="n">
        <v>3</v>
      </c>
      <c r="N52" s="404" t="inlineStr"/>
      <c r="O52" s="404" t="n">
        <v>7</v>
      </c>
      <c r="P52" s="404" t="n"/>
      <c r="Q52" s="404" t="n"/>
      <c r="R52" s="404" t="n"/>
      <c r="S52" s="404" t="n"/>
      <c r="T52" s="404" t="n"/>
      <c r="U52" s="404" t="n"/>
      <c r="V52" s="404" t="n"/>
      <c r="W52" s="404" t="n">
        <v>0</v>
      </c>
      <c r="X52" s="404" t="n">
        <v>1</v>
      </c>
      <c r="Y52" s="404" t="n">
        <v>0</v>
      </c>
      <c r="Z52" s="404" t="n"/>
      <c r="AA52" s="404" t="n"/>
      <c r="AB52" s="404" t="n"/>
    </row>
    <row r="53">
      <c r="A53" s="404" t="n">
        <v>50</v>
      </c>
      <c r="B53" s="404" t="n">
        <v>0</v>
      </c>
      <c r="C53" s="404" t="n">
        <v>0</v>
      </c>
      <c r="D53" s="404" t="n">
        <v>1</v>
      </c>
      <c r="E53" s="404" t="n">
        <v>209</v>
      </c>
      <c r="F53" s="404">
        <f>ROUND(Source!W29,O53)</f>
        <v/>
      </c>
      <c r="G53" s="404" t="inlineStr">
        <is>
          <t>ТранспМат</t>
        </is>
      </c>
      <c r="H53" s="404" t="inlineStr">
        <is>
          <t>Транспорт материалов</t>
        </is>
      </c>
      <c r="I53" s="404" t="n"/>
      <c r="J53" s="404" t="n"/>
      <c r="K53" s="404" t="n">
        <v>209</v>
      </c>
      <c r="L53" s="404" t="n">
        <v>23</v>
      </c>
      <c r="M53" s="404" t="n">
        <v>3</v>
      </c>
      <c r="N53" s="404" t="inlineStr"/>
      <c r="O53" s="404" t="n">
        <v>0</v>
      </c>
      <c r="P53" s="404" t="n"/>
      <c r="Q53" s="404" t="n"/>
      <c r="R53" s="404" t="n"/>
      <c r="S53" s="404" t="n"/>
      <c r="T53" s="404" t="n"/>
      <c r="U53" s="404" t="n"/>
      <c r="V53" s="404" t="n"/>
      <c r="W53" s="404" t="n">
        <v>0</v>
      </c>
      <c r="X53" s="404" t="n">
        <v>1</v>
      </c>
      <c r="Y53" s="404" t="n">
        <v>0</v>
      </c>
      <c r="Z53" s="404" t="n"/>
      <c r="AA53" s="404" t="n"/>
      <c r="AB53" s="404" t="n"/>
    </row>
    <row r="54">
      <c r="A54" s="404" t="n">
        <v>50</v>
      </c>
      <c r="B54" s="404" t="n">
        <v>0</v>
      </c>
      <c r="C54" s="404" t="n">
        <v>0</v>
      </c>
      <c r="D54" s="404" t="n">
        <v>1</v>
      </c>
      <c r="E54" s="404" t="n">
        <v>233</v>
      </c>
      <c r="F54" s="404">
        <f>ROUND(Source!BD29,O54)</f>
        <v/>
      </c>
      <c r="G54" s="404" t="inlineStr">
        <is>
          <t>Перевозка</t>
        </is>
      </c>
      <c r="H54" s="404" t="inlineStr">
        <is>
          <t>Перевозка грузов</t>
        </is>
      </c>
      <c r="I54" s="404" t="n"/>
      <c r="J54" s="404" t="n"/>
      <c r="K54" s="404" t="n">
        <v>233</v>
      </c>
      <c r="L54" s="404" t="n">
        <v>24</v>
      </c>
      <c r="M54" s="404" t="n">
        <v>3</v>
      </c>
      <c r="N54" s="404" t="inlineStr"/>
      <c r="O54" s="404" t="n">
        <v>0</v>
      </c>
      <c r="P54" s="404" t="n"/>
      <c r="Q54" s="404" t="n"/>
      <c r="R54" s="404" t="n"/>
      <c r="S54" s="404" t="n"/>
      <c r="T54" s="404" t="n"/>
      <c r="U54" s="404" t="n"/>
      <c r="V54" s="404" t="n"/>
      <c r="W54" s="404" t="n">
        <v>0</v>
      </c>
      <c r="X54" s="404" t="n">
        <v>1</v>
      </c>
      <c r="Y54" s="404" t="n">
        <v>0</v>
      </c>
      <c r="Z54" s="404" t="n"/>
      <c r="AA54" s="404" t="n"/>
      <c r="AB54" s="404" t="n"/>
    </row>
    <row r="55">
      <c r="A55" s="404" t="n">
        <v>50</v>
      </c>
      <c r="B55" s="404" t="n">
        <v>0</v>
      </c>
      <c r="C55" s="404" t="n">
        <v>0</v>
      </c>
      <c r="D55" s="404" t="n">
        <v>1</v>
      </c>
      <c r="E55" s="404" t="n">
        <v>210</v>
      </c>
      <c r="F55" s="404">
        <f>ROUND(Source!X29,O55)</f>
        <v/>
      </c>
      <c r="G55" s="404" t="inlineStr">
        <is>
          <t>НР</t>
        </is>
      </c>
      <c r="H55" s="404" t="inlineStr">
        <is>
          <t>Накладные расходы</t>
        </is>
      </c>
      <c r="I55" s="404" t="n"/>
      <c r="J55" s="404" t="n"/>
      <c r="K55" s="404" t="n">
        <v>210</v>
      </c>
      <c r="L55" s="404" t="n">
        <v>25</v>
      </c>
      <c r="M55" s="404" t="n">
        <v>3</v>
      </c>
      <c r="N55" s="404" t="inlineStr"/>
      <c r="O55" s="404" t="n">
        <v>0</v>
      </c>
      <c r="P55" s="404" t="n"/>
      <c r="Q55" s="404" t="n"/>
      <c r="R55" s="404" t="n"/>
      <c r="S55" s="404" t="n"/>
      <c r="T55" s="404" t="n"/>
      <c r="U55" s="404" t="n"/>
      <c r="V55" s="404" t="n"/>
      <c r="W55" s="404" t="n">
        <v>0</v>
      </c>
      <c r="X55" s="404" t="n">
        <v>1</v>
      </c>
      <c r="Y55" s="404" t="n">
        <v>0</v>
      </c>
      <c r="Z55" s="404" t="n"/>
      <c r="AA55" s="404" t="n"/>
      <c r="AB55" s="404" t="n"/>
    </row>
    <row r="56">
      <c r="A56" s="404" t="n">
        <v>50</v>
      </c>
      <c r="B56" s="404" t="n">
        <v>0</v>
      </c>
      <c r="C56" s="404" t="n">
        <v>0</v>
      </c>
      <c r="D56" s="404" t="n">
        <v>1</v>
      </c>
      <c r="E56" s="404" t="n">
        <v>211</v>
      </c>
      <c r="F56" s="404">
        <f>ROUND(Source!Y29,O56)</f>
        <v/>
      </c>
      <c r="G56" s="404" t="inlineStr">
        <is>
          <t>СмПриб</t>
        </is>
      </c>
      <c r="H56" s="404" t="inlineStr">
        <is>
          <t>Сметная прибыль</t>
        </is>
      </c>
      <c r="I56" s="404" t="n"/>
      <c r="J56" s="404" t="n"/>
      <c r="K56" s="404" t="n">
        <v>211</v>
      </c>
      <c r="L56" s="404" t="n">
        <v>26</v>
      </c>
      <c r="M56" s="404" t="n">
        <v>3</v>
      </c>
      <c r="N56" s="404" t="inlineStr"/>
      <c r="O56" s="404" t="n">
        <v>0</v>
      </c>
      <c r="P56" s="404" t="n"/>
      <c r="Q56" s="404" t="n"/>
      <c r="R56" s="404" t="n"/>
      <c r="S56" s="404" t="n"/>
      <c r="T56" s="404" t="n"/>
      <c r="U56" s="404" t="n"/>
      <c r="V56" s="404" t="n"/>
      <c r="W56" s="404" t="n">
        <v>0</v>
      </c>
      <c r="X56" s="404" t="n">
        <v>1</v>
      </c>
      <c r="Y56" s="404" t="n">
        <v>0</v>
      </c>
      <c r="Z56" s="404" t="n"/>
      <c r="AA56" s="404" t="n"/>
      <c r="AB56" s="404" t="n"/>
    </row>
    <row r="57">
      <c r="A57" s="404" t="n">
        <v>50</v>
      </c>
      <c r="B57" s="404" t="n">
        <v>0</v>
      </c>
      <c r="C57" s="404" t="n">
        <v>0</v>
      </c>
      <c r="D57" s="404" t="n">
        <v>1</v>
      </c>
      <c r="E57" s="404" t="n">
        <v>224</v>
      </c>
      <c r="F57" s="404">
        <f>ROUND(Source!AR29,O57)</f>
        <v/>
      </c>
      <c r="G57" s="404" t="inlineStr">
        <is>
          <t>Всего</t>
        </is>
      </c>
      <c r="H57" s="404" t="inlineStr">
        <is>
          <t>Всего с НР и СП</t>
        </is>
      </c>
      <c r="I57" s="404" t="n"/>
      <c r="J57" s="404" t="n"/>
      <c r="K57" s="404" t="n">
        <v>224</v>
      </c>
      <c r="L57" s="404" t="n">
        <v>27</v>
      </c>
      <c r="M57" s="404" t="n">
        <v>3</v>
      </c>
      <c r="N57" s="404" t="inlineStr"/>
      <c r="O57" s="404" t="n">
        <v>0</v>
      </c>
      <c r="P57" s="404" t="n"/>
      <c r="Q57" s="404" t="n"/>
      <c r="R57" s="404" t="n"/>
      <c r="S57" s="404" t="n"/>
      <c r="T57" s="404" t="n"/>
      <c r="U57" s="404" t="n"/>
      <c r="V57" s="404" t="n"/>
      <c r="W57" s="404" t="n">
        <v>0</v>
      </c>
      <c r="X57" s="404" t="n">
        <v>1</v>
      </c>
      <c r="Y57" s="404" t="n">
        <v>0</v>
      </c>
      <c r="Z57" s="404" t="n"/>
      <c r="AA57" s="404" t="n"/>
      <c r="AB57" s="404" t="n"/>
    </row>
    <row r="58">
      <c r="A58" s="404" t="n">
        <v>50</v>
      </c>
      <c r="B58" s="404" t="n">
        <v>0</v>
      </c>
      <c r="C58" s="404" t="n">
        <v>0</v>
      </c>
      <c r="D58" s="404" t="n">
        <v>2</v>
      </c>
      <c r="E58" s="404" t="n">
        <v>0</v>
      </c>
      <c r="F58" s="404">
        <f>ROUND(F57,O58)</f>
        <v/>
      </c>
      <c r="G58" s="404" t="inlineStr">
        <is>
          <t>и1</t>
        </is>
      </c>
      <c r="H58" s="404" t="inlineStr">
        <is>
          <t>Итого</t>
        </is>
      </c>
      <c r="I58" s="404" t="n"/>
      <c r="J58" s="404" t="n"/>
      <c r="K58" s="404" t="n">
        <v>212</v>
      </c>
      <c r="L58" s="404" t="n">
        <v>28</v>
      </c>
      <c r="M58" s="404" t="n">
        <v>0</v>
      </c>
      <c r="N58" s="404" t="inlineStr"/>
      <c r="O58" s="404" t="n">
        <v>0</v>
      </c>
      <c r="P58" s="404" t="n"/>
      <c r="Q58" s="404" t="n"/>
      <c r="R58" s="404" t="n"/>
      <c r="S58" s="404" t="n"/>
      <c r="T58" s="404" t="n"/>
      <c r="U58" s="404" t="n"/>
      <c r="V58" s="404" t="n"/>
      <c r="W58" s="404" t="n">
        <v>0</v>
      </c>
      <c r="X58" s="404" t="n">
        <v>1</v>
      </c>
      <c r="Y58" s="404" t="n">
        <v>0</v>
      </c>
      <c r="Z58" s="404" t="n"/>
      <c r="AA58" s="404" t="n"/>
      <c r="AB58" s="404" t="n"/>
    </row>
    <row r="59">
      <c r="A59" s="404" t="n">
        <v>50</v>
      </c>
      <c r="B59" s="404" t="n">
        <v>0</v>
      </c>
      <c r="C59" s="404" t="n">
        <v>0</v>
      </c>
      <c r="D59" s="404" t="n">
        <v>2</v>
      </c>
      <c r="E59" s="404" t="n">
        <v>0</v>
      </c>
      <c r="F59" s="404">
        <f>ROUND(F58*0.22,O59)</f>
        <v/>
      </c>
      <c r="G59" s="404" t="inlineStr">
        <is>
          <t>и2</t>
        </is>
      </c>
      <c r="H59" s="404" t="inlineStr">
        <is>
          <t>НДС 22%</t>
        </is>
      </c>
      <c r="I59" s="404" t="n"/>
      <c r="J59" s="404" t="n"/>
      <c r="K59" s="404" t="n">
        <v>212</v>
      </c>
      <c r="L59" s="404" t="n">
        <v>29</v>
      </c>
      <c r="M59" s="404" t="n">
        <v>0</v>
      </c>
      <c r="N59" s="404" t="inlineStr"/>
      <c r="O59" s="404" t="n">
        <v>0</v>
      </c>
      <c r="P59" s="404" t="n"/>
      <c r="Q59" s="404" t="n"/>
      <c r="R59" s="404" t="n"/>
      <c r="S59" s="404" t="n"/>
      <c r="T59" s="404" t="n"/>
      <c r="U59" s="404" t="n"/>
      <c r="V59" s="404" t="n"/>
      <c r="W59" s="404" t="n">
        <v>0</v>
      </c>
      <c r="X59" s="404" t="n">
        <v>1</v>
      </c>
      <c r="Y59" s="404" t="n">
        <v>0</v>
      </c>
      <c r="Z59" s="404" t="n"/>
      <c r="AA59" s="404" t="n"/>
      <c r="AB59" s="404" t="n"/>
    </row>
    <row r="60">
      <c r="A60" s="404" t="n">
        <v>50</v>
      </c>
      <c r="B60" s="404" t="n">
        <v>0</v>
      </c>
      <c r="C60" s="404" t="n">
        <v>0</v>
      </c>
      <c r="D60" s="404" t="n">
        <v>2</v>
      </c>
      <c r="E60" s="404" t="n">
        <v>213</v>
      </c>
      <c r="F60" s="404">
        <f>ROUND(F58+F59,O60)</f>
        <v/>
      </c>
      <c r="G60" s="404" t="inlineStr">
        <is>
          <t>и3</t>
        </is>
      </c>
      <c r="H60" s="404" t="inlineStr">
        <is>
          <t>Всего</t>
        </is>
      </c>
      <c r="I60" s="404" t="n"/>
      <c r="J60" s="404" t="n"/>
      <c r="K60" s="404" t="n">
        <v>212</v>
      </c>
      <c r="L60" s="404" t="n">
        <v>30</v>
      </c>
      <c r="M60" s="404" t="n">
        <v>0</v>
      </c>
      <c r="N60" s="404" t="inlineStr"/>
      <c r="O60" s="404" t="n">
        <v>0</v>
      </c>
      <c r="P60" s="404" t="n"/>
      <c r="Q60" s="404" t="n"/>
      <c r="R60" s="404" t="n"/>
      <c r="S60" s="404" t="n"/>
      <c r="T60" s="404" t="n"/>
      <c r="U60" s="404" t="n"/>
      <c r="V60" s="404" t="n"/>
      <c r="W60" s="404" t="n">
        <v>0</v>
      </c>
      <c r="X60" s="404" t="n">
        <v>1</v>
      </c>
      <c r="Y60" s="404" t="n">
        <v>0</v>
      </c>
      <c r="Z60" s="404" t="n"/>
      <c r="AA60" s="404" t="n"/>
      <c r="AB60" s="404" t="n"/>
    </row>
    <row r="61"/>
    <row r="62">
      <c r="A62" s="401" t="n">
        <v>3</v>
      </c>
      <c r="B62" s="401" t="n">
        <v>0</v>
      </c>
      <c r="C62" s="401" t="n"/>
      <c r="D62" s="401">
        <f>ROW(A80)</f>
        <v/>
      </c>
      <c r="E62" s="401" t="n"/>
      <c r="F62" s="401" t="inlineStr">
        <is>
          <t>Новая локальная смета</t>
        </is>
      </c>
      <c r="G62" s="401" t="inlineStr">
        <is>
          <t>Текстильщиков 2</t>
        </is>
      </c>
      <c r="H62" s="401" t="inlineStr"/>
      <c r="I62" s="401" t="n">
        <v>0</v>
      </c>
      <c r="J62" s="401" t="inlineStr"/>
      <c r="K62" s="401" t="n">
        <v>0</v>
      </c>
      <c r="L62" s="401" t="inlineStr">
        <is>
          <t>Новая локальная смета</t>
        </is>
      </c>
      <c r="M62" s="401" t="inlineStr"/>
      <c r="N62" s="401" t="n"/>
      <c r="O62" s="401" t="n"/>
      <c r="P62" s="401" t="n"/>
      <c r="Q62" s="401" t="n"/>
      <c r="R62" s="401" t="n"/>
      <c r="S62" s="401" t="n">
        <v>0</v>
      </c>
      <c r="T62" s="401" t="n"/>
      <c r="U62" s="401" t="inlineStr"/>
      <c r="V62" s="401" t="n">
        <v>0</v>
      </c>
      <c r="W62" s="401" t="n"/>
      <c r="X62" s="401" t="n"/>
      <c r="Y62" s="401" t="n"/>
      <c r="Z62" s="401" t="n"/>
      <c r="AA62" s="401" t="n"/>
      <c r="AB62" s="401" t="inlineStr"/>
      <c r="AC62" s="401" t="inlineStr"/>
      <c r="AD62" s="401" t="inlineStr"/>
      <c r="AE62" s="401" t="inlineStr"/>
      <c r="AF62" s="401" t="inlineStr"/>
      <c r="AG62" s="401" t="inlineStr"/>
      <c r="AH62" s="401" t="n"/>
      <c r="AI62" s="401" t="n"/>
      <c r="AJ62" s="401" t="n"/>
      <c r="AK62" s="401" t="n"/>
      <c r="AL62" s="401" t="n"/>
      <c r="AM62" s="401" t="n"/>
      <c r="AN62" s="401" t="n"/>
      <c r="AO62" s="401" t="n"/>
      <c r="AP62" s="401" t="inlineStr"/>
      <c r="AQ62" s="401" t="inlineStr"/>
      <c r="AR62" s="401" t="inlineStr"/>
      <c r="AS62" s="401" t="n"/>
      <c r="AT62" s="401" t="n"/>
      <c r="AU62" s="401" t="n"/>
      <c r="AV62" s="401" t="n"/>
      <c r="AW62" s="401" t="n"/>
      <c r="AX62" s="401" t="n"/>
      <c r="AY62" s="401" t="n"/>
      <c r="AZ62" s="401" t="inlineStr"/>
      <c r="BA62" s="401" t="n"/>
      <c r="BB62" s="401" t="inlineStr"/>
      <c r="BC62" s="401" t="inlineStr"/>
      <c r="BD62" s="401" t="inlineStr"/>
      <c r="BE62" s="401" t="inlineStr"/>
      <c r="BF62" s="401" t="inlineStr"/>
      <c r="BG62" s="401" t="inlineStr"/>
      <c r="BH62" s="401" t="inlineStr"/>
      <c r="BI62" s="401" t="inlineStr"/>
      <c r="BJ62" s="401" t="inlineStr"/>
      <c r="BK62" s="401" t="inlineStr"/>
      <c r="BL62" s="401" t="inlineStr"/>
      <c r="BM62" s="401" t="inlineStr"/>
      <c r="BN62" s="401" t="inlineStr"/>
      <c r="BO62" s="401" t="inlineStr"/>
      <c r="BP62" s="401" t="inlineStr"/>
      <c r="BQ62" s="401" t="n"/>
      <c r="BR62" s="401" t="n"/>
      <c r="BS62" s="401" t="n"/>
      <c r="BT62" s="401" t="n"/>
      <c r="BU62" s="401" t="n"/>
      <c r="BV62" s="401" t="n"/>
      <c r="BW62" s="401" t="n"/>
      <c r="BX62" s="401" t="n">
        <v>0</v>
      </c>
      <c r="BY62" s="401" t="n"/>
      <c r="BZ62" s="401" t="n"/>
      <c r="CA62" s="401" t="n"/>
      <c r="CB62" s="401" t="n"/>
      <c r="CC62" s="401" t="n"/>
      <c r="CD62" s="401" t="n"/>
      <c r="CE62" s="401" t="n"/>
      <c r="CF62" s="401" t="n">
        <v>0</v>
      </c>
      <c r="CG62" s="401" t="n">
        <v>0</v>
      </c>
      <c r="CH62" s="401" t="n"/>
      <c r="CI62" s="401" t="inlineStr"/>
      <c r="CJ62" s="401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402" t="n">
        <v>52</v>
      </c>
      <c r="B64" s="402">
        <f>B80</f>
        <v/>
      </c>
      <c r="C64" s="402">
        <f>C80</f>
        <v/>
      </c>
      <c r="D64" s="402">
        <f>D80</f>
        <v/>
      </c>
      <c r="E64" s="402">
        <f>E80</f>
        <v/>
      </c>
      <c r="F64" s="402">
        <f>F80</f>
        <v/>
      </c>
      <c r="G64" s="402">
        <f>G80</f>
        <v/>
      </c>
      <c r="H64" s="402" t="n"/>
      <c r="I64" s="402" t="n"/>
      <c r="J64" s="402" t="n"/>
      <c r="K64" s="402" t="n"/>
      <c r="L64" s="402" t="n"/>
      <c r="M64" s="402" t="n"/>
      <c r="N64" s="402" t="n"/>
      <c r="O64" s="402">
        <f>O80</f>
        <v/>
      </c>
      <c r="P64" s="402">
        <f>P80</f>
        <v/>
      </c>
      <c r="Q64" s="402">
        <f>Q80</f>
        <v/>
      </c>
      <c r="R64" s="402">
        <f>R80</f>
        <v/>
      </c>
      <c r="S64" s="402">
        <f>S80</f>
        <v/>
      </c>
      <c r="T64" s="402">
        <f>T80</f>
        <v/>
      </c>
      <c r="U64" s="402">
        <f>U80</f>
        <v/>
      </c>
      <c r="V64" s="402">
        <f>V80</f>
        <v/>
      </c>
      <c r="W64" s="402">
        <f>W80</f>
        <v/>
      </c>
      <c r="X64" s="402">
        <f>X80</f>
        <v/>
      </c>
      <c r="Y64" s="402">
        <f>Y80</f>
        <v/>
      </c>
      <c r="Z64" s="402">
        <f>Z80</f>
        <v/>
      </c>
      <c r="AA64" s="402">
        <f>AA80</f>
        <v/>
      </c>
      <c r="AB64" s="402">
        <f>AB80</f>
        <v/>
      </c>
      <c r="AC64" s="402">
        <f>AC80</f>
        <v/>
      </c>
      <c r="AD64" s="402">
        <f>AD80</f>
        <v/>
      </c>
      <c r="AE64" s="402">
        <f>AE80</f>
        <v/>
      </c>
      <c r="AF64" s="402">
        <f>AF80</f>
        <v/>
      </c>
      <c r="AG64" s="402">
        <f>AG80</f>
        <v/>
      </c>
      <c r="AH64" s="402">
        <f>AH80</f>
        <v/>
      </c>
      <c r="AI64" s="402">
        <f>AI80</f>
        <v/>
      </c>
      <c r="AJ64" s="402">
        <f>AJ80</f>
        <v/>
      </c>
      <c r="AK64" s="402">
        <f>AK80</f>
        <v/>
      </c>
      <c r="AL64" s="402">
        <f>AL80</f>
        <v/>
      </c>
      <c r="AM64" s="402">
        <f>AM80</f>
        <v/>
      </c>
      <c r="AN64" s="402">
        <f>AN80</f>
        <v/>
      </c>
      <c r="AO64" s="402">
        <f>AO80</f>
        <v/>
      </c>
      <c r="AP64" s="402">
        <f>AP80</f>
        <v/>
      </c>
      <c r="AQ64" s="402">
        <f>AQ80</f>
        <v/>
      </c>
      <c r="AR64" s="402">
        <f>AR80</f>
        <v/>
      </c>
      <c r="AS64" s="402">
        <f>AS80</f>
        <v/>
      </c>
      <c r="AT64" s="402">
        <f>AT80</f>
        <v/>
      </c>
      <c r="AU64" s="402">
        <f>AU80</f>
        <v/>
      </c>
      <c r="AV64" s="402">
        <f>AV80</f>
        <v/>
      </c>
      <c r="AW64" s="402">
        <f>AW80</f>
        <v/>
      </c>
      <c r="AX64" s="402">
        <f>AX80</f>
        <v/>
      </c>
      <c r="AY64" s="402">
        <f>AY80</f>
        <v/>
      </c>
      <c r="AZ64" s="402">
        <f>AZ80</f>
        <v/>
      </c>
      <c r="BA64" s="402">
        <f>BA80</f>
        <v/>
      </c>
      <c r="BB64" s="402">
        <f>BB80</f>
        <v/>
      </c>
      <c r="BC64" s="402">
        <f>BC80</f>
        <v/>
      </c>
      <c r="BD64" s="402">
        <f>BD80</f>
        <v/>
      </c>
      <c r="BE64" s="402">
        <f>BE80</f>
        <v/>
      </c>
      <c r="BF64" s="402">
        <f>BF80</f>
        <v/>
      </c>
      <c r="BG64" s="402">
        <f>BG80</f>
        <v/>
      </c>
      <c r="BH64" s="402">
        <f>BH80</f>
        <v/>
      </c>
      <c r="BI64" s="402">
        <f>BI80</f>
        <v/>
      </c>
      <c r="BJ64" s="402">
        <f>BJ80</f>
        <v/>
      </c>
      <c r="BK64" s="402">
        <f>BK80</f>
        <v/>
      </c>
      <c r="BL64" s="402">
        <f>BL80</f>
        <v/>
      </c>
      <c r="BM64" s="402">
        <f>BM80</f>
        <v/>
      </c>
      <c r="BN64" s="402">
        <f>BN80</f>
        <v/>
      </c>
      <c r="BO64" s="402">
        <f>BO80</f>
        <v/>
      </c>
      <c r="BP64" s="402">
        <f>BP80</f>
        <v/>
      </c>
      <c r="BQ64" s="402">
        <f>BQ80</f>
        <v/>
      </c>
      <c r="BR64" s="402">
        <f>BR80</f>
        <v/>
      </c>
      <c r="BS64" s="402">
        <f>BS80</f>
        <v/>
      </c>
      <c r="BT64" s="402">
        <f>BT80</f>
        <v/>
      </c>
      <c r="BU64" s="402">
        <f>BU80</f>
        <v/>
      </c>
      <c r="BV64" s="402">
        <f>BV80</f>
        <v/>
      </c>
      <c r="BW64" s="402">
        <f>BW80</f>
        <v/>
      </c>
      <c r="BX64" s="402">
        <f>BX80</f>
        <v/>
      </c>
      <c r="BY64" s="402">
        <f>BY80</f>
        <v/>
      </c>
      <c r="BZ64" s="402">
        <f>BZ80</f>
        <v/>
      </c>
      <c r="CA64" s="402">
        <f>CA80</f>
        <v/>
      </c>
      <c r="CB64" s="402">
        <f>CB80</f>
        <v/>
      </c>
      <c r="CC64" s="402">
        <f>CC80</f>
        <v/>
      </c>
      <c r="CD64" s="402">
        <f>CD80</f>
        <v/>
      </c>
      <c r="CE64" s="402">
        <f>CE80</f>
        <v/>
      </c>
      <c r="CF64" s="402">
        <f>CF80</f>
        <v/>
      </c>
      <c r="CG64" s="402">
        <f>CG80</f>
        <v/>
      </c>
      <c r="CH64" s="402">
        <f>CH80</f>
        <v/>
      </c>
      <c r="CI64" s="402">
        <f>CI80</f>
        <v/>
      </c>
      <c r="CJ64" s="402">
        <f>CJ80</f>
        <v/>
      </c>
      <c r="CK64" s="402">
        <f>CK80</f>
        <v/>
      </c>
      <c r="CL64" s="402">
        <f>CL80</f>
        <v/>
      </c>
      <c r="CM64" s="402">
        <f>CM80</f>
        <v/>
      </c>
      <c r="CN64" s="402">
        <f>CN80</f>
        <v/>
      </c>
      <c r="CO64" s="402">
        <f>CO80</f>
        <v/>
      </c>
      <c r="CP64" s="402">
        <f>CP80</f>
        <v/>
      </c>
      <c r="CQ64" s="402">
        <f>CQ80</f>
        <v/>
      </c>
      <c r="CR64" s="402">
        <f>CR80</f>
        <v/>
      </c>
      <c r="CS64" s="402">
        <f>CS80</f>
        <v/>
      </c>
      <c r="CT64" s="402">
        <f>CT80</f>
        <v/>
      </c>
      <c r="CU64" s="402">
        <f>CU80</f>
        <v/>
      </c>
      <c r="CV64" s="402">
        <f>CV80</f>
        <v/>
      </c>
      <c r="CW64" s="402">
        <f>CW80</f>
        <v/>
      </c>
      <c r="CX64" s="402">
        <f>CX80</f>
        <v/>
      </c>
      <c r="CY64" s="402">
        <f>CY80</f>
        <v/>
      </c>
      <c r="CZ64" s="402">
        <f>CZ80</f>
        <v/>
      </c>
      <c r="DA64" s="402">
        <f>DA80</f>
        <v/>
      </c>
      <c r="DB64" s="402">
        <f>DB80</f>
        <v/>
      </c>
      <c r="DC64" s="402">
        <f>DC80</f>
        <v/>
      </c>
      <c r="DD64" s="402">
        <f>DD80</f>
        <v/>
      </c>
      <c r="DE64" s="402">
        <f>DE80</f>
        <v/>
      </c>
      <c r="DF64" s="402">
        <f>DF80</f>
        <v/>
      </c>
      <c r="DG64" s="403">
        <f>DG80</f>
        <v/>
      </c>
      <c r="DH64" s="403">
        <f>DH80</f>
        <v/>
      </c>
      <c r="DI64" s="403">
        <f>DI80</f>
        <v/>
      </c>
      <c r="DJ64" s="403">
        <f>DJ80</f>
        <v/>
      </c>
      <c r="DK64" s="403">
        <f>DK80</f>
        <v/>
      </c>
      <c r="DL64" s="403">
        <f>DL80</f>
        <v/>
      </c>
      <c r="DM64" s="403">
        <f>DM80</f>
        <v/>
      </c>
      <c r="DN64" s="403">
        <f>DN80</f>
        <v/>
      </c>
      <c r="DO64" s="403">
        <f>DO80</f>
        <v/>
      </c>
      <c r="DP64" s="403">
        <f>DP80</f>
        <v/>
      </c>
      <c r="DQ64" s="403">
        <f>DQ80</f>
        <v/>
      </c>
      <c r="DR64" s="403">
        <f>DR80</f>
        <v/>
      </c>
      <c r="DS64" s="403">
        <f>DS80</f>
        <v/>
      </c>
      <c r="DT64" s="403">
        <f>DT80</f>
        <v/>
      </c>
      <c r="DU64" s="403">
        <f>DU80</f>
        <v/>
      </c>
      <c r="DV64" s="403">
        <f>DV80</f>
        <v/>
      </c>
      <c r="DW64" s="403">
        <f>DW80</f>
        <v/>
      </c>
      <c r="DX64" s="403">
        <f>DX80</f>
        <v/>
      </c>
      <c r="DY64" s="403">
        <f>DY80</f>
        <v/>
      </c>
      <c r="DZ64" s="403">
        <f>DZ80</f>
        <v/>
      </c>
      <c r="EA64" s="403">
        <f>EA80</f>
        <v/>
      </c>
      <c r="EB64" s="403">
        <f>EB80</f>
        <v/>
      </c>
      <c r="EC64" s="403">
        <f>EC80</f>
        <v/>
      </c>
      <c r="ED64" s="403">
        <f>ED80</f>
        <v/>
      </c>
      <c r="EE64" s="403">
        <f>EE80</f>
        <v/>
      </c>
      <c r="EF64" s="403">
        <f>EF80</f>
        <v/>
      </c>
      <c r="EG64" s="403">
        <f>EG80</f>
        <v/>
      </c>
      <c r="EH64" s="403">
        <f>EH80</f>
        <v/>
      </c>
      <c r="EI64" s="403">
        <f>EI80</f>
        <v/>
      </c>
      <c r="EJ64" s="403">
        <f>EJ80</f>
        <v/>
      </c>
      <c r="EK64" s="403">
        <f>EK80</f>
        <v/>
      </c>
      <c r="EL64" s="403">
        <f>EL80</f>
        <v/>
      </c>
      <c r="EM64" s="403">
        <f>EM80</f>
        <v/>
      </c>
      <c r="EN64" s="403">
        <f>EN80</f>
        <v/>
      </c>
      <c r="EO64" s="403">
        <f>EO80</f>
        <v/>
      </c>
      <c r="EP64" s="403">
        <f>EP80</f>
        <v/>
      </c>
      <c r="EQ64" s="403">
        <f>EQ80</f>
        <v/>
      </c>
      <c r="ER64" s="403">
        <f>ER80</f>
        <v/>
      </c>
      <c r="ES64" s="403">
        <f>ES80</f>
        <v/>
      </c>
      <c r="ET64" s="403">
        <f>ET80</f>
        <v/>
      </c>
      <c r="EU64" s="403">
        <f>EU80</f>
        <v/>
      </c>
      <c r="EV64" s="403">
        <f>EV80</f>
        <v/>
      </c>
      <c r="EW64" s="403">
        <f>EW80</f>
        <v/>
      </c>
      <c r="EX64" s="403">
        <f>EX80</f>
        <v/>
      </c>
      <c r="EY64" s="403">
        <f>EY80</f>
        <v/>
      </c>
      <c r="EZ64" s="403">
        <f>EZ80</f>
        <v/>
      </c>
      <c r="FA64" s="403">
        <f>FA80</f>
        <v/>
      </c>
      <c r="FB64" s="403">
        <f>FB80</f>
        <v/>
      </c>
      <c r="FC64" s="403">
        <f>FC80</f>
        <v/>
      </c>
      <c r="FD64" s="403">
        <f>FD80</f>
        <v/>
      </c>
      <c r="FE64" s="403">
        <f>FE80</f>
        <v/>
      </c>
      <c r="FF64" s="403">
        <f>FF80</f>
        <v/>
      </c>
      <c r="FG64" s="403">
        <f>FG80</f>
        <v/>
      </c>
      <c r="FH64" s="403">
        <f>FH80</f>
        <v/>
      </c>
      <c r="FI64" s="403">
        <f>FI80</f>
        <v/>
      </c>
      <c r="FJ64" s="403">
        <f>FJ80</f>
        <v/>
      </c>
      <c r="FK64" s="403">
        <f>FK80</f>
        <v/>
      </c>
      <c r="FL64" s="403">
        <f>FL80</f>
        <v/>
      </c>
      <c r="FM64" s="403">
        <f>FM80</f>
        <v/>
      </c>
      <c r="FN64" s="403">
        <f>FN80</f>
        <v/>
      </c>
      <c r="FO64" s="403">
        <f>FO80</f>
        <v/>
      </c>
      <c r="FP64" s="403">
        <f>FP80</f>
        <v/>
      </c>
      <c r="FQ64" s="403">
        <f>FQ80</f>
        <v/>
      </c>
      <c r="FR64" s="403">
        <f>FR80</f>
        <v/>
      </c>
      <c r="FS64" s="403">
        <f>FS80</f>
        <v/>
      </c>
      <c r="FT64" s="403">
        <f>FT80</f>
        <v/>
      </c>
      <c r="FU64" s="403">
        <f>FU80</f>
        <v/>
      </c>
      <c r="FV64" s="403">
        <f>FV80</f>
        <v/>
      </c>
      <c r="FW64" s="403">
        <f>FW80</f>
        <v/>
      </c>
      <c r="FX64" s="403">
        <f>FX80</f>
        <v/>
      </c>
      <c r="FY64" s="403">
        <f>FY80</f>
        <v/>
      </c>
      <c r="FZ64" s="403">
        <f>FZ80</f>
        <v/>
      </c>
      <c r="GA64" s="403">
        <f>GA80</f>
        <v/>
      </c>
      <c r="GB64" s="403">
        <f>GB80</f>
        <v/>
      </c>
      <c r="GC64" s="403">
        <f>GC80</f>
        <v/>
      </c>
      <c r="GD64" s="403">
        <f>GD80</f>
        <v/>
      </c>
      <c r="GE64" s="403">
        <f>GE80</f>
        <v/>
      </c>
      <c r="GF64" s="403">
        <f>GF80</f>
        <v/>
      </c>
      <c r="GG64" s="403">
        <f>GG80</f>
        <v/>
      </c>
      <c r="GH64" s="403">
        <f>GH80</f>
        <v/>
      </c>
      <c r="GI64" s="403">
        <f>GI80</f>
        <v/>
      </c>
      <c r="GJ64" s="403">
        <f>GJ80</f>
        <v/>
      </c>
      <c r="GK64" s="403">
        <f>GK80</f>
        <v/>
      </c>
      <c r="GL64" s="403">
        <f>GL80</f>
        <v/>
      </c>
      <c r="GM64" s="403">
        <f>GM80</f>
        <v/>
      </c>
      <c r="GN64" s="403">
        <f>GN80</f>
        <v/>
      </c>
      <c r="GO64" s="403">
        <f>GO80</f>
        <v/>
      </c>
      <c r="GP64" s="403">
        <f>GP80</f>
        <v/>
      </c>
      <c r="GQ64" s="403">
        <f>GQ80</f>
        <v/>
      </c>
      <c r="GR64" s="403">
        <f>GR80</f>
        <v/>
      </c>
      <c r="GS64" s="403">
        <f>GS80</f>
        <v/>
      </c>
      <c r="GT64" s="403">
        <f>GT80</f>
        <v/>
      </c>
      <c r="GU64" s="403">
        <f>GU80</f>
        <v/>
      </c>
      <c r="GV64" s="403">
        <f>GV80</f>
        <v/>
      </c>
      <c r="GW64" s="403">
        <f>GW80</f>
        <v/>
      </c>
      <c r="GX64" s="403">
        <f>GX80</f>
        <v/>
      </c>
    </row>
    <row r="65"/>
    <row r="66">
      <c r="A66" t="n">
        <v>17</v>
      </c>
      <c r="B66" t="n">
        <v>0</v>
      </c>
      <c r="C66">
        <f>ROW(SmtRes!A19)</f>
        <v/>
      </c>
      <c r="D66">
        <f>ROW(EtalonRes!A18)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ROUND(ROUND(75/100,4),7)</f>
        <v/>
      </c>
      <c r="J66" t="n">
        <v>0</v>
      </c>
      <c r="K66">
        <f>ROUND(ROUND(75/100,4),7)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78869116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17</v>
      </c>
      <c r="B67" t="n">
        <v>0</v>
      </c>
      <c r="C67">
        <f>ROW(SmtRes!A22)</f>
        <v/>
      </c>
      <c r="D67">
        <f>ROW(EtalonRes!A20)</f>
        <v/>
      </c>
      <c r="E67" t="inlineStr">
        <is>
          <t>2</t>
        </is>
      </c>
      <c r="F67" t="inlineStr">
        <is>
          <t>67-5-2</t>
        </is>
      </c>
      <c r="G67" t="inlineStr">
        <is>
          <t>Смена ламп люминесцентных</t>
        </is>
      </c>
      <c r="H67" t="inlineStr">
        <is>
          <t>100 шт.</t>
        </is>
      </c>
      <c r="I67">
        <f>ROUND(ROUND(2/100,4),7)</f>
        <v/>
      </c>
      <c r="J67" t="n">
        <v>0</v>
      </c>
      <c r="K67">
        <f>ROUND(ROUND(2/100,4),7)</f>
        <v/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78869116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970.5700000000001</v>
      </c>
      <c r="AL67" t="n">
        <v>852</v>
      </c>
      <c r="AM67" t="n">
        <v>0</v>
      </c>
      <c r="AN67" t="n">
        <v>0</v>
      </c>
      <c r="AO67" t="n">
        <v>118.57</v>
      </c>
      <c r="AP67" t="n">
        <v>0</v>
      </c>
      <c r="AQ67" t="n">
        <v>13.9</v>
      </c>
      <c r="AR67" t="n">
        <v>0</v>
      </c>
      <c r="AS67" t="n">
        <v>0</v>
      </c>
      <c r="AT67" t="n">
        <v>91</v>
      </c>
      <c r="AU67" t="n">
        <v>48</v>
      </c>
      <c r="AV67" t="n">
        <v>1</v>
      </c>
      <c r="AW67" t="n">
        <v>1</v>
      </c>
      <c r="AZ67" t="n">
        <v>1</v>
      </c>
      <c r="BA67" t="n">
        <v>52.25</v>
      </c>
      <c r="BB67" t="n">
        <v>1</v>
      </c>
      <c r="BC67" t="n">
        <v>4.14</v>
      </c>
      <c r="BD67" t="inlineStr"/>
      <c r="BE67" t="inlineStr"/>
      <c r="BF67" t="inlineStr"/>
      <c r="BG67" t="inlineStr"/>
      <c r="BH67" t="n">
        <v>0</v>
      </c>
      <c r="BI67" t="n">
        <v>1</v>
      </c>
      <c r="BJ67" t="inlineStr">
        <is>
          <t>ТЕРр Московской обл., 67-5-2, приказ Минстроя России №675/пр от 28.02.2017 № 263/пр</t>
        </is>
      </c>
      <c r="BM67" t="n">
        <v>67001</v>
      </c>
      <c r="BN67" t="n">
        <v>0</v>
      </c>
      <c r="BO67" t="inlineStr">
        <is>
          <t>67-5-2</t>
        </is>
      </c>
      <c r="BP67" t="n">
        <v>1</v>
      </c>
      <c r="BQ67" t="n">
        <v>6</v>
      </c>
      <c r="BR67" t="n">
        <v>0</v>
      </c>
      <c r="BS67" t="n">
        <v>52.25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91</v>
      </c>
      <c r="CA67" t="n">
        <v>48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AC67*BC67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1010</v>
      </c>
      <c r="DV67" t="inlineStr">
        <is>
          <t>100 шт.</t>
        </is>
      </c>
      <c r="DW67" t="inlineStr">
        <is>
          <t>100 шт.</t>
        </is>
      </c>
      <c r="DX67" t="n">
        <v>100</v>
      </c>
      <c r="DZ67" t="inlineStr"/>
      <c r="EA67" t="inlineStr"/>
      <c r="EB67" t="inlineStr"/>
      <c r="EC67" t="inlineStr"/>
      <c r="EE67" t="n">
        <v>78726030</v>
      </c>
      <c r="EF67" t="n">
        <v>6</v>
      </c>
      <c r="EG67" t="inlineStr">
        <is>
          <t>Ремонтно-строительные работы</t>
        </is>
      </c>
      <c r="EH67" t="n">
        <v>101</v>
      </c>
      <c r="EI67" t="inlineStr">
        <is>
          <t>Электромонтажные работы</t>
        </is>
      </c>
      <c r="EJ67" t="n">
        <v>1</v>
      </c>
      <c r="EK67" t="n">
        <v>67001</v>
      </c>
      <c r="EL67" t="inlineStr">
        <is>
          <t>Электромонтажные работы</t>
        </is>
      </c>
      <c r="EM67" t="inlineStr">
        <is>
          <t>рФЕР-67</t>
        </is>
      </c>
      <c r="EO67" t="inlineStr"/>
      <c r="EQ67" t="n">
        <v>0</v>
      </c>
      <c r="ER67" t="n">
        <v>970.5700000000001</v>
      </c>
      <c r="ES67" t="n">
        <v>852</v>
      </c>
      <c r="ET67" t="n">
        <v>0</v>
      </c>
      <c r="EU67" t="n">
        <v>0</v>
      </c>
      <c r="EV67" t="n">
        <v>118.57</v>
      </c>
      <c r="EW67" t="n">
        <v>13.9</v>
      </c>
      <c r="EX67" t="n">
        <v>0</v>
      </c>
      <c r="EY67" t="n">
        <v>0</v>
      </c>
      <c r="FQ67" t="n">
        <v>0</v>
      </c>
      <c r="FR67" t="n">
        <v>0</v>
      </c>
      <c r="FS67" t="n">
        <v>0</v>
      </c>
      <c r="FX67" t="n">
        <v>91</v>
      </c>
      <c r="FY67" t="n">
        <v>48</v>
      </c>
      <c r="GA67" t="inlineStr"/>
      <c r="GD67" t="n">
        <v>1</v>
      </c>
      <c r="GF67" t="n">
        <v>1400342257</v>
      </c>
      <c r="GG67" t="n">
        <v>2</v>
      </c>
      <c r="GH67" t="n">
        <v>1</v>
      </c>
      <c r="GI67" t="n">
        <v>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0</v>
      </c>
      <c r="GS67" t="n">
        <v>3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/>
      <c r="HF67" t="inlineStr"/>
      <c r="HM67" t="inlineStr"/>
      <c r="HN67" t="inlineStr">
        <is>
          <t>Пр/812-101.0-1</t>
        </is>
      </c>
      <c r="HO67" t="inlineStr">
        <is>
          <t>Пр/774-101.0</t>
        </is>
      </c>
      <c r="HP67" t="inlineStr">
        <is>
          <t>Электромонтажные работы</t>
        </is>
      </c>
      <c r="HQ67" t="inlineStr">
        <is>
          <t>Электромонтажные работы</t>
        </is>
      </c>
      <c r="HS67" t="n">
        <v>0</v>
      </c>
      <c r="IK67" t="n">
        <v>0</v>
      </c>
    </row>
    <row r="68">
      <c r="A68" t="n">
        <v>18</v>
      </c>
      <c r="B68" t="n">
        <v>0</v>
      </c>
      <c r="C68" t="n">
        <v>22</v>
      </c>
      <c r="E68" t="inlineStr">
        <is>
          <t>2,1</t>
        </is>
      </c>
      <c r="F68" t="inlineStr">
        <is>
          <t>509-6744</t>
        </is>
      </c>
      <c r="G68" t="inlineStr">
        <is>
          <t>Лампы люминесцентные компактные энергосберегающие с цоколем Е27 мощностью 55 Вт</t>
        </is>
      </c>
      <c r="H68" t="inlineStr">
        <is>
          <t>шт.</t>
        </is>
      </c>
      <c r="I68">
        <f>I67*J68</f>
        <v/>
      </c>
      <c r="J68" t="n">
        <v>100</v>
      </c>
      <c r="K68" t="n">
        <v>100</v>
      </c>
      <c r="O68">
        <f>ROUND(CP68,0)</f>
        <v/>
      </c>
      <c r="P68">
        <f>ROUND(CQ68*I68,0)</f>
        <v/>
      </c>
      <c r="Q68">
        <f>(ROUND((ROUND(((ET68)*I68),0)*BB68),0)+ROUND((ROUND(((AE68-(EU68))*I68),0)*BS68),0))</f>
        <v/>
      </c>
      <c r="R68">
        <f>(ROUND((ROUND(((EU68)*I68),0)*BS68),0)+ROUND((ROUND(((AE68-(EU68))*I68),0)*BS68),0))</f>
        <v/>
      </c>
      <c r="S68">
        <f>ROUND(CT68*I68,0)</f>
        <v/>
      </c>
      <c r="T68">
        <f>ROUND(CU68*I68,0)</f>
        <v/>
      </c>
      <c r="U68">
        <f>ROUND(CV68*I68,7)</f>
        <v/>
      </c>
      <c r="V68">
        <f>ROUND(CW68*I68,7)</f>
        <v/>
      </c>
      <c r="W68">
        <f>ROUND(CX68*I68,0)</f>
        <v/>
      </c>
      <c r="X68">
        <f>ROUND(CY68,0)</f>
        <v/>
      </c>
      <c r="Y68">
        <f>ROUND(CZ68,0)</f>
        <v/>
      </c>
      <c r="AA68" t="n">
        <v>78869116</v>
      </c>
      <c r="AB68">
        <f>ROUND((AC68+AD68+AF68),2)</f>
        <v/>
      </c>
      <c r="AC68">
        <f>ROUND((ES68),2)</f>
        <v/>
      </c>
      <c r="AD68">
        <f>ROUND((((ET68)-(EU68))+AE68),2)</f>
        <v/>
      </c>
      <c r="AE68">
        <f>ROUND((EU68),2)</f>
        <v/>
      </c>
      <c r="AF68">
        <f>ROUND((EV68),2)</f>
        <v/>
      </c>
      <c r="AG68">
        <f>ROUND((AP68),2)</f>
        <v/>
      </c>
      <c r="AH68">
        <f>(EW68)</f>
        <v/>
      </c>
      <c r="AI68">
        <f>(EX68)</f>
        <v/>
      </c>
      <c r="AJ68">
        <f>(AS68)</f>
        <v/>
      </c>
      <c r="AK68" t="n">
        <v>140.69</v>
      </c>
      <c r="AL68" t="n">
        <v>140.69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  <c r="AS68" t="n">
        <v>0.02</v>
      </c>
      <c r="AT68" t="n">
        <v>91</v>
      </c>
      <c r="AU68" t="n">
        <v>48</v>
      </c>
      <c r="AV68" t="n">
        <v>1</v>
      </c>
      <c r="AW68" t="n">
        <v>1</v>
      </c>
      <c r="AZ68" t="n">
        <v>1</v>
      </c>
      <c r="BA68" t="n">
        <v>1</v>
      </c>
      <c r="BB68" t="n">
        <v>1</v>
      </c>
      <c r="BC68" t="n">
        <v>1.69</v>
      </c>
      <c r="BD68" t="inlineStr"/>
      <c r="BE68" t="inlineStr"/>
      <c r="BF68" t="inlineStr"/>
      <c r="BG68" t="inlineStr"/>
      <c r="BH68" t="n">
        <v>3</v>
      </c>
      <c r="BI68" t="n">
        <v>1</v>
      </c>
      <c r="BJ68" t="inlineStr">
        <is>
          <t>ТССЦ Московской обл., 509-6744, приказ Минстроя России №675/пр от 28.02.2017 № 258/пр</t>
        </is>
      </c>
      <c r="BM68" t="n">
        <v>67001</v>
      </c>
      <c r="BN68" t="n">
        <v>0</v>
      </c>
      <c r="BO68" t="inlineStr">
        <is>
          <t>509-6744</t>
        </is>
      </c>
      <c r="BP68" t="n">
        <v>1</v>
      </c>
      <c r="BQ68" t="n">
        <v>6</v>
      </c>
      <c r="BR68" t="n">
        <v>0</v>
      </c>
      <c r="BS68" t="n">
        <v>1</v>
      </c>
      <c r="BT68" t="n">
        <v>1</v>
      </c>
      <c r="BU68" t="n">
        <v>1</v>
      </c>
      <c r="BV68" t="n">
        <v>1</v>
      </c>
      <c r="BW68" t="n">
        <v>1</v>
      </c>
      <c r="BX68" t="n">
        <v>1</v>
      </c>
      <c r="BY68" t="inlineStr"/>
      <c r="BZ68" t="n">
        <v>91</v>
      </c>
      <c r="CA68" t="n">
        <v>48</v>
      </c>
      <c r="CB68" t="inlineStr"/>
      <c r="CE68" t="n">
        <v>12</v>
      </c>
      <c r="CF68" t="n">
        <v>0</v>
      </c>
      <c r="CG68" t="n">
        <v>0</v>
      </c>
      <c r="CM68" t="n">
        <v>0</v>
      </c>
      <c r="CN68" t="inlineStr"/>
      <c r="CO68" t="n">
        <v>0</v>
      </c>
      <c r="CP68">
        <f>(P68+Q68+S68)</f>
        <v/>
      </c>
      <c r="CQ68">
        <f>AC68*BC68</f>
        <v/>
      </c>
      <c r="CR68">
        <f>(ROUND((ROUND(((ET68)*1),0)*BB68),0)+ROUND((ROUND(((AE68-(EU68))*1),0)*BS68),0))</f>
        <v/>
      </c>
      <c r="CS68">
        <f>(ROUND((ROUND(((EU68)*1),0)*BS68),0)+ROUND((ROUND(((AE68-(EU68))*1),0)*BS68),0))</f>
        <v/>
      </c>
      <c r="CT68">
        <f>AF68*BA68</f>
        <v/>
      </c>
      <c r="CU68">
        <f>AG68</f>
        <v/>
      </c>
      <c r="CV68">
        <f>AH68</f>
        <v/>
      </c>
      <c r="CW68">
        <f>AI68</f>
        <v/>
      </c>
      <c r="CX68">
        <f>AJ68</f>
        <v/>
      </c>
      <c r="CY68">
        <f>(((S68+R68)*AT68)/100)</f>
        <v/>
      </c>
      <c r="CZ68">
        <f>(((S68+R68)*AU68)/100)</f>
        <v/>
      </c>
      <c r="DC68" t="inlineStr"/>
      <c r="DD68" t="inlineStr"/>
      <c r="DE68" t="inlineStr"/>
      <c r="DF68" t="inlineStr"/>
      <c r="DG68" t="inlineStr"/>
      <c r="DH68" t="inlineStr"/>
      <c r="DI68" t="inlineStr"/>
      <c r="DJ68" t="inlineStr"/>
      <c r="DK68" t="inlineStr"/>
      <c r="DL68" t="inlineStr"/>
      <c r="DM68" t="inlineStr"/>
      <c r="DN68" t="n">
        <v>0</v>
      </c>
      <c r="DO68" t="n">
        <v>0</v>
      </c>
      <c r="DP68" t="n">
        <v>1</v>
      </c>
      <c r="DQ68" t="n">
        <v>1</v>
      </c>
      <c r="DU68" t="n">
        <v>1010</v>
      </c>
      <c r="DV68" t="inlineStr">
        <is>
          <t>шт.</t>
        </is>
      </c>
      <c r="DW68" t="inlineStr">
        <is>
          <t>шт.</t>
        </is>
      </c>
      <c r="DX68" t="n">
        <v>1</v>
      </c>
      <c r="DZ68" t="inlineStr"/>
      <c r="EA68" t="inlineStr"/>
      <c r="EB68" t="inlineStr"/>
      <c r="EC68" t="inlineStr"/>
      <c r="EE68" t="n">
        <v>78726030</v>
      </c>
      <c r="EF68" t="n">
        <v>6</v>
      </c>
      <c r="EG68" t="inlineStr">
        <is>
          <t>Ремонтно-строительные работы</t>
        </is>
      </c>
      <c r="EH68" t="n">
        <v>101</v>
      </c>
      <c r="EI68" t="inlineStr">
        <is>
          <t>Электромонтажные работы</t>
        </is>
      </c>
      <c r="EJ68" t="n">
        <v>1</v>
      </c>
      <c r="EK68" t="n">
        <v>67001</v>
      </c>
      <c r="EL68" t="inlineStr">
        <is>
          <t>Электромонтажные работы</t>
        </is>
      </c>
      <c r="EM68" t="inlineStr">
        <is>
          <t>рФЕР-67</t>
        </is>
      </c>
      <c r="EO68" t="inlineStr"/>
      <c r="EQ68" t="n">
        <v>0</v>
      </c>
      <c r="ER68" t="n">
        <v>140.69</v>
      </c>
      <c r="ES68" t="n">
        <v>140.69</v>
      </c>
      <c r="ET68" t="n">
        <v>0</v>
      </c>
      <c r="EU68" t="n">
        <v>0</v>
      </c>
      <c r="EV68" t="n">
        <v>0</v>
      </c>
      <c r="EW68" t="n">
        <v>0</v>
      </c>
      <c r="EX68" t="n">
        <v>0</v>
      </c>
      <c r="FQ68" t="n">
        <v>0</v>
      </c>
      <c r="FR68" t="n">
        <v>0</v>
      </c>
      <c r="FS68" t="n">
        <v>0</v>
      </c>
      <c r="FX68" t="n">
        <v>91</v>
      </c>
      <c r="FY68" t="n">
        <v>48</v>
      </c>
      <c r="GA68" t="inlineStr"/>
      <c r="GD68" t="n">
        <v>1</v>
      </c>
      <c r="GF68" t="n">
        <v>-228955380</v>
      </c>
      <c r="GG68" t="n">
        <v>2</v>
      </c>
      <c r="GH68" t="n">
        <v>1</v>
      </c>
      <c r="GI68" t="n">
        <v>2</v>
      </c>
      <c r="GJ68" t="n">
        <v>0</v>
      </c>
      <c r="GK68" t="n">
        <v>0</v>
      </c>
      <c r="GL68">
        <f>ROUND(IF(AND(BH68=3,BI68=3,FS68&lt;&gt;0),P68,0),0)</f>
        <v/>
      </c>
      <c r="GM68">
        <f>ROUND(O68+X68+Y68,0)+GX68</f>
        <v/>
      </c>
      <c r="GN68">
        <f>IF(OR(BI68=0,BI68=1),GM68-GX68,0)</f>
        <v/>
      </c>
      <c r="GO68">
        <f>IF(BI68=2,GM68-GX68,0)</f>
        <v/>
      </c>
      <c r="GP68">
        <f>IF(BI68=4,GM68-GX68,0)</f>
        <v/>
      </c>
      <c r="GR68" t="n">
        <v>0</v>
      </c>
      <c r="GS68" t="n">
        <v>3</v>
      </c>
      <c r="GT68" t="n">
        <v>0</v>
      </c>
      <c r="GU68" t="inlineStr"/>
      <c r="GV68">
        <f>ROUND((GT68),2)</f>
        <v/>
      </c>
      <c r="GW68" t="n">
        <v>1</v>
      </c>
      <c r="GX68">
        <f>ROUND(HC68*I68,0)</f>
        <v/>
      </c>
      <c r="HA68" t="n">
        <v>0</v>
      </c>
      <c r="HB68" t="n">
        <v>0</v>
      </c>
      <c r="HC68">
        <f>GV68*GW68</f>
        <v/>
      </c>
      <c r="HE68" t="inlineStr"/>
      <c r="HF68" t="inlineStr"/>
      <c r="HM68" t="inlineStr"/>
      <c r="HN68" t="inlineStr">
        <is>
          <t>Пр/812-101.0-1</t>
        </is>
      </c>
      <c r="HO68" t="inlineStr">
        <is>
          <t>Пр/774-101.0</t>
        </is>
      </c>
      <c r="HP68" t="inlineStr">
        <is>
          <t>Электромонтажные работы</t>
        </is>
      </c>
      <c r="HQ68" t="inlineStr">
        <is>
          <t>Электромонтажные работы</t>
        </is>
      </c>
      <c r="HS68" t="n">
        <v>0</v>
      </c>
      <c r="IK68" t="n">
        <v>0</v>
      </c>
    </row>
    <row r="69">
      <c r="A69" t="n">
        <v>17</v>
      </c>
      <c r="B69" t="n">
        <v>0</v>
      </c>
      <c r="C69">
        <f>ROW(SmtRes!A30)</f>
        <v/>
      </c>
      <c r="D69">
        <f>ROW(EtalonRes!A27)</f>
        <v/>
      </c>
      <c r="E69" t="inlineStr">
        <is>
          <t>3</t>
        </is>
      </c>
      <c r="F69" t="inlineStr">
        <is>
          <t>65-5-1</t>
        </is>
      </c>
      <c r="G69" t="inlineStr">
        <is>
          <t>Смена вентилей и клапанов обратных муфтовых диаметром до 20 мм</t>
        </is>
      </c>
      <c r="H69" t="inlineStr">
        <is>
          <t>100 шт.</t>
        </is>
      </c>
      <c r="I69">
        <f>ROUND(ROUND(1/100,4),7)</f>
        <v/>
      </c>
      <c r="J69" t="n">
        <v>0</v>
      </c>
      <c r="K69">
        <f>ROUND(ROUND(1/100,4),7)</f>
        <v/>
      </c>
      <c r="O69">
        <f>ROUND(CP69,0)</f>
        <v/>
      </c>
      <c r="P69">
        <f>ROUND(CQ69*I69,0)</f>
        <v/>
      </c>
      <c r="Q69">
        <f>(ROUND((ROUND(((ET69)*I69),0)*BB69),0)+ROUND((ROUND(((AE69-(EU69))*I69),0)*BS69),0))</f>
        <v/>
      </c>
      <c r="R69">
        <f>(ROUND((ROUND(((EU69)*I69),0)*BS69),0)+ROUND((ROUND(((AE69-(EU69))*I69),0)*BS69),0))</f>
        <v/>
      </c>
      <c r="S69">
        <f>ROUND(CT69*I69,0)</f>
        <v/>
      </c>
      <c r="T69">
        <f>ROUND(CU69*I69,0)</f>
        <v/>
      </c>
      <c r="U69">
        <f>ROUND(CV69*I69,7)</f>
        <v/>
      </c>
      <c r="V69">
        <f>ROUND(CW69*I69,7)</f>
        <v/>
      </c>
      <c r="W69">
        <f>ROUND(CX69*I69,0)</f>
        <v/>
      </c>
      <c r="X69">
        <f>ROUND(CY69,0)</f>
        <v/>
      </c>
      <c r="Y69">
        <f>ROUND(CZ69,0)</f>
        <v/>
      </c>
      <c r="AA69" t="n">
        <v>78869116</v>
      </c>
      <c r="AB69">
        <f>ROUND((AC69+AD69+AF69),2)</f>
        <v/>
      </c>
      <c r="AC69">
        <f>ROUND((ES69),2)</f>
        <v/>
      </c>
      <c r="AD69">
        <f>ROUND((((ET69)-(EU69))+AE69),2)</f>
        <v/>
      </c>
      <c r="AE69">
        <f>ROUND((EU69),2)</f>
        <v/>
      </c>
      <c r="AF69">
        <f>ROUND((EV69),2)</f>
        <v/>
      </c>
      <c r="AG69">
        <f>ROUND((AP69),2)</f>
        <v/>
      </c>
      <c r="AH69">
        <f>(EW69)</f>
        <v/>
      </c>
      <c r="AI69">
        <f>(EX69)</f>
        <v/>
      </c>
      <c r="AJ69">
        <f>(AS69)</f>
        <v/>
      </c>
      <c r="AK69" t="n">
        <v>2979.16</v>
      </c>
      <c r="AL69" t="n">
        <v>2240.13</v>
      </c>
      <c r="AM69" t="n">
        <v>4.36</v>
      </c>
      <c r="AN69" t="n">
        <v>0</v>
      </c>
      <c r="AO69" t="n">
        <v>734.67</v>
      </c>
      <c r="AP69" t="n">
        <v>0</v>
      </c>
      <c r="AQ69" t="n">
        <v>81</v>
      </c>
      <c r="AR69" t="n">
        <v>0</v>
      </c>
      <c r="AS69" t="n">
        <v>0</v>
      </c>
      <c r="AT69" t="n">
        <v>103</v>
      </c>
      <c r="AU69" t="n">
        <v>52</v>
      </c>
      <c r="AV69" t="n">
        <v>1</v>
      </c>
      <c r="AW69" t="n">
        <v>1</v>
      </c>
      <c r="AZ69" t="n">
        <v>1</v>
      </c>
      <c r="BA69" t="n">
        <v>52.25</v>
      </c>
      <c r="BB69" t="n">
        <v>24.98</v>
      </c>
      <c r="BC69" t="n">
        <v>10.16</v>
      </c>
      <c r="BD69" t="inlineStr"/>
      <c r="BE69" t="inlineStr"/>
      <c r="BF69" t="inlineStr"/>
      <c r="BG69" t="inlineStr"/>
      <c r="BH69" t="n">
        <v>0</v>
      </c>
      <c r="BI69" t="n">
        <v>1</v>
      </c>
      <c r="BJ69" t="inlineStr">
        <is>
          <t>ТЕРр Московской обл., 65-5-1, приказ Минстроя России №675/пр от 28.02.2017 № 263/пр</t>
        </is>
      </c>
      <c r="BM69" t="n">
        <v>65007</v>
      </c>
      <c r="BN69" t="n">
        <v>0</v>
      </c>
      <c r="BO69" t="inlineStr">
        <is>
          <t>65-5-1</t>
        </is>
      </c>
      <c r="BP69" t="n">
        <v>1</v>
      </c>
      <c r="BQ69" t="n">
        <v>6</v>
      </c>
      <c r="BR69" t="n">
        <v>0</v>
      </c>
      <c r="BS69" t="n">
        <v>52.25</v>
      </c>
      <c r="BT69" t="n">
        <v>1</v>
      </c>
      <c r="BU69" t="n">
        <v>1</v>
      </c>
      <c r="BV69" t="n">
        <v>1</v>
      </c>
      <c r="BW69" t="n">
        <v>1</v>
      </c>
      <c r="BX69" t="n">
        <v>1</v>
      </c>
      <c r="BY69" t="inlineStr"/>
      <c r="BZ69" t="n">
        <v>103</v>
      </c>
      <c r="CA69" t="n">
        <v>52</v>
      </c>
      <c r="CB69" t="inlineStr"/>
      <c r="CE69" t="n">
        <v>12</v>
      </c>
      <c r="CF69" t="n">
        <v>0</v>
      </c>
      <c r="CG69" t="n">
        <v>0</v>
      </c>
      <c r="CM69" t="n">
        <v>0</v>
      </c>
      <c r="CN69" t="inlineStr"/>
      <c r="CO69" t="n">
        <v>0</v>
      </c>
      <c r="CP69">
        <f>(P69+Q69+S69)</f>
        <v/>
      </c>
      <c r="CQ69">
        <f>AC69*BC69</f>
        <v/>
      </c>
      <c r="CR69">
        <f>(ROUND((ROUND(((ET69)*1),0)*BB69),0)+ROUND((ROUND(((AE69-(EU69))*1),0)*BS69),0))</f>
        <v/>
      </c>
      <c r="CS69">
        <f>(ROUND((ROUND(((EU69)*1),0)*BS69),0)+ROUND((ROUND(((AE69-(EU69))*1),0)*BS69),0))</f>
        <v/>
      </c>
      <c r="CT69">
        <f>AF69*BA69</f>
        <v/>
      </c>
      <c r="CU69">
        <f>AG69</f>
        <v/>
      </c>
      <c r="CV69">
        <f>AH69</f>
        <v/>
      </c>
      <c r="CW69">
        <f>AI69</f>
        <v/>
      </c>
      <c r="CX69">
        <f>AJ69</f>
        <v/>
      </c>
      <c r="CY69">
        <f>(((S69+R69)*AT69)/100)</f>
        <v/>
      </c>
      <c r="CZ69">
        <f>(((S69+R69)*AU69)/100)</f>
        <v/>
      </c>
      <c r="DC69" t="inlineStr"/>
      <c r="DD69" t="inlineStr"/>
      <c r="DE69" t="inlineStr"/>
      <c r="DF69" t="inlineStr"/>
      <c r="DG69" t="inlineStr"/>
      <c r="DH69" t="inlineStr"/>
      <c r="DI69" t="inlineStr"/>
      <c r="DJ69" t="inlineStr"/>
      <c r="DK69" t="inlineStr"/>
      <c r="DL69" t="inlineStr"/>
      <c r="DM69" t="inlineStr"/>
      <c r="DN69" t="n">
        <v>0</v>
      </c>
      <c r="DO69" t="n">
        <v>0</v>
      </c>
      <c r="DP69" t="n">
        <v>1</v>
      </c>
      <c r="DQ69" t="n">
        <v>1</v>
      </c>
      <c r="DU69" t="n">
        <v>1010</v>
      </c>
      <c r="DV69" t="inlineStr">
        <is>
          <t>100 шт.</t>
        </is>
      </c>
      <c r="DW69" t="inlineStr">
        <is>
          <t>100 шт.</t>
        </is>
      </c>
      <c r="DX69" t="n">
        <v>100</v>
      </c>
      <c r="DZ69" t="inlineStr"/>
      <c r="EA69" t="inlineStr"/>
      <c r="EB69" t="inlineStr"/>
      <c r="EC69" t="inlineStr"/>
      <c r="EE69" t="n">
        <v>78726000</v>
      </c>
      <c r="EF69" t="n">
        <v>6</v>
      </c>
      <c r="EG69" t="inlineStr">
        <is>
          <t>Ремонтно-строительные работы</t>
        </is>
      </c>
      <c r="EH69" t="n">
        <v>99</v>
      </c>
      <c r="EI69" t="inlineStr">
        <is>
          <t>Внутренние санитарно-технические работы</t>
        </is>
      </c>
      <c r="EJ69" t="n">
        <v>1</v>
      </c>
      <c r="EK69" t="n">
        <v>65007</v>
      </c>
      <c r="EL69" t="inlineStr">
        <is>
          <t>Внутренние санитарнотехнические работы: смена труб, санприборов, запорной арматуры и другое</t>
        </is>
      </c>
      <c r="EM69" t="inlineStr">
        <is>
          <t>рФЕР-65</t>
        </is>
      </c>
      <c r="EO69" t="inlineStr"/>
      <c r="EQ69" t="n">
        <v>0</v>
      </c>
      <c r="ER69" t="n">
        <v>2979.16</v>
      </c>
      <c r="ES69" t="n">
        <v>2240.13</v>
      </c>
      <c r="ET69" t="n">
        <v>4.36</v>
      </c>
      <c r="EU69" t="n">
        <v>0</v>
      </c>
      <c r="EV69" t="n">
        <v>734.67</v>
      </c>
      <c r="EW69" t="n">
        <v>81</v>
      </c>
      <c r="EX69" t="n">
        <v>0</v>
      </c>
      <c r="EY69" t="n">
        <v>0</v>
      </c>
      <c r="FQ69" t="n">
        <v>0</v>
      </c>
      <c r="FR69" t="n">
        <v>0</v>
      </c>
      <c r="FS69" t="n">
        <v>0</v>
      </c>
      <c r="FX69" t="n">
        <v>103</v>
      </c>
      <c r="FY69" t="n">
        <v>52</v>
      </c>
      <c r="GA69" t="inlineStr"/>
      <c r="GD69" t="n">
        <v>1</v>
      </c>
      <c r="GF69" t="n">
        <v>152852496</v>
      </c>
      <c r="GG69" t="n">
        <v>2</v>
      </c>
      <c r="GH69" t="n">
        <v>1</v>
      </c>
      <c r="GI69" t="n">
        <v>2</v>
      </c>
      <c r="GJ69" t="n">
        <v>0</v>
      </c>
      <c r="GK69" t="n">
        <v>0</v>
      </c>
      <c r="GL69">
        <f>ROUND(IF(AND(BH69=3,BI69=3,FS69&lt;&gt;0),P69,0),0)</f>
        <v/>
      </c>
      <c r="GM69">
        <f>ROUND(O69+X69+Y69,0)+GX69</f>
        <v/>
      </c>
      <c r="GN69">
        <f>IF(OR(BI69=0,BI69=1),GM69-GX69,0)</f>
        <v/>
      </c>
      <c r="GO69">
        <f>IF(BI69=2,GM69-GX69,0)</f>
        <v/>
      </c>
      <c r="GP69">
        <f>IF(BI69=4,GM69-GX69,0)</f>
        <v/>
      </c>
      <c r="GR69" t="n">
        <v>0</v>
      </c>
      <c r="GS69" t="n">
        <v>3</v>
      </c>
      <c r="GT69" t="n">
        <v>0</v>
      </c>
      <c r="GU69" t="inlineStr"/>
      <c r="GV69">
        <f>ROUND((GT69),2)</f>
        <v/>
      </c>
      <c r="GW69" t="n">
        <v>1</v>
      </c>
      <c r="GX69">
        <f>ROUND(HC69*I69,0)</f>
        <v/>
      </c>
      <c r="HA69" t="n">
        <v>0</v>
      </c>
      <c r="HB69" t="n">
        <v>0</v>
      </c>
      <c r="HC69">
        <f>GV69*GW69</f>
        <v/>
      </c>
      <c r="HE69" t="inlineStr"/>
      <c r="HF69" t="inlineStr"/>
      <c r="HM69" t="inlineStr"/>
      <c r="HN69" t="inlineStr">
        <is>
          <t>Пр/812-099.2-1</t>
        </is>
      </c>
      <c r="HO69" t="inlineStr">
        <is>
          <t>Пр/774-099.2</t>
        </is>
      </c>
      <c r="HP69" t="inlineStr">
        <is>
          <t>Внутренние санитарнотехнические работы: смена труб, санприборов, запорной арматуры и другое</t>
        </is>
      </c>
      <c r="HQ69" t="inlineStr">
        <is>
          <t>Внутренние санитарнотехнические работы: смена труб, санприборов, запорной арматуры и другое</t>
        </is>
      </c>
      <c r="HS69" t="n">
        <v>0</v>
      </c>
      <c r="IK69" t="n">
        <v>0</v>
      </c>
    </row>
    <row r="70">
      <c r="A70" t="n">
        <v>18</v>
      </c>
      <c r="B70" t="n">
        <v>0</v>
      </c>
      <c r="C70" t="n">
        <v>30</v>
      </c>
      <c r="E70" t="inlineStr">
        <is>
          <t>3,1</t>
        </is>
      </c>
      <c r="F70" t="inlineStr">
        <is>
          <t>509-9899</t>
        </is>
      </c>
      <c r="G70" t="inlineStr">
        <is>
          <t>Строительный мусор и масса возвратных материалов</t>
        </is>
      </c>
      <c r="H70" t="inlineStr">
        <is>
          <t>т</t>
        </is>
      </c>
      <c r="I70">
        <f>I69*J70</f>
        <v/>
      </c>
      <c r="J70" t="n">
        <v>0.04</v>
      </c>
      <c r="K70" t="n">
        <v>0.04</v>
      </c>
      <c r="O70">
        <f>ROUND(CP70,0)</f>
        <v/>
      </c>
      <c r="P70">
        <f>ROUND(CQ70*I70,0)</f>
        <v/>
      </c>
      <c r="Q70">
        <f>(ROUND((ROUND(((ET70)*I70),0)*BB70),0)+ROUND((ROUND(((AE70-(EU70))*I70),0)*BS70),0))</f>
        <v/>
      </c>
      <c r="R70">
        <f>(ROUND((ROUND(((EU70)*I70),0)*BS70),0)+ROUND((ROUND(((AE70-(EU70))*I70),0)*BS70),0))</f>
        <v/>
      </c>
      <c r="S70">
        <f>ROUND(CT70*I70,0)</f>
        <v/>
      </c>
      <c r="T70">
        <f>ROUND(CU70*I70,0)</f>
        <v/>
      </c>
      <c r="U70">
        <f>ROUND(CV70*I70,7)</f>
        <v/>
      </c>
      <c r="V70">
        <f>ROUND(CW70*I70,7)</f>
        <v/>
      </c>
      <c r="W70">
        <f>ROUND(CX70*I70,0)</f>
        <v/>
      </c>
      <c r="X70">
        <f>ROUND(CY70,0)</f>
        <v/>
      </c>
      <c r="Y70">
        <f>ROUND(CZ70,0)</f>
        <v/>
      </c>
      <c r="AA70" t="n">
        <v>78869116</v>
      </c>
      <c r="AB70">
        <f>ROUND((AC70+AD70+AF70),2)</f>
        <v/>
      </c>
      <c r="AC70">
        <f>ROUND((ES70),2)</f>
        <v/>
      </c>
      <c r="AD70">
        <f>ROUND((((ET70)-(EU70))+AE70),2)</f>
        <v/>
      </c>
      <c r="AE70">
        <f>ROUND((EU70),2)</f>
        <v/>
      </c>
      <c r="AF70">
        <f>ROUND((EV70),2)</f>
        <v/>
      </c>
      <c r="AG70">
        <f>ROUND((AP70),2)</f>
        <v/>
      </c>
      <c r="AH70">
        <f>(EW70)</f>
        <v/>
      </c>
      <c r="AI70">
        <f>(EX70)</f>
        <v/>
      </c>
      <c r="AJ70">
        <f>(AS70)</f>
        <v/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  <c r="AS70" t="n">
        <v>0</v>
      </c>
      <c r="AT70" t="n">
        <v>103</v>
      </c>
      <c r="AU70" t="n">
        <v>52</v>
      </c>
      <c r="AV70" t="n">
        <v>1</v>
      </c>
      <c r="AW70" t="n">
        <v>1</v>
      </c>
      <c r="AZ70" t="n">
        <v>1</v>
      </c>
      <c r="BA70" t="n">
        <v>1</v>
      </c>
      <c r="BB70" t="n">
        <v>1</v>
      </c>
      <c r="BC70" t="n">
        <v>1</v>
      </c>
      <c r="BD70" t="inlineStr"/>
      <c r="BE70" t="inlineStr"/>
      <c r="BF70" t="inlineStr"/>
      <c r="BG70" t="inlineStr"/>
      <c r="BH70" t="n">
        <v>3</v>
      </c>
      <c r="BI70" t="n">
        <v>1</v>
      </c>
      <c r="BJ70" t="inlineStr">
        <is>
          <t>ТССЦ Московской обл., 509-9899, приказ Минстроя России №675/пр от 28.02.2017 № 258/пр</t>
        </is>
      </c>
      <c r="BM70" t="n">
        <v>65007</v>
      </c>
      <c r="BN70" t="n">
        <v>0</v>
      </c>
      <c r="BO70" t="inlineStr"/>
      <c r="BP70" t="n">
        <v>0</v>
      </c>
      <c r="BQ70" t="n">
        <v>6</v>
      </c>
      <c r="BR70" t="n">
        <v>0</v>
      </c>
      <c r="BS70" t="n">
        <v>1</v>
      </c>
      <c r="BT70" t="n">
        <v>1</v>
      </c>
      <c r="BU70" t="n">
        <v>1</v>
      </c>
      <c r="BV70" t="n">
        <v>1</v>
      </c>
      <c r="BW70" t="n">
        <v>1</v>
      </c>
      <c r="BX70" t="n">
        <v>1</v>
      </c>
      <c r="BY70" t="inlineStr"/>
      <c r="BZ70" t="n">
        <v>103</v>
      </c>
      <c r="CA70" t="n">
        <v>52</v>
      </c>
      <c r="CB70" t="inlineStr"/>
      <c r="CE70" t="n">
        <v>12</v>
      </c>
      <c r="CF70" t="n">
        <v>0</v>
      </c>
      <c r="CG70" t="n">
        <v>0</v>
      </c>
      <c r="CM70" t="n">
        <v>0</v>
      </c>
      <c r="CN70" t="inlineStr"/>
      <c r="CO70" t="n">
        <v>0</v>
      </c>
      <c r="CP70">
        <f>(P70+Q70+S70)</f>
        <v/>
      </c>
      <c r="CQ70">
        <f>AC70*BC70</f>
        <v/>
      </c>
      <c r="CR70">
        <f>(ROUND((ROUND(((ET70)*1),0)*BB70),0)+ROUND((ROUND(((AE70-(EU70))*1),0)*BS70),0))</f>
        <v/>
      </c>
      <c r="CS70">
        <f>(ROUND((ROUND(((EU70)*1),0)*BS70),0)+ROUND((ROUND(((AE70-(EU70))*1),0)*BS70),0))</f>
        <v/>
      </c>
      <c r="CT70">
        <f>AF70*BA70</f>
        <v/>
      </c>
      <c r="CU70">
        <f>AG70</f>
        <v/>
      </c>
      <c r="CV70">
        <f>AH70</f>
        <v/>
      </c>
      <c r="CW70">
        <f>AI70</f>
        <v/>
      </c>
      <c r="CX70">
        <f>AJ70</f>
        <v/>
      </c>
      <c r="CY70">
        <f>(((S70+R70)*AT70)/100)</f>
        <v/>
      </c>
      <c r="CZ70">
        <f>(((S70+R70)*AU70)/100)</f>
        <v/>
      </c>
      <c r="DC70" t="inlineStr"/>
      <c r="DD70" t="inlineStr"/>
      <c r="DE70" t="inlineStr"/>
      <c r="DF70" t="inlineStr"/>
      <c r="DG70" t="inlineStr"/>
      <c r="DH70" t="inlineStr"/>
      <c r="DI70" t="inlineStr"/>
      <c r="DJ70" t="inlineStr"/>
      <c r="DK70" t="inlineStr"/>
      <c r="DL70" t="inlineStr"/>
      <c r="DM70" t="inlineStr"/>
      <c r="DN70" t="n">
        <v>0</v>
      </c>
      <c r="DO70" t="n">
        <v>0</v>
      </c>
      <c r="DP70" t="n">
        <v>1</v>
      </c>
      <c r="DQ70" t="n">
        <v>1</v>
      </c>
      <c r="DU70" t="n">
        <v>1009</v>
      </c>
      <c r="DV70" t="inlineStr">
        <is>
          <t>т</t>
        </is>
      </c>
      <c r="DW70" t="inlineStr">
        <is>
          <t>т</t>
        </is>
      </c>
      <c r="DX70" t="n">
        <v>1000</v>
      </c>
      <c r="DZ70" t="inlineStr"/>
      <c r="EA70" t="inlineStr"/>
      <c r="EB70" t="inlineStr"/>
      <c r="EC70" t="inlineStr"/>
      <c r="EE70" t="n">
        <v>78726000</v>
      </c>
      <c r="EF70" t="n">
        <v>6</v>
      </c>
      <c r="EG70" t="inlineStr">
        <is>
          <t>Ремонтно-строительные работы</t>
        </is>
      </c>
      <c r="EH70" t="n">
        <v>99</v>
      </c>
      <c r="EI70" t="inlineStr">
        <is>
          <t>Внутренние санитарно-технические работы</t>
        </is>
      </c>
      <c r="EJ70" t="n">
        <v>1</v>
      </c>
      <c r="EK70" t="n">
        <v>65007</v>
      </c>
      <c r="EL70" t="inlineStr">
        <is>
          <t>Внутренние санитарнотехнические работы: смена труб, санприборов, запорной арматуры и другое</t>
        </is>
      </c>
      <c r="EM70" t="inlineStr">
        <is>
          <t>рФЕР-65</t>
        </is>
      </c>
      <c r="EO70" t="inlineStr"/>
      <c r="EQ70" t="n">
        <v>0</v>
      </c>
      <c r="ER70" t="n">
        <v>0</v>
      </c>
      <c r="ES70" t="n">
        <v>0</v>
      </c>
      <c r="ET70" t="n">
        <v>0</v>
      </c>
      <c r="EU70" t="n">
        <v>0</v>
      </c>
      <c r="EV70" t="n">
        <v>0</v>
      </c>
      <c r="EW70" t="n">
        <v>0</v>
      </c>
      <c r="EX70" t="n">
        <v>0</v>
      </c>
      <c r="FQ70" t="n">
        <v>0</v>
      </c>
      <c r="FR70" t="n">
        <v>0</v>
      </c>
      <c r="FS70" t="n">
        <v>0</v>
      </c>
      <c r="FX70" t="n">
        <v>103</v>
      </c>
      <c r="FY70" t="n">
        <v>52</v>
      </c>
      <c r="GA70" t="inlineStr"/>
      <c r="GD70" t="n">
        <v>1</v>
      </c>
      <c r="GF70" t="n">
        <v>1839160745</v>
      </c>
      <c r="GG70" t="n">
        <v>2</v>
      </c>
      <c r="GH70" t="n">
        <v>1</v>
      </c>
      <c r="GI70" t="n">
        <v>-2</v>
      </c>
      <c r="GJ70" t="n">
        <v>0</v>
      </c>
      <c r="GK70" t="n">
        <v>0</v>
      </c>
      <c r="GL70">
        <f>ROUND(IF(AND(BH70=3,BI70=3,FS70&lt;&gt;0),P70,0),0)</f>
        <v/>
      </c>
      <c r="GM70">
        <f>ROUND(O70+X70+Y70,0)+GX70</f>
        <v/>
      </c>
      <c r="GN70">
        <f>IF(OR(BI70=0,BI70=1),GM70-GX70,0)</f>
        <v/>
      </c>
      <c r="GO70">
        <f>IF(BI70=2,GM70-GX70,0)</f>
        <v/>
      </c>
      <c r="GP70">
        <f>IF(BI70=4,GM70-GX70,0)</f>
        <v/>
      </c>
      <c r="GR70" t="n">
        <v>0</v>
      </c>
      <c r="GS70" t="n">
        <v>3</v>
      </c>
      <c r="GT70" t="n">
        <v>0</v>
      </c>
      <c r="GU70" t="inlineStr"/>
      <c r="GV70">
        <f>ROUND((GT70),2)</f>
        <v/>
      </c>
      <c r="GW70" t="n">
        <v>1</v>
      </c>
      <c r="GX70">
        <f>ROUND(HC70*I70,0)</f>
        <v/>
      </c>
      <c r="HA70" t="n">
        <v>0</v>
      </c>
      <c r="HB70" t="n">
        <v>0</v>
      </c>
      <c r="HC70">
        <f>GV70*GW70</f>
        <v/>
      </c>
      <c r="HE70" t="inlineStr"/>
      <c r="HF70" t="inlineStr"/>
      <c r="HM70" t="inlineStr"/>
      <c r="HN70" t="inlineStr">
        <is>
          <t>Пр/812-099.2-1</t>
        </is>
      </c>
      <c r="HO70" t="inlineStr">
        <is>
          <t>Пр/774-099.2</t>
        </is>
      </c>
      <c r="HP70" t="inlineStr">
        <is>
          <t>Внутренние санитарнотехнические работы: смена труб, санприборов, запорной арматуры и другое</t>
        </is>
      </c>
      <c r="HQ70" t="inlineStr">
        <is>
          <t>Внутренние санитарнотехнические работы: смена труб, санприборов, запорной арматуры и другое</t>
        </is>
      </c>
      <c r="HS70" t="n">
        <v>0</v>
      </c>
      <c r="IK70" t="n">
        <v>0</v>
      </c>
    </row>
    <row r="71">
      <c r="A71" t="n">
        <v>18</v>
      </c>
      <c r="B71" t="n">
        <v>0</v>
      </c>
      <c r="C71" t="n">
        <v>28</v>
      </c>
      <c r="E71" t="inlineStr">
        <is>
          <t>3,2</t>
        </is>
      </c>
      <c r="F71" t="inlineStr">
        <is>
          <t>302-0062</t>
        </is>
      </c>
      <c r="G71" t="inlineStr">
        <is>
          <t>Кран шаровый муфтовый Valtec для воды диаметром 15 мм, тип в/в</t>
        </is>
      </c>
      <c r="H71" t="inlineStr">
        <is>
          <t>шт.</t>
        </is>
      </c>
      <c r="I71">
        <f>I69*J71</f>
        <v/>
      </c>
      <c r="J71" t="n">
        <v>100</v>
      </c>
      <c r="K71" t="n">
        <v>100</v>
      </c>
      <c r="O71">
        <f>ROUND(CP71,0)</f>
        <v/>
      </c>
      <c r="P71">
        <f>ROUND(CQ71*I71,0)</f>
        <v/>
      </c>
      <c r="Q71">
        <f>(ROUND((ROUND(((ET71)*I71),0)*BB71),0)+ROUND((ROUND(((AE71-(EU71))*I71),0)*BS71),0))</f>
        <v/>
      </c>
      <c r="R71">
        <f>(ROUND((ROUND(((EU71)*I71),0)*BS71),0)+ROUND((ROUND(((AE71-(EU71))*I71),0)*BS71),0))</f>
        <v/>
      </c>
      <c r="S71">
        <f>ROUND(CT71*I71,0)</f>
        <v/>
      </c>
      <c r="T71">
        <f>ROUND(CU71*I71,0)</f>
        <v/>
      </c>
      <c r="U71">
        <f>ROUND(CV71*I71,7)</f>
        <v/>
      </c>
      <c r="V71">
        <f>ROUND(CW71*I71,7)</f>
        <v/>
      </c>
      <c r="W71">
        <f>ROUND(CX71*I71,0)</f>
        <v/>
      </c>
      <c r="X71">
        <f>ROUND(CY71,0)</f>
        <v/>
      </c>
      <c r="Y71">
        <f>ROUND(CZ71,0)</f>
        <v/>
      </c>
      <c r="AA71" t="n">
        <v>78869116</v>
      </c>
      <c r="AB71">
        <f>ROUND((AC71+AD71+AF71),2)</f>
        <v/>
      </c>
      <c r="AC71">
        <f>ROUND((ES71),2)</f>
        <v/>
      </c>
      <c r="AD71">
        <f>ROUND((((ET71)-(EU71))+AE71),2)</f>
        <v/>
      </c>
      <c r="AE71">
        <f>ROUND((EU71),2)</f>
        <v/>
      </c>
      <c r="AF71">
        <f>ROUND((EV71),2)</f>
        <v/>
      </c>
      <c r="AG71">
        <f>ROUND((AP71),2)</f>
        <v/>
      </c>
      <c r="AH71">
        <f>(EW71)</f>
        <v/>
      </c>
      <c r="AI71">
        <f>(EX71)</f>
        <v/>
      </c>
      <c r="AJ71">
        <f>(AS71)</f>
        <v/>
      </c>
      <c r="AK71" t="n">
        <v>28.53</v>
      </c>
      <c r="AL71" t="n">
        <v>28.53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  <c r="AS71" t="n">
        <v>0.01</v>
      </c>
      <c r="AT71" t="n">
        <v>103</v>
      </c>
      <c r="AU71" t="n">
        <v>52</v>
      </c>
      <c r="AV71" t="n">
        <v>1</v>
      </c>
      <c r="AW71" t="n">
        <v>1</v>
      </c>
      <c r="AZ71" t="n">
        <v>1</v>
      </c>
      <c r="BA71" t="n">
        <v>1</v>
      </c>
      <c r="BB71" t="n">
        <v>1</v>
      </c>
      <c r="BC71" t="n">
        <v>13.47</v>
      </c>
      <c r="BD71" t="inlineStr"/>
      <c r="BE71" t="inlineStr"/>
      <c r="BF71" t="inlineStr"/>
      <c r="BG71" t="inlineStr"/>
      <c r="BH71" t="n">
        <v>3</v>
      </c>
      <c r="BI71" t="n">
        <v>1</v>
      </c>
      <c r="BJ71" t="inlineStr">
        <is>
          <t>ТССЦ Московской обл., 302-0062, приказ Минстроя России №675/пр от 28.02.2017 № 256/пр</t>
        </is>
      </c>
      <c r="BM71" t="n">
        <v>65007</v>
      </c>
      <c r="BN71" t="n">
        <v>0</v>
      </c>
      <c r="BO71" t="inlineStr">
        <is>
          <t>302-0062</t>
        </is>
      </c>
      <c r="BP71" t="n">
        <v>1</v>
      </c>
      <c r="BQ71" t="n">
        <v>6</v>
      </c>
      <c r="BR71" t="n">
        <v>0</v>
      </c>
      <c r="BS71" t="n">
        <v>1</v>
      </c>
      <c r="BT71" t="n">
        <v>1</v>
      </c>
      <c r="BU71" t="n">
        <v>1</v>
      </c>
      <c r="BV71" t="n">
        <v>1</v>
      </c>
      <c r="BW71" t="n">
        <v>1</v>
      </c>
      <c r="BX71" t="n">
        <v>1</v>
      </c>
      <c r="BY71" t="inlineStr"/>
      <c r="BZ71" t="n">
        <v>103</v>
      </c>
      <c r="CA71" t="n">
        <v>52</v>
      </c>
      <c r="CB71" t="inlineStr"/>
      <c r="CE71" t="n">
        <v>12</v>
      </c>
      <c r="CF71" t="n">
        <v>0</v>
      </c>
      <c r="CG71" t="n">
        <v>0</v>
      </c>
      <c r="CM71" t="n">
        <v>0</v>
      </c>
      <c r="CN71" t="inlineStr"/>
      <c r="CO71" t="n">
        <v>0</v>
      </c>
      <c r="CP71">
        <f>(P71+Q71+S71)</f>
        <v/>
      </c>
      <c r="CQ71">
        <f>AC71*BC71</f>
        <v/>
      </c>
      <c r="CR71">
        <f>(ROUND((ROUND(((ET71)*1),0)*BB71),0)+ROUND((ROUND(((AE71-(EU71))*1),0)*BS71),0))</f>
        <v/>
      </c>
      <c r="CS71">
        <f>(ROUND((ROUND(((EU71)*1),0)*BS71),0)+ROUND((ROUND(((AE71-(EU71))*1),0)*BS71),0))</f>
        <v/>
      </c>
      <c r="CT71">
        <f>AF71*BA71</f>
        <v/>
      </c>
      <c r="CU71">
        <f>AG71</f>
        <v/>
      </c>
      <c r="CV71">
        <f>AH71</f>
        <v/>
      </c>
      <c r="CW71">
        <f>AI71</f>
        <v/>
      </c>
      <c r="CX71">
        <f>AJ71</f>
        <v/>
      </c>
      <c r="CY71">
        <f>(((S71+R71)*AT71)/100)</f>
        <v/>
      </c>
      <c r="CZ71">
        <f>(((S71+R71)*AU71)/100)</f>
        <v/>
      </c>
      <c r="DC71" t="inlineStr"/>
      <c r="DD71" t="inlineStr"/>
      <c r="DE71" t="inlineStr"/>
      <c r="DF71" t="inlineStr"/>
      <c r="DG71" t="inlineStr"/>
      <c r="DH71" t="inlineStr"/>
      <c r="DI71" t="inlineStr"/>
      <c r="DJ71" t="inlineStr"/>
      <c r="DK71" t="inlineStr"/>
      <c r="DL71" t="inlineStr"/>
      <c r="DM71" t="inlineStr"/>
      <c r="DN71" t="n">
        <v>0</v>
      </c>
      <c r="DO71" t="n">
        <v>0</v>
      </c>
      <c r="DP71" t="n">
        <v>1</v>
      </c>
      <c r="DQ71" t="n">
        <v>1</v>
      </c>
      <c r="DU71" t="n">
        <v>1010</v>
      </c>
      <c r="DV71" t="inlineStr">
        <is>
          <t>шт.</t>
        </is>
      </c>
      <c r="DW71" t="inlineStr">
        <is>
          <t>шт.</t>
        </is>
      </c>
      <c r="DX71" t="n">
        <v>1</v>
      </c>
      <c r="DZ71" t="inlineStr"/>
      <c r="EA71" t="inlineStr"/>
      <c r="EB71" t="inlineStr"/>
      <c r="EC71" t="inlineStr"/>
      <c r="EE71" t="n">
        <v>78726000</v>
      </c>
      <c r="EF71" t="n">
        <v>6</v>
      </c>
      <c r="EG71" t="inlineStr">
        <is>
          <t>Ремонтно-строительные работы</t>
        </is>
      </c>
      <c r="EH71" t="n">
        <v>99</v>
      </c>
      <c r="EI71" t="inlineStr">
        <is>
          <t>Внутренние санитарно-технические работы</t>
        </is>
      </c>
      <c r="EJ71" t="n">
        <v>1</v>
      </c>
      <c r="EK71" t="n">
        <v>65007</v>
      </c>
      <c r="EL71" t="inlineStr">
        <is>
          <t>Внутренние санитарнотехнические работы: смена труб, санприборов, запорной арматуры и другое</t>
        </is>
      </c>
      <c r="EM71" t="inlineStr">
        <is>
          <t>рФЕР-65</t>
        </is>
      </c>
      <c r="EO71" t="inlineStr"/>
      <c r="EQ71" t="n">
        <v>0</v>
      </c>
      <c r="ER71" t="n">
        <v>28.53</v>
      </c>
      <c r="ES71" t="n">
        <v>28.53</v>
      </c>
      <c r="ET71" t="n">
        <v>0</v>
      </c>
      <c r="EU71" t="n">
        <v>0</v>
      </c>
      <c r="EV71" t="n">
        <v>0</v>
      </c>
      <c r="EW71" t="n">
        <v>0</v>
      </c>
      <c r="EX71" t="n">
        <v>0</v>
      </c>
      <c r="FQ71" t="n">
        <v>0</v>
      </c>
      <c r="FR71" t="n">
        <v>0</v>
      </c>
      <c r="FS71" t="n">
        <v>0</v>
      </c>
      <c r="FX71" t="n">
        <v>103</v>
      </c>
      <c r="FY71" t="n">
        <v>52</v>
      </c>
      <c r="GA71" t="inlineStr"/>
      <c r="GD71" t="n">
        <v>1</v>
      </c>
      <c r="GF71" t="n">
        <v>-1687406522</v>
      </c>
      <c r="GG71" t="n">
        <v>2</v>
      </c>
      <c r="GH71" t="n">
        <v>1</v>
      </c>
      <c r="GI71" t="n">
        <v>2</v>
      </c>
      <c r="GJ71" t="n">
        <v>0</v>
      </c>
      <c r="GK71" t="n">
        <v>0</v>
      </c>
      <c r="GL71">
        <f>ROUND(IF(AND(BH71=3,BI71=3,FS71&lt;&gt;0),P71,0),0)</f>
        <v/>
      </c>
      <c r="GM71">
        <f>ROUND(O71+X71+Y71,0)+GX71</f>
        <v/>
      </c>
      <c r="GN71">
        <f>IF(OR(BI71=0,BI71=1),GM71-GX71,0)</f>
        <v/>
      </c>
      <c r="GO71">
        <f>IF(BI71=2,GM71-GX71,0)</f>
        <v/>
      </c>
      <c r="GP71">
        <f>IF(BI71=4,GM71-GX71,0)</f>
        <v/>
      </c>
      <c r="GR71" t="n">
        <v>0</v>
      </c>
      <c r="GS71" t="n">
        <v>3</v>
      </c>
      <c r="GT71" t="n">
        <v>0</v>
      </c>
      <c r="GU71" t="inlineStr"/>
      <c r="GV71">
        <f>ROUND((GT71),2)</f>
        <v/>
      </c>
      <c r="GW71" t="n">
        <v>1</v>
      </c>
      <c r="GX71">
        <f>ROUND(HC71*I71,0)</f>
        <v/>
      </c>
      <c r="HA71" t="n">
        <v>0</v>
      </c>
      <c r="HB71" t="n">
        <v>0</v>
      </c>
      <c r="HC71">
        <f>GV71*GW71</f>
        <v/>
      </c>
      <c r="HE71" t="inlineStr"/>
      <c r="HF71" t="inlineStr"/>
      <c r="HM71" t="inlineStr"/>
      <c r="HN71" t="inlineStr">
        <is>
          <t>Пр/812-099.2-1</t>
        </is>
      </c>
      <c r="HO71" t="inlineStr">
        <is>
          <t>Пр/774-099.2</t>
        </is>
      </c>
      <c r="HP71" t="inlineStr">
        <is>
          <t>Внутренние санитарнотехнические работы: смена труб, санприборов, запорной арматуры и другое</t>
        </is>
      </c>
      <c r="HQ71" t="inlineStr">
        <is>
          <t>Внутренние санитарнотехнические работы: смена труб, санприборов, запорной арматуры и другое</t>
        </is>
      </c>
      <c r="HS71" t="n">
        <v>0</v>
      </c>
      <c r="IK71" t="n">
        <v>0</v>
      </c>
    </row>
    <row r="72">
      <c r="A72" t="n">
        <v>17</v>
      </c>
      <c r="B72" t="n">
        <v>0</v>
      </c>
      <c r="C72">
        <f>ROW(SmtRes!A36)</f>
        <v/>
      </c>
      <c r="D72">
        <f>ROW(EtalonRes!A33)</f>
        <v/>
      </c>
      <c r="E72" t="inlineStr">
        <is>
          <t>4</t>
        </is>
      </c>
      <c r="F72" t="inlineStr">
        <is>
          <t>16-07-005-1</t>
        </is>
      </c>
      <c r="G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2" t="inlineStr">
        <is>
          <t>100 м трубопровода</t>
        </is>
      </c>
      <c r="I72">
        <f>ROUND(ROUND(3/100,4),7)</f>
        <v/>
      </c>
      <c r="J72" t="n">
        <v>0</v>
      </c>
      <c r="K72">
        <f>ROUND(ROUND(3/100,4),7)</f>
        <v/>
      </c>
      <c r="O72">
        <f>ROUND(CP72,0)</f>
        <v/>
      </c>
      <c r="P72">
        <f>ROUND(CQ72*I72,0)</f>
        <v/>
      </c>
      <c r="Q72">
        <f>(ROUND((ROUND(((ET72)*I72),0)*BB72),0)+ROUND((ROUND(((AE72-(EU72))*I72),0)*BS72),0))</f>
        <v/>
      </c>
      <c r="R72">
        <f>(ROUND((ROUND(((EU72)*I72),0)*BS72),0)+ROUND((ROUND(((AE72-(EU72))*I72),0)*BS72),0))</f>
        <v/>
      </c>
      <c r="S72">
        <f>ROUND(CT72*I72,0)</f>
        <v/>
      </c>
      <c r="T72">
        <f>ROUND(CU72*I72,0)</f>
        <v/>
      </c>
      <c r="U72">
        <f>ROUND(CV72*I72,7)</f>
        <v/>
      </c>
      <c r="V72">
        <f>ROUND(CW72*I72,7)</f>
        <v/>
      </c>
      <c r="W72">
        <f>ROUND(CX72*I72,0)</f>
        <v/>
      </c>
      <c r="X72">
        <f>ROUND(CY72,0)</f>
        <v/>
      </c>
      <c r="Y72">
        <f>ROUND(CZ72,0)</f>
        <v/>
      </c>
      <c r="AA72" t="n">
        <v>78869116</v>
      </c>
      <c r="AB72">
        <f>ROUND((AC72+AD72+AF72),2)</f>
        <v/>
      </c>
      <c r="AC72">
        <f>ROUND((ES72),2)</f>
        <v/>
      </c>
      <c r="AD72">
        <f>ROUND((((ET72)-(EU72))+AE72),2)</f>
        <v/>
      </c>
      <c r="AE72">
        <f>ROUND((EU72),2)</f>
        <v/>
      </c>
      <c r="AF72">
        <f>ROUND((EV72),2)</f>
        <v/>
      </c>
      <c r="AG72">
        <f>ROUND((AP72),2)</f>
        <v/>
      </c>
      <c r="AH72">
        <f>(EW72)</f>
        <v/>
      </c>
      <c r="AI72">
        <f>(EX72)</f>
        <v/>
      </c>
      <c r="AJ72">
        <f>(AS72)</f>
        <v/>
      </c>
      <c r="AK72" t="n">
        <v>107.11</v>
      </c>
      <c r="AL72" t="n">
        <v>4.28</v>
      </c>
      <c r="AM72" t="n">
        <v>44.51</v>
      </c>
      <c r="AN72" t="n">
        <v>0</v>
      </c>
      <c r="AO72" t="n">
        <v>58.32</v>
      </c>
      <c r="AP72" t="n">
        <v>0</v>
      </c>
      <c r="AQ72" t="n">
        <v>5.01</v>
      </c>
      <c r="AR72" t="n">
        <v>0</v>
      </c>
      <c r="AS72" t="n">
        <v>0</v>
      </c>
      <c r="AT72" t="n">
        <v>121</v>
      </c>
      <c r="AU72" t="n">
        <v>72</v>
      </c>
      <c r="AV72" t="n">
        <v>1</v>
      </c>
      <c r="AW72" t="n">
        <v>1</v>
      </c>
      <c r="AZ72" t="n">
        <v>1</v>
      </c>
      <c r="BA72" t="n">
        <v>52.25</v>
      </c>
      <c r="BB72" t="n">
        <v>5.97</v>
      </c>
      <c r="BC72" t="n">
        <v>11.38</v>
      </c>
      <c r="BD72" t="inlineStr"/>
      <c r="BE72" t="inlineStr"/>
      <c r="BF72" t="inlineStr"/>
      <c r="BG72" t="inlineStr"/>
      <c r="BH72" t="n">
        <v>0</v>
      </c>
      <c r="BI72" t="n">
        <v>1</v>
      </c>
      <c r="BJ72" t="inlineStr">
        <is>
          <t>ТЕР Московской обл., 16-07-005-1, приказ Минстроя России №675/пр от 28.02.2017 № 260/пр</t>
        </is>
      </c>
      <c r="BM72" t="n">
        <v>16001</v>
      </c>
      <c r="BN72" t="n">
        <v>0</v>
      </c>
      <c r="BO72" t="inlineStr">
        <is>
          <t>16-07-005-1</t>
        </is>
      </c>
      <c r="BP72" t="n">
        <v>1</v>
      </c>
      <c r="BQ72" t="n">
        <v>2</v>
      </c>
      <c r="BR72" t="n">
        <v>0</v>
      </c>
      <c r="BS72" t="n">
        <v>52.25</v>
      </c>
      <c r="BT72" t="n">
        <v>1</v>
      </c>
      <c r="BU72" t="n">
        <v>1</v>
      </c>
      <c r="BV72" t="n">
        <v>1</v>
      </c>
      <c r="BW72" t="n">
        <v>1</v>
      </c>
      <c r="BX72" t="n">
        <v>1</v>
      </c>
      <c r="BY72" t="inlineStr"/>
      <c r="BZ72" t="n">
        <v>121</v>
      </c>
      <c r="CA72" t="n">
        <v>72</v>
      </c>
      <c r="CB72" t="inlineStr"/>
      <c r="CE72" t="n">
        <v>12</v>
      </c>
      <c r="CF72" t="n">
        <v>0</v>
      </c>
      <c r="CG72" t="n">
        <v>0</v>
      </c>
      <c r="CM72" t="n">
        <v>0</v>
      </c>
      <c r="CN72" t="inlineStr"/>
      <c r="CO72" t="n">
        <v>0</v>
      </c>
      <c r="CP72">
        <f>(P72+Q72+S72)</f>
        <v/>
      </c>
      <c r="CQ72">
        <f>AC72*BC72</f>
        <v/>
      </c>
      <c r="CR72">
        <f>(ROUND((ROUND(((ET72)*1),0)*BB72),0)+ROUND((ROUND(((AE72-(EU72))*1),0)*BS72),0))</f>
        <v/>
      </c>
      <c r="CS72">
        <f>(ROUND((ROUND(((EU72)*1),0)*BS72),0)+ROUND((ROUND(((AE72-(EU72))*1),0)*BS72),0))</f>
        <v/>
      </c>
      <c r="CT72">
        <f>AF72*BA72</f>
        <v/>
      </c>
      <c r="CU72">
        <f>AG72</f>
        <v/>
      </c>
      <c r="CV72">
        <f>AH72</f>
        <v/>
      </c>
      <c r="CW72">
        <f>AI72</f>
        <v/>
      </c>
      <c r="CX72">
        <f>AJ72</f>
        <v/>
      </c>
      <c r="CY72">
        <f>(((S72+R72)*AT72)/100)</f>
        <v/>
      </c>
      <c r="CZ72">
        <f>(((S72+R72)*AU72)/100)</f>
        <v/>
      </c>
      <c r="DC72" t="inlineStr"/>
      <c r="DD72" t="inlineStr"/>
      <c r="DE72" t="inlineStr"/>
      <c r="DF72" t="inlineStr"/>
      <c r="DG72" t="inlineStr"/>
      <c r="DH72" t="inlineStr"/>
      <c r="DI72" t="inlineStr"/>
      <c r="DJ72" t="inlineStr"/>
      <c r="DK72" t="inlineStr"/>
      <c r="DL72" t="inlineStr"/>
      <c r="DM72" t="inlineStr"/>
      <c r="DN72" t="n">
        <v>0</v>
      </c>
      <c r="DO72" t="n">
        <v>0</v>
      </c>
      <c r="DP72" t="n">
        <v>1</v>
      </c>
      <c r="DQ72" t="n">
        <v>1</v>
      </c>
      <c r="DU72" t="n">
        <v>1013</v>
      </c>
      <c r="DV72" t="inlineStr">
        <is>
          <t>100 м трубопровода</t>
        </is>
      </c>
      <c r="DW72" t="inlineStr">
        <is>
          <t>100 м трубопровода</t>
        </is>
      </c>
      <c r="DX72" t="n">
        <v>1</v>
      </c>
      <c r="DZ72" t="inlineStr"/>
      <c r="EA72" t="inlineStr"/>
      <c r="EB72" t="inlineStr"/>
      <c r="EC72" t="inlineStr"/>
      <c r="EE72" t="n">
        <v>78725882</v>
      </c>
      <c r="EF72" t="n">
        <v>2</v>
      </c>
      <c r="EG72" t="inlineStr">
        <is>
          <t>Общестроительные работы</t>
        </is>
      </c>
      <c r="EH72" t="n">
        <v>16</v>
      </c>
      <c r="EI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2" t="n">
        <v>1</v>
      </c>
      <c r="EK72" t="n">
        <v>16001</v>
      </c>
      <c r="EL72" t="inlineStr">
        <is>
          <t>Трубопроводы внутренние</t>
        </is>
      </c>
      <c r="EM72" t="inlineStr">
        <is>
          <t>ФЕР-16</t>
        </is>
      </c>
      <c r="EO72" t="inlineStr"/>
      <c r="EQ72" t="n">
        <v>0</v>
      </c>
      <c r="ER72" t="n">
        <v>107.11</v>
      </c>
      <c r="ES72" t="n">
        <v>4.28</v>
      </c>
      <c r="ET72" t="n">
        <v>44.51</v>
      </c>
      <c r="EU72" t="n">
        <v>0</v>
      </c>
      <c r="EV72" t="n">
        <v>58.32</v>
      </c>
      <c r="EW72" t="n">
        <v>5.01</v>
      </c>
      <c r="EX72" t="n">
        <v>0</v>
      </c>
      <c r="EY72" t="n">
        <v>0</v>
      </c>
      <c r="FQ72" t="n">
        <v>0</v>
      </c>
      <c r="FR72" t="n">
        <v>0</v>
      </c>
      <c r="FS72" t="n">
        <v>0</v>
      </c>
      <c r="FX72" t="n">
        <v>121</v>
      </c>
      <c r="FY72" t="n">
        <v>72</v>
      </c>
      <c r="GA72" t="inlineStr"/>
      <c r="GD72" t="n">
        <v>1</v>
      </c>
      <c r="GF72" t="n">
        <v>635989612</v>
      </c>
      <c r="GG72" t="n">
        <v>2</v>
      </c>
      <c r="GH72" t="n">
        <v>1</v>
      </c>
      <c r="GI72" t="n">
        <v>2</v>
      </c>
      <c r="GJ72" t="n">
        <v>0</v>
      </c>
      <c r="GK72" t="n">
        <v>0</v>
      </c>
      <c r="GL72">
        <f>ROUND(IF(AND(BH72=3,BI72=3,FS72&lt;&gt;0),P72,0),0)</f>
        <v/>
      </c>
      <c r="GM72">
        <f>ROUND(O72+X72+Y72,0)+GX72</f>
        <v/>
      </c>
      <c r="GN72">
        <f>IF(OR(BI72=0,BI72=1),GM72-GX72,0)</f>
        <v/>
      </c>
      <c r="GO72">
        <f>IF(BI72=2,GM72-GX72,0)</f>
        <v/>
      </c>
      <c r="GP72">
        <f>IF(BI72=4,GM72-GX72,0)</f>
        <v/>
      </c>
      <c r="GR72" t="n">
        <v>0</v>
      </c>
      <c r="GS72" t="n">
        <v>3</v>
      </c>
      <c r="GT72" t="n">
        <v>0</v>
      </c>
      <c r="GU72" t="inlineStr"/>
      <c r="GV72">
        <f>ROUND((GT72),2)</f>
        <v/>
      </c>
      <c r="GW72" t="n">
        <v>1</v>
      </c>
      <c r="GX72">
        <f>ROUND(HC72*I72,0)</f>
        <v/>
      </c>
      <c r="HA72" t="n">
        <v>0</v>
      </c>
      <c r="HB72" t="n">
        <v>0</v>
      </c>
      <c r="HC72">
        <f>GV72*GW72</f>
        <v/>
      </c>
      <c r="HE72" t="inlineStr"/>
      <c r="HF72" t="inlineStr"/>
      <c r="HM72" t="inlineStr"/>
      <c r="HN72" t="inlineStr">
        <is>
          <t>Пр/812-016.0-1</t>
        </is>
      </c>
      <c r="HO72" t="inlineStr">
        <is>
          <t>Пр/774-016.0</t>
        </is>
      </c>
      <c r="HP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2" t="n">
        <v>0</v>
      </c>
      <c r="IK72" t="n">
        <v>0</v>
      </c>
    </row>
    <row r="73">
      <c r="A73" t="n">
        <v>17</v>
      </c>
      <c r="B73" t="n">
        <v>0</v>
      </c>
      <c r="C73">
        <f>ROW(SmtRes!A42)</f>
        <v/>
      </c>
      <c r="D73">
        <f>ROW(EtalonRes!A39)</f>
        <v/>
      </c>
      <c r="E73" t="inlineStr">
        <is>
          <t>5</t>
        </is>
      </c>
      <c r="F73" t="inlineStr">
        <is>
          <t>61-4-7</t>
        </is>
      </c>
      <c r="G73" t="inlineStr">
        <is>
          <t>Ремонт штукатурки потолков по камню и бетону цементно-известковым раствором, площадью отдельных мест до 1 м2 толщиной слоя до 20 мм</t>
        </is>
      </c>
      <c r="H73" t="inlineStr">
        <is>
          <t>100 м2 отремонтированной поверхности</t>
        </is>
      </c>
      <c r="I73">
        <f>ROUND(ROUND(3/100,4),7)</f>
        <v/>
      </c>
      <c r="J73" t="n">
        <v>0</v>
      </c>
      <c r="K73">
        <f>ROUND(ROUND(3/100,4),7)</f>
        <v/>
      </c>
      <c r="O73">
        <f>ROUND(CP73,0)</f>
        <v/>
      </c>
      <c r="P73">
        <f>ROUND(CQ73*I73,0)</f>
        <v/>
      </c>
      <c r="Q73">
        <f>(ROUND((ROUND(((ET73)*I73),0)*BB73),0)+ROUND((ROUND(((AE73-(EU73))*I73),0)*BS73),0))</f>
        <v/>
      </c>
      <c r="R73">
        <f>(ROUND((ROUND(((EU73)*I73),0)*BS73),0)+ROUND((ROUND(((AE73-(EU73))*I73),0)*BS73),0))</f>
        <v/>
      </c>
      <c r="S73">
        <f>ROUND(CT73*I73,0)</f>
        <v/>
      </c>
      <c r="T73">
        <f>ROUND(CU73*I73,0)</f>
        <v/>
      </c>
      <c r="U73">
        <f>ROUND(CV73*I73,7)</f>
        <v/>
      </c>
      <c r="V73">
        <f>ROUND(CW73*I73,7)</f>
        <v/>
      </c>
      <c r="W73">
        <f>ROUND(CX73*I73,0)</f>
        <v/>
      </c>
      <c r="X73">
        <f>ROUND(CY73,0)</f>
        <v/>
      </c>
      <c r="Y73">
        <f>ROUND(CZ73,0)</f>
        <v/>
      </c>
      <c r="AA73" t="n">
        <v>78869116</v>
      </c>
      <c r="AB73">
        <f>ROUND((AC73+AD73+AF73),2)</f>
        <v/>
      </c>
      <c r="AC73">
        <f>ROUND((ES73),2)</f>
        <v/>
      </c>
      <c r="AD73">
        <f>ROUND((((ET73)-(EU73))+AE73),2)</f>
        <v/>
      </c>
      <c r="AE73">
        <f>ROUND((EU73),2)</f>
        <v/>
      </c>
      <c r="AF73">
        <f>ROUND((EV73),2)</f>
        <v/>
      </c>
      <c r="AG73">
        <f>ROUND((AP73),2)</f>
        <v/>
      </c>
      <c r="AH73">
        <f>(EW73)</f>
        <v/>
      </c>
      <c r="AI73">
        <f>(EX73)</f>
        <v/>
      </c>
      <c r="AJ73">
        <f>(AS73)</f>
        <v/>
      </c>
      <c r="AK73" t="n">
        <v>3823.41</v>
      </c>
      <c r="AL73" t="n">
        <v>1197.18</v>
      </c>
      <c r="AM73" t="n">
        <v>22.51</v>
      </c>
      <c r="AN73" t="n">
        <v>9.720000000000001</v>
      </c>
      <c r="AO73" t="n">
        <v>2603.72</v>
      </c>
      <c r="AP73" t="n">
        <v>0</v>
      </c>
      <c r="AQ73" t="n">
        <v>290.27</v>
      </c>
      <c r="AR73" t="n">
        <v>0.72</v>
      </c>
      <c r="AS73" t="n">
        <v>0</v>
      </c>
      <c r="AT73" t="n">
        <v>89</v>
      </c>
      <c r="AU73" t="n">
        <v>44</v>
      </c>
      <c r="AV73" t="n">
        <v>1</v>
      </c>
      <c r="AW73" t="n">
        <v>1</v>
      </c>
      <c r="AZ73" t="n">
        <v>1</v>
      </c>
      <c r="BA73" t="n">
        <v>52.25</v>
      </c>
      <c r="BB73" t="n">
        <v>23.31</v>
      </c>
      <c r="BC73" t="n">
        <v>10.13</v>
      </c>
      <c r="BD73" t="inlineStr"/>
      <c r="BE73" t="inlineStr"/>
      <c r="BF73" t="inlineStr"/>
      <c r="BG73" t="inlineStr"/>
      <c r="BH73" t="n">
        <v>0</v>
      </c>
      <c r="BI73" t="n">
        <v>1</v>
      </c>
      <c r="BJ73" t="inlineStr">
        <is>
          <t>ТЕРр Московской обл., 61-4-7, приказ Минстроя России №675/пр от 28.02.2017 № 263/пр</t>
        </is>
      </c>
      <c r="BM73" t="n">
        <v>61001</v>
      </c>
      <c r="BN73" t="n">
        <v>0</v>
      </c>
      <c r="BO73" t="inlineStr">
        <is>
          <t>61-4-7</t>
        </is>
      </c>
      <c r="BP73" t="n">
        <v>1</v>
      </c>
      <c r="BQ73" t="n">
        <v>6</v>
      </c>
      <c r="BR73" t="n">
        <v>0</v>
      </c>
      <c r="BS73" t="n">
        <v>52.25</v>
      </c>
      <c r="BT73" t="n">
        <v>1</v>
      </c>
      <c r="BU73" t="n">
        <v>1</v>
      </c>
      <c r="BV73" t="n">
        <v>1</v>
      </c>
      <c r="BW73" t="n">
        <v>1</v>
      </c>
      <c r="BX73" t="n">
        <v>1</v>
      </c>
      <c r="BY73" t="inlineStr"/>
      <c r="BZ73" t="n">
        <v>89</v>
      </c>
      <c r="CA73" t="n">
        <v>44</v>
      </c>
      <c r="CB73" t="inlineStr"/>
      <c r="CE73" t="n">
        <v>12</v>
      </c>
      <c r="CF73" t="n">
        <v>0</v>
      </c>
      <c r="CG73" t="n">
        <v>0</v>
      </c>
      <c r="CM73" t="n">
        <v>0</v>
      </c>
      <c r="CN73" t="inlineStr"/>
      <c r="CO73" t="n">
        <v>0</v>
      </c>
      <c r="CP73">
        <f>(P73+Q73+S73)</f>
        <v/>
      </c>
      <c r="CQ73">
        <f>AC73*BC73</f>
        <v/>
      </c>
      <c r="CR73">
        <f>(ROUND((ROUND(((ET73)*1),0)*BB73),0)+ROUND((ROUND(((AE73-(EU73))*1),0)*BS73),0))</f>
        <v/>
      </c>
      <c r="CS73">
        <f>(ROUND((ROUND(((EU73)*1),0)*BS73),0)+ROUND((ROUND(((AE73-(EU73))*1),0)*BS73),0))</f>
        <v/>
      </c>
      <c r="CT73">
        <f>AF73*BA73</f>
        <v/>
      </c>
      <c r="CU73">
        <f>AG73</f>
        <v/>
      </c>
      <c r="CV73">
        <f>AH73</f>
        <v/>
      </c>
      <c r="CW73">
        <f>AI73</f>
        <v/>
      </c>
      <c r="CX73">
        <f>AJ73</f>
        <v/>
      </c>
      <c r="CY73">
        <f>(((S73+R73)*AT73)/100)</f>
        <v/>
      </c>
      <c r="CZ73">
        <f>(((S73+R73)*AU73)/100)</f>
        <v/>
      </c>
      <c r="DC73" t="inlineStr"/>
      <c r="DD73" t="inlineStr"/>
      <c r="DE73" t="inlineStr"/>
      <c r="DF73" t="inlineStr"/>
      <c r="DG73" t="inlineStr"/>
      <c r="DH73" t="inlineStr"/>
      <c r="DI73" t="inlineStr"/>
      <c r="DJ73" t="inlineStr"/>
      <c r="DK73" t="inlineStr"/>
      <c r="DL73" t="inlineStr"/>
      <c r="DM73" t="inlineStr"/>
      <c r="DN73" t="n">
        <v>0</v>
      </c>
      <c r="DO73" t="n">
        <v>0</v>
      </c>
      <c r="DP73" t="n">
        <v>1</v>
      </c>
      <c r="DQ73" t="n">
        <v>1</v>
      </c>
      <c r="DU73" t="n">
        <v>1013</v>
      </c>
      <c r="DV73" t="inlineStr">
        <is>
          <t>100 м2 отремонтированной поверхности</t>
        </is>
      </c>
      <c r="DW73" t="inlineStr">
        <is>
          <t>100 м2 отремонтированной поверхности</t>
        </is>
      </c>
      <c r="DX73" t="n">
        <v>1</v>
      </c>
      <c r="DZ73" t="inlineStr"/>
      <c r="EA73" t="inlineStr"/>
      <c r="EB73" t="inlineStr"/>
      <c r="EC73" t="inlineStr"/>
      <c r="EE73" t="n">
        <v>78725979</v>
      </c>
      <c r="EF73" t="n">
        <v>6</v>
      </c>
      <c r="EG73" t="inlineStr">
        <is>
          <t>Ремонтно-строительные работы</t>
        </is>
      </c>
      <c r="EH73" t="n">
        <v>95</v>
      </c>
      <c r="EI73" t="inlineStr">
        <is>
          <t>Штукатурные работы</t>
        </is>
      </c>
      <c r="EJ73" t="n">
        <v>1</v>
      </c>
      <c r="EK73" t="n">
        <v>61001</v>
      </c>
      <c r="EL73" t="inlineStr">
        <is>
          <t>Штукатурные работы</t>
        </is>
      </c>
      <c r="EM73" t="inlineStr">
        <is>
          <t>рФЕР-61</t>
        </is>
      </c>
      <c r="EO73" t="inlineStr"/>
      <c r="EQ73" t="n">
        <v>0</v>
      </c>
      <c r="ER73" t="n">
        <v>3823.41</v>
      </c>
      <c r="ES73" t="n">
        <v>1197.18</v>
      </c>
      <c r="ET73" t="n">
        <v>22.51</v>
      </c>
      <c r="EU73" t="n">
        <v>9.720000000000001</v>
      </c>
      <c r="EV73" t="n">
        <v>2603.72</v>
      </c>
      <c r="EW73" t="n">
        <v>290.27</v>
      </c>
      <c r="EX73" t="n">
        <v>0.72</v>
      </c>
      <c r="EY73" t="n">
        <v>0</v>
      </c>
      <c r="FQ73" t="n">
        <v>0</v>
      </c>
      <c r="FR73" t="n">
        <v>0</v>
      </c>
      <c r="FS73" t="n">
        <v>0</v>
      </c>
      <c r="FX73" t="n">
        <v>89</v>
      </c>
      <c r="FY73" t="n">
        <v>44</v>
      </c>
      <c r="GA73" t="inlineStr"/>
      <c r="GD73" t="n">
        <v>1</v>
      </c>
      <c r="GF73" t="n">
        <v>926907943</v>
      </c>
      <c r="GG73" t="n">
        <v>2</v>
      </c>
      <c r="GH73" t="n">
        <v>1</v>
      </c>
      <c r="GI73" t="n">
        <v>2</v>
      </c>
      <c r="GJ73" t="n">
        <v>0</v>
      </c>
      <c r="GK73" t="n">
        <v>0</v>
      </c>
      <c r="GL73">
        <f>ROUND(IF(AND(BH73=3,BI73=3,FS73&lt;&gt;0),P73,0),0)</f>
        <v/>
      </c>
      <c r="GM73">
        <f>ROUND(O73+X73+Y73,0)+GX73</f>
        <v/>
      </c>
      <c r="GN73">
        <f>IF(OR(BI73=0,BI73=1),GM73-GX73,0)</f>
        <v/>
      </c>
      <c r="GO73">
        <f>IF(BI73=2,GM73-GX73,0)</f>
        <v/>
      </c>
      <c r="GP73">
        <f>IF(BI73=4,GM73-GX73,0)</f>
        <v/>
      </c>
      <c r="GR73" t="n">
        <v>0</v>
      </c>
      <c r="GS73" t="n">
        <v>3</v>
      </c>
      <c r="GT73" t="n">
        <v>0</v>
      </c>
      <c r="GU73" t="inlineStr"/>
      <c r="GV73">
        <f>ROUND((GT73),2)</f>
        <v/>
      </c>
      <c r="GW73" t="n">
        <v>1</v>
      </c>
      <c r="GX73">
        <f>ROUND(HC73*I73,0)</f>
        <v/>
      </c>
      <c r="HA73" t="n">
        <v>0</v>
      </c>
      <c r="HB73" t="n">
        <v>0</v>
      </c>
      <c r="HC73">
        <f>GV73*GW73</f>
        <v/>
      </c>
      <c r="HE73" t="inlineStr"/>
      <c r="HF73" t="inlineStr"/>
      <c r="HM73" t="inlineStr"/>
      <c r="HN73" t="inlineStr">
        <is>
          <t>Пр/812-095.0-1</t>
        </is>
      </c>
      <c r="HO73" t="inlineStr">
        <is>
          <t>Пр/774-095.0</t>
        </is>
      </c>
      <c r="HP73" t="inlineStr">
        <is>
          <t>Штукатурные работы</t>
        </is>
      </c>
      <c r="HQ73" t="inlineStr">
        <is>
          <t>Штукатурные работы</t>
        </is>
      </c>
      <c r="HS73" t="n">
        <v>0</v>
      </c>
      <c r="IK73" t="n">
        <v>0</v>
      </c>
    </row>
    <row r="74">
      <c r="A74" t="n">
        <v>18</v>
      </c>
      <c r="B74" t="n">
        <v>0</v>
      </c>
      <c r="C74" t="n">
        <v>42</v>
      </c>
      <c r="E74" t="inlineStr">
        <is>
          <t>5,1</t>
        </is>
      </c>
      <c r="F74" t="inlineStr">
        <is>
          <t>509-9900</t>
        </is>
      </c>
      <c r="G74" t="inlineStr">
        <is>
          <t>Строительный мусор</t>
        </is>
      </c>
      <c r="H74" t="inlineStr">
        <is>
          <t>т</t>
        </is>
      </c>
      <c r="I74">
        <f>I73*J74</f>
        <v/>
      </c>
      <c r="J74" t="n">
        <v>3.38</v>
      </c>
      <c r="K74" t="n">
        <v>3.38</v>
      </c>
      <c r="O74">
        <f>ROUND(CP74,0)</f>
        <v/>
      </c>
      <c r="P74">
        <f>ROUND(CQ74*I74,0)</f>
        <v/>
      </c>
      <c r="Q74">
        <f>(ROUND((ROUND(((ET74)*I74),0)*BB74),0)+ROUND((ROUND(((AE74-(EU74))*I74),0)*BS74),0))</f>
        <v/>
      </c>
      <c r="R74">
        <f>(ROUND((ROUND(((EU74)*I74),0)*BS74),0)+ROUND((ROUND(((AE74-(EU74))*I74),0)*BS74),0))</f>
        <v/>
      </c>
      <c r="S74">
        <f>ROUND(CT74*I74,0)</f>
        <v/>
      </c>
      <c r="T74">
        <f>ROUND(CU74*I74,0)</f>
        <v/>
      </c>
      <c r="U74">
        <f>ROUND(CV74*I74,7)</f>
        <v/>
      </c>
      <c r="V74">
        <f>ROUND(CW74*I74,7)</f>
        <v/>
      </c>
      <c r="W74">
        <f>ROUND(CX74*I74,0)</f>
        <v/>
      </c>
      <c r="X74">
        <f>ROUND(CY74,0)</f>
        <v/>
      </c>
      <c r="Y74">
        <f>ROUND(CZ74,0)</f>
        <v/>
      </c>
      <c r="AA74" t="n">
        <v>78869116</v>
      </c>
      <c r="AB74">
        <f>ROUND((AC74+AD74+AF74),2)</f>
        <v/>
      </c>
      <c r="AC74">
        <f>ROUND((ES74),2)</f>
        <v/>
      </c>
      <c r="AD74">
        <f>ROUND((((ET74)-(EU74))+AE74),2)</f>
        <v/>
      </c>
      <c r="AE74">
        <f>ROUND((EU74),2)</f>
        <v/>
      </c>
      <c r="AF74">
        <f>ROUND((EV74),2)</f>
        <v/>
      </c>
      <c r="AG74">
        <f>ROUND((AP74),2)</f>
        <v/>
      </c>
      <c r="AH74">
        <f>(EW74)</f>
        <v/>
      </c>
      <c r="AI74">
        <f>(EX74)</f>
        <v/>
      </c>
      <c r="AJ74">
        <f>(AS74)</f>
        <v/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  <c r="AS74" t="n">
        <v>0</v>
      </c>
      <c r="AT74" t="n">
        <v>89</v>
      </c>
      <c r="AU74" t="n">
        <v>44</v>
      </c>
      <c r="AV74" t="n">
        <v>1</v>
      </c>
      <c r="AW74" t="n">
        <v>1</v>
      </c>
      <c r="AZ74" t="n">
        <v>1</v>
      </c>
      <c r="BA74" t="n">
        <v>1</v>
      </c>
      <c r="BB74" t="n">
        <v>1</v>
      </c>
      <c r="BC74" t="n">
        <v>1</v>
      </c>
      <c r="BD74" t="inlineStr"/>
      <c r="BE74" t="inlineStr"/>
      <c r="BF74" t="inlineStr"/>
      <c r="BG74" t="inlineStr"/>
      <c r="BH74" t="n">
        <v>3</v>
      </c>
      <c r="BI74" t="n">
        <v>1</v>
      </c>
      <c r="BJ74" t="inlineStr">
        <is>
          <t>ТССЦ Московской обл., 509-9900, приказ Минстроя России №675/пр от 28.02.2017 № 258/пр</t>
        </is>
      </c>
      <c r="BM74" t="n">
        <v>61001</v>
      </c>
      <c r="BN74" t="n">
        <v>0</v>
      </c>
      <c r="BO74" t="inlineStr"/>
      <c r="BP74" t="n">
        <v>0</v>
      </c>
      <c r="BQ74" t="n">
        <v>6</v>
      </c>
      <c r="BR74" t="n">
        <v>0</v>
      </c>
      <c r="BS74" t="n">
        <v>1</v>
      </c>
      <c r="BT74" t="n">
        <v>1</v>
      </c>
      <c r="BU74" t="n">
        <v>1</v>
      </c>
      <c r="BV74" t="n">
        <v>1</v>
      </c>
      <c r="BW74" t="n">
        <v>1</v>
      </c>
      <c r="BX74" t="n">
        <v>1</v>
      </c>
      <c r="BY74" t="inlineStr"/>
      <c r="BZ74" t="n">
        <v>89</v>
      </c>
      <c r="CA74" t="n">
        <v>44</v>
      </c>
      <c r="CB74" t="inlineStr"/>
      <c r="CE74" t="n">
        <v>12</v>
      </c>
      <c r="CF74" t="n">
        <v>0</v>
      </c>
      <c r="CG74" t="n">
        <v>0</v>
      </c>
      <c r="CM74" t="n">
        <v>0</v>
      </c>
      <c r="CN74" t="inlineStr"/>
      <c r="CO74" t="n">
        <v>0</v>
      </c>
      <c r="CP74">
        <f>(P74+Q74+S74)</f>
        <v/>
      </c>
      <c r="CQ74">
        <f>AC74*BC74</f>
        <v/>
      </c>
      <c r="CR74">
        <f>(ROUND((ROUND(((ET74)*1),0)*BB74),0)+ROUND((ROUND(((AE74-(EU74))*1),0)*BS74),0))</f>
        <v/>
      </c>
      <c r="CS74">
        <f>(ROUND((ROUND(((EU74)*1),0)*BS74),0)+ROUND((ROUND(((AE74-(EU74))*1),0)*BS74),0))</f>
        <v/>
      </c>
      <c r="CT74">
        <f>AF74*BA74</f>
        <v/>
      </c>
      <c r="CU74">
        <f>AG74</f>
        <v/>
      </c>
      <c r="CV74">
        <f>AH74</f>
        <v/>
      </c>
      <c r="CW74">
        <f>AI74</f>
        <v/>
      </c>
      <c r="CX74">
        <f>AJ74</f>
        <v/>
      </c>
      <c r="CY74">
        <f>(((S74+R74)*AT74)/100)</f>
        <v/>
      </c>
      <c r="CZ74">
        <f>(((S74+R74)*AU74)/100)</f>
        <v/>
      </c>
      <c r="DC74" t="inlineStr"/>
      <c r="DD74" t="inlineStr"/>
      <c r="DE74" t="inlineStr"/>
      <c r="DF74" t="inlineStr"/>
      <c r="DG74" t="inlineStr"/>
      <c r="DH74" t="inlineStr"/>
      <c r="DI74" t="inlineStr"/>
      <c r="DJ74" t="inlineStr"/>
      <c r="DK74" t="inlineStr"/>
      <c r="DL74" t="inlineStr"/>
      <c r="DM74" t="inlineStr"/>
      <c r="DN74" t="n">
        <v>0</v>
      </c>
      <c r="DO74" t="n">
        <v>0</v>
      </c>
      <c r="DP74" t="n">
        <v>1</v>
      </c>
      <c r="DQ74" t="n">
        <v>1</v>
      </c>
      <c r="DU74" t="n">
        <v>1009</v>
      </c>
      <c r="DV74" t="inlineStr">
        <is>
          <t>т</t>
        </is>
      </c>
      <c r="DW74" t="inlineStr">
        <is>
          <t>т</t>
        </is>
      </c>
      <c r="DX74" t="n">
        <v>1000</v>
      </c>
      <c r="DZ74" t="inlineStr"/>
      <c r="EA74" t="inlineStr"/>
      <c r="EB74" t="inlineStr"/>
      <c r="EC74" t="inlineStr"/>
      <c r="EE74" t="n">
        <v>78725979</v>
      </c>
      <c r="EF74" t="n">
        <v>6</v>
      </c>
      <c r="EG74" t="inlineStr">
        <is>
          <t>Ремонтно-строительные работы</t>
        </is>
      </c>
      <c r="EH74" t="n">
        <v>95</v>
      </c>
      <c r="EI74" t="inlineStr">
        <is>
          <t>Штукатурные работы</t>
        </is>
      </c>
      <c r="EJ74" t="n">
        <v>1</v>
      </c>
      <c r="EK74" t="n">
        <v>61001</v>
      </c>
      <c r="EL74" t="inlineStr">
        <is>
          <t>Штукатурные работы</t>
        </is>
      </c>
      <c r="EM74" t="inlineStr">
        <is>
          <t>рФЕР-61</t>
        </is>
      </c>
      <c r="EO74" t="inlineStr"/>
      <c r="EQ74" t="n">
        <v>0</v>
      </c>
      <c r="ER74" t="n">
        <v>0</v>
      </c>
      <c r="ES74" t="n">
        <v>0</v>
      </c>
      <c r="ET74" t="n">
        <v>0</v>
      </c>
      <c r="EU74" t="n">
        <v>0</v>
      </c>
      <c r="EV74" t="n">
        <v>0</v>
      </c>
      <c r="EW74" t="n">
        <v>0</v>
      </c>
      <c r="EX74" t="n">
        <v>0</v>
      </c>
      <c r="FQ74" t="n">
        <v>0</v>
      </c>
      <c r="FR74" t="n">
        <v>0</v>
      </c>
      <c r="FS74" t="n">
        <v>0</v>
      </c>
      <c r="FX74" t="n">
        <v>89</v>
      </c>
      <c r="FY74" t="n">
        <v>44</v>
      </c>
      <c r="GA74" t="inlineStr"/>
      <c r="GD74" t="n">
        <v>1</v>
      </c>
      <c r="GF74" t="n">
        <v>1876412176</v>
      </c>
      <c r="GG74" t="n">
        <v>2</v>
      </c>
      <c r="GH74" t="n">
        <v>1</v>
      </c>
      <c r="GI74" t="n">
        <v>-2</v>
      </c>
      <c r="GJ74" t="n">
        <v>0</v>
      </c>
      <c r="GK74" t="n">
        <v>0</v>
      </c>
      <c r="GL74">
        <f>ROUND(IF(AND(BH74=3,BI74=3,FS74&lt;&gt;0),P74,0),0)</f>
        <v/>
      </c>
      <c r="GM74">
        <f>ROUND(O74+X74+Y74,0)+GX74</f>
        <v/>
      </c>
      <c r="GN74">
        <f>IF(OR(BI74=0,BI74=1),GM74-GX74,0)</f>
        <v/>
      </c>
      <c r="GO74">
        <f>IF(BI74=2,GM74-GX74,0)</f>
        <v/>
      </c>
      <c r="GP74">
        <f>IF(BI74=4,GM74-GX74,0)</f>
        <v/>
      </c>
      <c r="GR74" t="n">
        <v>0</v>
      </c>
      <c r="GS74" t="n">
        <v>3</v>
      </c>
      <c r="GT74" t="n">
        <v>0</v>
      </c>
      <c r="GU74" t="inlineStr"/>
      <c r="GV74">
        <f>ROUND((GT74),2)</f>
        <v/>
      </c>
      <c r="GW74" t="n">
        <v>1</v>
      </c>
      <c r="GX74">
        <f>ROUND(HC74*I74,0)</f>
        <v/>
      </c>
      <c r="HA74" t="n">
        <v>0</v>
      </c>
      <c r="HB74" t="n">
        <v>0</v>
      </c>
      <c r="HC74">
        <f>GV74*GW74</f>
        <v/>
      </c>
      <c r="HE74" t="inlineStr"/>
      <c r="HF74" t="inlineStr"/>
      <c r="HM74" t="inlineStr"/>
      <c r="HN74" t="inlineStr">
        <is>
          <t>Пр/812-095.0-1</t>
        </is>
      </c>
      <c r="HO74" t="inlineStr">
        <is>
          <t>Пр/774-095.0</t>
        </is>
      </c>
      <c r="HP74" t="inlineStr">
        <is>
          <t>Штукатурные работы</t>
        </is>
      </c>
      <c r="HQ74" t="inlineStr">
        <is>
          <t>Штукатурные работы</t>
        </is>
      </c>
      <c r="HS74" t="n">
        <v>0</v>
      </c>
      <c r="IK74" t="n">
        <v>0</v>
      </c>
    </row>
    <row r="75">
      <c r="A75" t="n">
        <v>17</v>
      </c>
      <c r="B75" t="n">
        <v>0</v>
      </c>
      <c r="C75">
        <f>ROW(SmtRes!A48)</f>
        <v/>
      </c>
      <c r="D75">
        <f>ROW(EtalonRes!A45)</f>
        <v/>
      </c>
      <c r="E75" t="inlineStr">
        <is>
          <t>6</t>
        </is>
      </c>
      <c r="F75" t="inlineStr">
        <is>
          <t>61-2-7</t>
        </is>
      </c>
      <c r="G75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75" t="inlineStr">
        <is>
          <t>100 м2 отремонтированной поверхности</t>
        </is>
      </c>
      <c r="I75">
        <f>ROUND(ROUND(1/100,4),7)</f>
        <v/>
      </c>
      <c r="J75" t="n">
        <v>0</v>
      </c>
      <c r="K75">
        <f>ROUND(ROUND(1/100,4),7)</f>
        <v/>
      </c>
      <c r="O75">
        <f>ROUND(CP75,0)</f>
        <v/>
      </c>
      <c r="P75">
        <f>ROUND(CQ75*I75,0)</f>
        <v/>
      </c>
      <c r="Q75">
        <f>(ROUND((ROUND(((ET75)*I75),0)*BB75),0)+ROUND((ROUND(((AE75-(EU75))*I75),0)*BS75),0))</f>
        <v/>
      </c>
      <c r="R75">
        <f>(ROUND((ROUND(((EU75)*I75),0)*BS75),0)+ROUND((ROUND(((AE75-(EU75))*I75),0)*BS75),0))</f>
        <v/>
      </c>
      <c r="S75">
        <f>ROUND(CT75*I75,0)</f>
        <v/>
      </c>
      <c r="T75">
        <f>ROUND(CU75*I75,0)</f>
        <v/>
      </c>
      <c r="U75">
        <f>ROUND(CV75*I75,7)</f>
        <v/>
      </c>
      <c r="V75">
        <f>ROUND(CW75*I75,7)</f>
        <v/>
      </c>
      <c r="W75">
        <f>ROUND(CX75*I75,0)</f>
        <v/>
      </c>
      <c r="X75">
        <f>ROUND(CY75,0)</f>
        <v/>
      </c>
      <c r="Y75">
        <f>ROUND(CZ75,0)</f>
        <v/>
      </c>
      <c r="AA75" t="n">
        <v>78869116</v>
      </c>
      <c r="AB75">
        <f>ROUND((AC75+AD75+AF75),2)</f>
        <v/>
      </c>
      <c r="AC75">
        <f>ROUND((ES75),2)</f>
        <v/>
      </c>
      <c r="AD75">
        <f>ROUND((((ET75)-(EU75))+AE75),2)</f>
        <v/>
      </c>
      <c r="AE75">
        <f>ROUND((EU75),2)</f>
        <v/>
      </c>
      <c r="AF75">
        <f>ROUND((EV75),2)</f>
        <v/>
      </c>
      <c r="AG75">
        <f>ROUND((AP75),2)</f>
        <v/>
      </c>
      <c r="AH75">
        <f>(EW75)</f>
        <v/>
      </c>
      <c r="AI75">
        <f>(EX75)</f>
        <v/>
      </c>
      <c r="AJ75">
        <f>(AS75)</f>
        <v/>
      </c>
      <c r="AK75" t="n">
        <v>3184.33</v>
      </c>
      <c r="AL75" t="n">
        <v>1140.21</v>
      </c>
      <c r="AM75" t="n">
        <v>20.94</v>
      </c>
      <c r="AN75" t="n">
        <v>9.050000000000001</v>
      </c>
      <c r="AO75" t="n">
        <v>2023.18</v>
      </c>
      <c r="AP75" t="n">
        <v>0</v>
      </c>
      <c r="AQ75" t="n">
        <v>228.35</v>
      </c>
      <c r="AR75" t="n">
        <v>0.67</v>
      </c>
      <c r="AS75" t="n">
        <v>0</v>
      </c>
      <c r="AT75" t="n">
        <v>89</v>
      </c>
      <c r="AU75" t="n">
        <v>44</v>
      </c>
      <c r="AV75" t="n">
        <v>1</v>
      </c>
      <c r="AW75" t="n">
        <v>1</v>
      </c>
      <c r="AZ75" t="n">
        <v>1</v>
      </c>
      <c r="BA75" t="n">
        <v>52.25</v>
      </c>
      <c r="BB75" t="n">
        <v>23.32</v>
      </c>
      <c r="BC75" t="n">
        <v>10.13</v>
      </c>
      <c r="BD75" t="inlineStr"/>
      <c r="BE75" t="inlineStr"/>
      <c r="BF75" t="inlineStr"/>
      <c r="BG75" t="inlineStr"/>
      <c r="BH75" t="n">
        <v>0</v>
      </c>
      <c r="BI75" t="n">
        <v>1</v>
      </c>
      <c r="BJ75" t="inlineStr">
        <is>
          <t>ТЕРр Московской обл., 61-2-7, приказ Минстроя России №675/пр от 28.02.2017 № 263/пр</t>
        </is>
      </c>
      <c r="BM75" t="n">
        <v>61001</v>
      </c>
      <c r="BN75" t="n">
        <v>0</v>
      </c>
      <c r="BO75" t="inlineStr">
        <is>
          <t>61-2-7</t>
        </is>
      </c>
      <c r="BP75" t="n">
        <v>1</v>
      </c>
      <c r="BQ75" t="n">
        <v>6</v>
      </c>
      <c r="BR75" t="n">
        <v>0</v>
      </c>
      <c r="BS75" t="n">
        <v>52.25</v>
      </c>
      <c r="BT75" t="n">
        <v>1</v>
      </c>
      <c r="BU75" t="n">
        <v>1</v>
      </c>
      <c r="BV75" t="n">
        <v>1</v>
      </c>
      <c r="BW75" t="n">
        <v>1</v>
      </c>
      <c r="BX75" t="n">
        <v>1</v>
      </c>
      <c r="BY75" t="inlineStr"/>
      <c r="BZ75" t="n">
        <v>89</v>
      </c>
      <c r="CA75" t="n">
        <v>44</v>
      </c>
      <c r="CB75" t="inlineStr"/>
      <c r="CE75" t="n">
        <v>12</v>
      </c>
      <c r="CF75" t="n">
        <v>0</v>
      </c>
      <c r="CG75" t="n">
        <v>0</v>
      </c>
      <c r="CM75" t="n">
        <v>0</v>
      </c>
      <c r="CN75" t="inlineStr"/>
      <c r="CO75" t="n">
        <v>0</v>
      </c>
      <c r="CP75">
        <f>(P75+Q75+S75)</f>
        <v/>
      </c>
      <c r="CQ75">
        <f>AC75*BC75</f>
        <v/>
      </c>
      <c r="CR75">
        <f>(ROUND((ROUND(((ET75)*1),0)*BB75),0)+ROUND((ROUND(((AE75-(EU75))*1),0)*BS75),0))</f>
        <v/>
      </c>
      <c r="CS75">
        <f>(ROUND((ROUND(((EU75)*1),0)*BS75),0)+ROUND((ROUND(((AE75-(EU75))*1),0)*BS75),0))</f>
        <v/>
      </c>
      <c r="CT75">
        <f>AF75*BA75</f>
        <v/>
      </c>
      <c r="CU75">
        <f>AG75</f>
        <v/>
      </c>
      <c r="CV75">
        <f>AH75</f>
        <v/>
      </c>
      <c r="CW75">
        <f>AI75</f>
        <v/>
      </c>
      <c r="CX75">
        <f>AJ75</f>
        <v/>
      </c>
      <c r="CY75">
        <f>(((S75+R75)*AT75)/100)</f>
        <v/>
      </c>
      <c r="CZ75">
        <f>(((S75+R75)*AU75)/100)</f>
        <v/>
      </c>
      <c r="DC75" t="inlineStr"/>
      <c r="DD75" t="inlineStr"/>
      <c r="DE75" t="inlineStr"/>
      <c r="DF75" t="inlineStr"/>
      <c r="DG75" t="inlineStr"/>
      <c r="DH75" t="inlineStr"/>
      <c r="DI75" t="inlineStr"/>
      <c r="DJ75" t="inlineStr"/>
      <c r="DK75" t="inlineStr"/>
      <c r="DL75" t="inlineStr"/>
      <c r="DM75" t="inlineStr"/>
      <c r="DN75" t="n">
        <v>0</v>
      </c>
      <c r="DO75" t="n">
        <v>0</v>
      </c>
      <c r="DP75" t="n">
        <v>1</v>
      </c>
      <c r="DQ75" t="n">
        <v>1</v>
      </c>
      <c r="DU75" t="n">
        <v>1013</v>
      </c>
      <c r="DV75" t="inlineStr">
        <is>
          <t>100 м2 отремонтированной поверхности</t>
        </is>
      </c>
      <c r="DW75" t="inlineStr">
        <is>
          <t>100 м2 отремонтированной поверхности</t>
        </is>
      </c>
      <c r="DX75" t="n">
        <v>1</v>
      </c>
      <c r="DZ75" t="inlineStr"/>
      <c r="EA75" t="inlineStr"/>
      <c r="EB75" t="inlineStr"/>
      <c r="EC75" t="inlineStr"/>
      <c r="EE75" t="n">
        <v>78725979</v>
      </c>
      <c r="EF75" t="n">
        <v>6</v>
      </c>
      <c r="EG75" t="inlineStr">
        <is>
          <t>Ремонтно-строительные работы</t>
        </is>
      </c>
      <c r="EH75" t="n">
        <v>95</v>
      </c>
      <c r="EI75" t="inlineStr">
        <is>
          <t>Штукатурные работы</t>
        </is>
      </c>
      <c r="EJ75" t="n">
        <v>1</v>
      </c>
      <c r="EK75" t="n">
        <v>61001</v>
      </c>
      <c r="EL75" t="inlineStr">
        <is>
          <t>Штукатурные работы</t>
        </is>
      </c>
      <c r="EM75" t="inlineStr">
        <is>
          <t>рФЕР-61</t>
        </is>
      </c>
      <c r="EO75" t="inlineStr"/>
      <c r="EQ75" t="n">
        <v>0</v>
      </c>
      <c r="ER75" t="n">
        <v>3184.33</v>
      </c>
      <c r="ES75" t="n">
        <v>1140.21</v>
      </c>
      <c r="ET75" t="n">
        <v>20.94</v>
      </c>
      <c r="EU75" t="n">
        <v>9.050000000000001</v>
      </c>
      <c r="EV75" t="n">
        <v>2023.18</v>
      </c>
      <c r="EW75" t="n">
        <v>228.35</v>
      </c>
      <c r="EX75" t="n">
        <v>0.67</v>
      </c>
      <c r="EY75" t="n">
        <v>0</v>
      </c>
      <c r="FQ75" t="n">
        <v>0</v>
      </c>
      <c r="FR75" t="n">
        <v>0</v>
      </c>
      <c r="FS75" t="n">
        <v>0</v>
      </c>
      <c r="FX75" t="n">
        <v>89</v>
      </c>
      <c r="FY75" t="n">
        <v>44</v>
      </c>
      <c r="GA75" t="inlineStr"/>
      <c r="GD75" t="n">
        <v>1</v>
      </c>
      <c r="GF75" t="n">
        <v>378759833</v>
      </c>
      <c r="GG75" t="n">
        <v>2</v>
      </c>
      <c r="GH75" t="n">
        <v>1</v>
      </c>
      <c r="GI75" t="n">
        <v>2</v>
      </c>
      <c r="GJ75" t="n">
        <v>0</v>
      </c>
      <c r="GK75" t="n">
        <v>0</v>
      </c>
      <c r="GL75">
        <f>ROUND(IF(AND(BH75=3,BI75=3,FS75&lt;&gt;0),P75,0),0)</f>
        <v/>
      </c>
      <c r="GM75">
        <f>ROUND(O75+X75+Y75,0)+GX75</f>
        <v/>
      </c>
      <c r="GN75">
        <f>IF(OR(BI75=0,BI75=1),GM75-GX75,0)</f>
        <v/>
      </c>
      <c r="GO75">
        <f>IF(BI75=2,GM75-GX75,0)</f>
        <v/>
      </c>
      <c r="GP75">
        <f>IF(BI75=4,GM75-GX75,0)</f>
        <v/>
      </c>
      <c r="GR75" t="n">
        <v>0</v>
      </c>
      <c r="GS75" t="n">
        <v>3</v>
      </c>
      <c r="GT75" t="n">
        <v>0</v>
      </c>
      <c r="GU75" t="inlineStr"/>
      <c r="GV75">
        <f>ROUND((GT75),2)</f>
        <v/>
      </c>
      <c r="GW75" t="n">
        <v>1</v>
      </c>
      <c r="GX75">
        <f>ROUND(HC75*I75,0)</f>
        <v/>
      </c>
      <c r="HA75" t="n">
        <v>0</v>
      </c>
      <c r="HB75" t="n">
        <v>0</v>
      </c>
      <c r="HC75">
        <f>GV75*GW75</f>
        <v/>
      </c>
      <c r="HE75" t="inlineStr"/>
      <c r="HF75" t="inlineStr"/>
      <c r="HM75" t="inlineStr"/>
      <c r="HN75" t="inlineStr">
        <is>
          <t>Пр/812-095.0-1</t>
        </is>
      </c>
      <c r="HO75" t="inlineStr">
        <is>
          <t>Пр/774-095.0</t>
        </is>
      </c>
      <c r="HP75" t="inlineStr">
        <is>
          <t>Штукатурные работы</t>
        </is>
      </c>
      <c r="HQ75" t="inlineStr">
        <is>
          <t>Штукатурные работы</t>
        </is>
      </c>
      <c r="HS75" t="n">
        <v>0</v>
      </c>
      <c r="IK75" t="n">
        <v>0</v>
      </c>
    </row>
    <row r="76">
      <c r="A76" t="n">
        <v>18</v>
      </c>
      <c r="B76" t="n">
        <v>0</v>
      </c>
      <c r="C76" t="n">
        <v>48</v>
      </c>
      <c r="E76" t="inlineStr">
        <is>
          <t>6,1</t>
        </is>
      </c>
      <c r="F76" t="inlineStr">
        <is>
          <t>509-9900</t>
        </is>
      </c>
      <c r="G76" t="inlineStr">
        <is>
          <t>Строительный мусор</t>
        </is>
      </c>
      <c r="H76" t="inlineStr">
        <is>
          <t>т</t>
        </is>
      </c>
      <c r="I76">
        <f>I75*J76</f>
        <v/>
      </c>
      <c r="J76" t="n">
        <v>3.379999999999999</v>
      </c>
      <c r="K76" t="n">
        <v>3.38</v>
      </c>
      <c r="O76">
        <f>ROUND(CP76,0)</f>
        <v/>
      </c>
      <c r="P76">
        <f>ROUND(CQ76*I76,0)</f>
        <v/>
      </c>
      <c r="Q76">
        <f>(ROUND((ROUND(((ET76)*I76),0)*BB76),0)+ROUND((ROUND(((AE76-(EU76))*I76),0)*BS76),0))</f>
        <v/>
      </c>
      <c r="R76">
        <f>(ROUND((ROUND(((EU76)*I76),0)*BS76),0)+ROUND((ROUND(((AE76-(EU76))*I76),0)*BS76),0))</f>
        <v/>
      </c>
      <c r="S76">
        <f>ROUND(CT76*I76,0)</f>
        <v/>
      </c>
      <c r="T76">
        <f>ROUND(CU76*I76,0)</f>
        <v/>
      </c>
      <c r="U76">
        <f>ROUND(CV76*I76,7)</f>
        <v/>
      </c>
      <c r="V76">
        <f>ROUND(CW76*I76,7)</f>
        <v/>
      </c>
      <c r="W76">
        <f>ROUND(CX76*I76,0)</f>
        <v/>
      </c>
      <c r="X76">
        <f>ROUND(CY76,0)</f>
        <v/>
      </c>
      <c r="Y76">
        <f>ROUND(CZ76,0)</f>
        <v/>
      </c>
      <c r="AA76" t="n">
        <v>78869116</v>
      </c>
      <c r="AB76">
        <f>ROUND((AC76+AD76+AF76),2)</f>
        <v/>
      </c>
      <c r="AC76">
        <f>ROUND((ES76),2)</f>
        <v/>
      </c>
      <c r="AD76">
        <f>ROUND((((ET76)-(EU76))+AE76),2)</f>
        <v/>
      </c>
      <c r="AE76">
        <f>ROUND((EU76),2)</f>
        <v/>
      </c>
      <c r="AF76">
        <f>ROUND((EV76),2)</f>
        <v/>
      </c>
      <c r="AG76">
        <f>ROUND((AP76),2)</f>
        <v/>
      </c>
      <c r="AH76">
        <f>(EW76)</f>
        <v/>
      </c>
      <c r="AI76">
        <f>(EX76)</f>
        <v/>
      </c>
      <c r="AJ76">
        <f>(AS76)</f>
        <v/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  <c r="AS76" t="n">
        <v>0</v>
      </c>
      <c r="AT76" t="n">
        <v>89</v>
      </c>
      <c r="AU76" t="n">
        <v>44</v>
      </c>
      <c r="AV76" t="n">
        <v>1</v>
      </c>
      <c r="AW76" t="n">
        <v>1</v>
      </c>
      <c r="AZ76" t="n">
        <v>1</v>
      </c>
      <c r="BA76" t="n">
        <v>1</v>
      </c>
      <c r="BB76" t="n">
        <v>1</v>
      </c>
      <c r="BC76" t="n">
        <v>1</v>
      </c>
      <c r="BD76" t="inlineStr"/>
      <c r="BE76" t="inlineStr"/>
      <c r="BF76" t="inlineStr"/>
      <c r="BG76" t="inlineStr"/>
      <c r="BH76" t="n">
        <v>3</v>
      </c>
      <c r="BI76" t="n">
        <v>1</v>
      </c>
      <c r="BJ76" t="inlineStr">
        <is>
          <t>ТССЦ Московской обл., 509-9900, приказ Минстроя России №675/пр от 28.02.2017 № 258/пр</t>
        </is>
      </c>
      <c r="BM76" t="n">
        <v>61001</v>
      </c>
      <c r="BN76" t="n">
        <v>0</v>
      </c>
      <c r="BO76" t="inlineStr"/>
      <c r="BP76" t="n">
        <v>0</v>
      </c>
      <c r="BQ76" t="n">
        <v>6</v>
      </c>
      <c r="BR76" t="n">
        <v>0</v>
      </c>
      <c r="BS76" t="n">
        <v>1</v>
      </c>
      <c r="BT76" t="n">
        <v>1</v>
      </c>
      <c r="BU76" t="n">
        <v>1</v>
      </c>
      <c r="BV76" t="n">
        <v>1</v>
      </c>
      <c r="BW76" t="n">
        <v>1</v>
      </c>
      <c r="BX76" t="n">
        <v>1</v>
      </c>
      <c r="BY76" t="inlineStr"/>
      <c r="BZ76" t="n">
        <v>89</v>
      </c>
      <c r="CA76" t="n">
        <v>44</v>
      </c>
      <c r="CB76" t="inlineStr"/>
      <c r="CE76" t="n">
        <v>12</v>
      </c>
      <c r="CF76" t="n">
        <v>0</v>
      </c>
      <c r="CG76" t="n">
        <v>0</v>
      </c>
      <c r="CM76" t="n">
        <v>0</v>
      </c>
      <c r="CN76" t="inlineStr"/>
      <c r="CO76" t="n">
        <v>0</v>
      </c>
      <c r="CP76">
        <f>(P76+Q76+S76)</f>
        <v/>
      </c>
      <c r="CQ76">
        <f>AC76*BC76</f>
        <v/>
      </c>
      <c r="CR76">
        <f>(ROUND((ROUND(((ET76)*1),0)*BB76),0)+ROUND((ROUND(((AE76-(EU76))*1),0)*BS76),0))</f>
        <v/>
      </c>
      <c r="CS76">
        <f>(ROUND((ROUND(((EU76)*1),0)*BS76),0)+ROUND((ROUND(((AE76-(EU76))*1),0)*BS76),0))</f>
        <v/>
      </c>
      <c r="CT76">
        <f>AF76*BA76</f>
        <v/>
      </c>
      <c r="CU76">
        <f>AG76</f>
        <v/>
      </c>
      <c r="CV76">
        <f>AH76</f>
        <v/>
      </c>
      <c r="CW76">
        <f>AI76</f>
        <v/>
      </c>
      <c r="CX76">
        <f>AJ76</f>
        <v/>
      </c>
      <c r="CY76">
        <f>(((S76+R76)*AT76)/100)</f>
        <v/>
      </c>
      <c r="CZ76">
        <f>(((S76+R76)*AU76)/100)</f>
        <v/>
      </c>
      <c r="DC76" t="inlineStr"/>
      <c r="DD76" t="inlineStr"/>
      <c r="DE76" t="inlineStr"/>
      <c r="DF76" t="inlineStr"/>
      <c r="DG76" t="inlineStr"/>
      <c r="DH76" t="inlineStr"/>
      <c r="DI76" t="inlineStr"/>
      <c r="DJ76" t="inlineStr"/>
      <c r="DK76" t="inlineStr"/>
      <c r="DL76" t="inlineStr"/>
      <c r="DM76" t="inlineStr"/>
      <c r="DN76" t="n">
        <v>0</v>
      </c>
      <c r="DO76" t="n">
        <v>0</v>
      </c>
      <c r="DP76" t="n">
        <v>1</v>
      </c>
      <c r="DQ76" t="n">
        <v>1</v>
      </c>
      <c r="DU76" t="n">
        <v>1009</v>
      </c>
      <c r="DV76" t="inlineStr">
        <is>
          <t>т</t>
        </is>
      </c>
      <c r="DW76" t="inlineStr">
        <is>
          <t>т</t>
        </is>
      </c>
      <c r="DX76" t="n">
        <v>1000</v>
      </c>
      <c r="DZ76" t="inlineStr"/>
      <c r="EA76" t="inlineStr"/>
      <c r="EB76" t="inlineStr"/>
      <c r="EC76" t="inlineStr"/>
      <c r="EE76" t="n">
        <v>78725979</v>
      </c>
      <c r="EF76" t="n">
        <v>6</v>
      </c>
      <c r="EG76" t="inlineStr">
        <is>
          <t>Ремонтно-строительные работы</t>
        </is>
      </c>
      <c r="EH76" t="n">
        <v>95</v>
      </c>
      <c r="EI76" t="inlineStr">
        <is>
          <t>Штукатурные работы</t>
        </is>
      </c>
      <c r="EJ76" t="n">
        <v>1</v>
      </c>
      <c r="EK76" t="n">
        <v>61001</v>
      </c>
      <c r="EL76" t="inlineStr">
        <is>
          <t>Штукатурные работы</t>
        </is>
      </c>
      <c r="EM76" t="inlineStr">
        <is>
          <t>рФЕР-61</t>
        </is>
      </c>
      <c r="EO76" t="inlineStr"/>
      <c r="EQ76" t="n">
        <v>0</v>
      </c>
      <c r="ER76" t="n">
        <v>0</v>
      </c>
      <c r="ES76" t="n">
        <v>0</v>
      </c>
      <c r="ET76" t="n">
        <v>0</v>
      </c>
      <c r="EU76" t="n">
        <v>0</v>
      </c>
      <c r="EV76" t="n">
        <v>0</v>
      </c>
      <c r="EW76" t="n">
        <v>0</v>
      </c>
      <c r="EX76" t="n">
        <v>0</v>
      </c>
      <c r="FQ76" t="n">
        <v>0</v>
      </c>
      <c r="FR76" t="n">
        <v>0</v>
      </c>
      <c r="FS76" t="n">
        <v>0</v>
      </c>
      <c r="FX76" t="n">
        <v>89</v>
      </c>
      <c r="FY76" t="n">
        <v>44</v>
      </c>
      <c r="GA76" t="inlineStr"/>
      <c r="GD76" t="n">
        <v>1</v>
      </c>
      <c r="GF76" t="n">
        <v>1876412176</v>
      </c>
      <c r="GG76" t="n">
        <v>2</v>
      </c>
      <c r="GH76" t="n">
        <v>1</v>
      </c>
      <c r="GI76" t="n">
        <v>-2</v>
      </c>
      <c r="GJ76" t="n">
        <v>0</v>
      </c>
      <c r="GK76" t="n">
        <v>0</v>
      </c>
      <c r="GL76">
        <f>ROUND(IF(AND(BH76=3,BI76=3,FS76&lt;&gt;0),P76,0),0)</f>
        <v/>
      </c>
      <c r="GM76">
        <f>ROUND(O76+X76+Y76,0)+GX76</f>
        <v/>
      </c>
      <c r="GN76">
        <f>IF(OR(BI76=0,BI76=1),GM76-GX76,0)</f>
        <v/>
      </c>
      <c r="GO76">
        <f>IF(BI76=2,GM76-GX76,0)</f>
        <v/>
      </c>
      <c r="GP76">
        <f>IF(BI76=4,GM76-GX76,0)</f>
        <v/>
      </c>
      <c r="GR76" t="n">
        <v>0</v>
      </c>
      <c r="GS76" t="n">
        <v>3</v>
      </c>
      <c r="GT76" t="n">
        <v>0</v>
      </c>
      <c r="GU76" t="inlineStr"/>
      <c r="GV76">
        <f>ROUND((GT76),2)</f>
        <v/>
      </c>
      <c r="GW76" t="n">
        <v>1</v>
      </c>
      <c r="GX76">
        <f>ROUND(HC76*I76,0)</f>
        <v/>
      </c>
      <c r="HA76" t="n">
        <v>0</v>
      </c>
      <c r="HB76" t="n">
        <v>0</v>
      </c>
      <c r="HC76">
        <f>GV76*GW76</f>
        <v/>
      </c>
      <c r="HE76" t="inlineStr"/>
      <c r="HF76" t="inlineStr"/>
      <c r="HM76" t="inlineStr"/>
      <c r="HN76" t="inlineStr">
        <is>
          <t>Пр/812-095.0-1</t>
        </is>
      </c>
      <c r="HO76" t="inlineStr">
        <is>
          <t>Пр/774-095.0</t>
        </is>
      </c>
      <c r="HP76" t="inlineStr">
        <is>
          <t>Штукатурные работы</t>
        </is>
      </c>
      <c r="HQ76" t="inlineStr">
        <is>
          <t>Штукатурные работы</t>
        </is>
      </c>
      <c r="HS76" t="n">
        <v>0</v>
      </c>
      <c r="IK76" t="n">
        <v>0</v>
      </c>
    </row>
    <row r="77">
      <c r="A77" t="n">
        <v>17</v>
      </c>
      <c r="B77" t="n">
        <v>0</v>
      </c>
      <c r="C77">
        <f>ROW(SmtRes!A57)</f>
        <v/>
      </c>
      <c r="D77">
        <f>ROW(EtalonRes!A54)</f>
        <v/>
      </c>
      <c r="E77" t="inlineStr">
        <is>
          <t>7</t>
        </is>
      </c>
      <c r="F77" t="inlineStr">
        <is>
          <t>15-04-007-1</t>
        </is>
      </c>
      <c r="G77" t="inlineStr">
        <is>
          <t>Окраска водно-дисперсионными акриловыми составами улучшенная по штукатурке стен</t>
        </is>
      </c>
      <c r="H77" t="inlineStr">
        <is>
          <t>100 м2 окрашиваемой поверхности</t>
        </is>
      </c>
      <c r="I77">
        <f>ROUND(ROUND(1/100,4),7)</f>
        <v/>
      </c>
      <c r="J77" t="n">
        <v>0</v>
      </c>
      <c r="K77">
        <f>ROUND(ROUND(1/100,4),7)</f>
        <v/>
      </c>
      <c r="O77">
        <f>ROUND(CP77,0)</f>
        <v/>
      </c>
      <c r="P77">
        <f>ROUND(CQ77*I77,0)</f>
        <v/>
      </c>
      <c r="Q77">
        <f>(ROUND((ROUND(((ET77)*I77),0)*BB77),0)+ROUND((ROUND(((AE77-(EU77))*I77),0)*BS77),0))</f>
        <v/>
      </c>
      <c r="R77">
        <f>(ROUND((ROUND(((EU77)*I77),0)*BS77),0)+ROUND((ROUND(((AE77-(EU77))*I77),0)*BS77),0))</f>
        <v/>
      </c>
      <c r="S77">
        <f>ROUND(CT77*I77,0)</f>
        <v/>
      </c>
      <c r="T77">
        <f>ROUND(CU77*I77,0)</f>
        <v/>
      </c>
      <c r="U77">
        <f>ROUND(CV77*I77,7)</f>
        <v/>
      </c>
      <c r="V77">
        <f>ROUND(CW77*I77,7)</f>
        <v/>
      </c>
      <c r="W77">
        <f>ROUND(CX77*I77,0)</f>
        <v/>
      </c>
      <c r="X77">
        <f>ROUND(CY77,0)</f>
        <v/>
      </c>
      <c r="Y77">
        <f>ROUND(CZ77,0)</f>
        <v/>
      </c>
      <c r="AA77" t="n">
        <v>78869116</v>
      </c>
      <c r="AB77">
        <f>ROUND((AC77+AD77+AF77),2)</f>
        <v/>
      </c>
      <c r="AC77">
        <f>ROUND((ES77),2)</f>
        <v/>
      </c>
      <c r="AD77">
        <f>ROUND((((ET77)-(EU77))+AE77),2)</f>
        <v/>
      </c>
      <c r="AE77">
        <f>ROUND((EU77),2)</f>
        <v/>
      </c>
      <c r="AF77">
        <f>ROUND((EV77),2)</f>
        <v/>
      </c>
      <c r="AG77">
        <f>ROUND((AP77),2)</f>
        <v/>
      </c>
      <c r="AH77">
        <f>(EW77)</f>
        <v/>
      </c>
      <c r="AI77">
        <f>(EX77)</f>
        <v/>
      </c>
      <c r="AJ77">
        <f>(AS77)</f>
        <v/>
      </c>
      <c r="AK77" t="n">
        <v>1507.62</v>
      </c>
      <c r="AL77" t="n">
        <v>1113.28</v>
      </c>
      <c r="AM77" t="n">
        <v>13.63</v>
      </c>
      <c r="AN77" t="n">
        <v>0.23</v>
      </c>
      <c r="AO77" t="n">
        <v>380.71</v>
      </c>
      <c r="AP77" t="n">
        <v>0</v>
      </c>
      <c r="AQ77" t="n">
        <v>43.56</v>
      </c>
      <c r="AR77" t="n">
        <v>0.02</v>
      </c>
      <c r="AS77" t="n">
        <v>0</v>
      </c>
      <c r="AT77" t="n">
        <v>100</v>
      </c>
      <c r="AU77" t="n">
        <v>49</v>
      </c>
      <c r="AV77" t="n">
        <v>1</v>
      </c>
      <c r="AW77" t="n">
        <v>1</v>
      </c>
      <c r="AZ77" t="n">
        <v>1</v>
      </c>
      <c r="BA77" t="n">
        <v>52.25</v>
      </c>
      <c r="BB77" t="n">
        <v>24.94</v>
      </c>
      <c r="BC77" t="n">
        <v>10.03</v>
      </c>
      <c r="BD77" t="inlineStr"/>
      <c r="BE77" t="inlineStr"/>
      <c r="BF77" t="inlineStr"/>
      <c r="BG77" t="inlineStr"/>
      <c r="BH77" t="n">
        <v>0</v>
      </c>
      <c r="BI77" t="n">
        <v>1</v>
      </c>
      <c r="BJ77" t="inlineStr">
        <is>
          <t>ТЕР Московской обл., 15-04-007-1, приказ Минстроя России №675/пр от 28.02.2017 № 260/пр</t>
        </is>
      </c>
      <c r="BM77" t="n">
        <v>15001</v>
      </c>
      <c r="BN77" t="n">
        <v>0</v>
      </c>
      <c r="BO77" t="inlineStr">
        <is>
          <t>15-04-007-1</t>
        </is>
      </c>
      <c r="BP77" t="n">
        <v>1</v>
      </c>
      <c r="BQ77" t="n">
        <v>2</v>
      </c>
      <c r="BR77" t="n">
        <v>0</v>
      </c>
      <c r="BS77" t="n">
        <v>52.25</v>
      </c>
      <c r="BT77" t="n">
        <v>1</v>
      </c>
      <c r="BU77" t="n">
        <v>1</v>
      </c>
      <c r="BV77" t="n">
        <v>1</v>
      </c>
      <c r="BW77" t="n">
        <v>1</v>
      </c>
      <c r="BX77" t="n">
        <v>1</v>
      </c>
      <c r="BY77" t="inlineStr"/>
      <c r="BZ77" t="n">
        <v>100</v>
      </c>
      <c r="CA77" t="n">
        <v>49</v>
      </c>
      <c r="CB77" t="inlineStr"/>
      <c r="CE77" t="n">
        <v>12</v>
      </c>
      <c r="CF77" t="n">
        <v>0</v>
      </c>
      <c r="CG77" t="n">
        <v>0</v>
      </c>
      <c r="CM77" t="n">
        <v>0</v>
      </c>
      <c r="CN77" t="inlineStr"/>
      <c r="CO77" t="n">
        <v>0</v>
      </c>
      <c r="CP77">
        <f>(P77+Q77+S77)</f>
        <v/>
      </c>
      <c r="CQ77">
        <f>AC77*BC77</f>
        <v/>
      </c>
      <c r="CR77">
        <f>(ROUND((ROUND(((ET77)*1),0)*BB77),0)+ROUND((ROUND(((AE77-(EU77))*1),0)*BS77),0))</f>
        <v/>
      </c>
      <c r="CS77">
        <f>(ROUND((ROUND(((EU77)*1),0)*BS77),0)+ROUND((ROUND(((AE77-(EU77))*1),0)*BS77),0))</f>
        <v/>
      </c>
      <c r="CT77">
        <f>AF77*BA77</f>
        <v/>
      </c>
      <c r="CU77">
        <f>AG77</f>
        <v/>
      </c>
      <c r="CV77">
        <f>AH77</f>
        <v/>
      </c>
      <c r="CW77">
        <f>AI77</f>
        <v/>
      </c>
      <c r="CX77">
        <f>AJ77</f>
        <v/>
      </c>
      <c r="CY77">
        <f>(((S77+R77)*AT77)/100)</f>
        <v/>
      </c>
      <c r="CZ77">
        <f>(((S77+R77)*AU77)/100)</f>
        <v/>
      </c>
      <c r="DC77" t="inlineStr"/>
      <c r="DD77" t="inlineStr"/>
      <c r="DE77" t="inlineStr"/>
      <c r="DF77" t="inlineStr"/>
      <c r="DG77" t="inlineStr"/>
      <c r="DH77" t="inlineStr"/>
      <c r="DI77" t="inlineStr"/>
      <c r="DJ77" t="inlineStr"/>
      <c r="DK77" t="inlineStr"/>
      <c r="DL77" t="inlineStr"/>
      <c r="DM77" t="inlineStr"/>
      <c r="DN77" t="n">
        <v>0</v>
      </c>
      <c r="DO77" t="n">
        <v>0</v>
      </c>
      <c r="DP77" t="n">
        <v>1</v>
      </c>
      <c r="DQ77" t="n">
        <v>1</v>
      </c>
      <c r="DU77" t="n">
        <v>1005</v>
      </c>
      <c r="DV77" t="inlineStr">
        <is>
          <t>100 м2 окрашиваемой поверхности</t>
        </is>
      </c>
      <c r="DW77" t="inlineStr">
        <is>
          <t>100 м2 окрашиваемой поверхности</t>
        </is>
      </c>
      <c r="DX77" t="n">
        <v>100</v>
      </c>
      <c r="DZ77" t="inlineStr"/>
      <c r="EA77" t="inlineStr"/>
      <c r="EB77" t="inlineStr"/>
      <c r="EC77" t="inlineStr"/>
      <c r="EE77" t="n">
        <v>78725880</v>
      </c>
      <c r="EF77" t="n">
        <v>2</v>
      </c>
      <c r="EG77" t="inlineStr">
        <is>
          <t>Общестроительные работы</t>
        </is>
      </c>
      <c r="EH77" t="n">
        <v>15</v>
      </c>
      <c r="EI77" t="inlineStr">
        <is>
          <t>Отделочные работы</t>
        </is>
      </c>
      <c r="EJ77" t="n">
        <v>1</v>
      </c>
      <c r="EK77" t="n">
        <v>15001</v>
      </c>
      <c r="EL77" t="inlineStr">
        <is>
          <t>Отделочные работы</t>
        </is>
      </c>
      <c r="EM77" t="inlineStr">
        <is>
          <t>ФЕР-15</t>
        </is>
      </c>
      <c r="EO77" t="inlineStr"/>
      <c r="EQ77" t="n">
        <v>0</v>
      </c>
      <c r="ER77" t="n">
        <v>1507.62</v>
      </c>
      <c r="ES77" t="n">
        <v>1113.28</v>
      </c>
      <c r="ET77" t="n">
        <v>13.63</v>
      </c>
      <c r="EU77" t="n">
        <v>0.23</v>
      </c>
      <c r="EV77" t="n">
        <v>380.71</v>
      </c>
      <c r="EW77" t="n">
        <v>43.56</v>
      </c>
      <c r="EX77" t="n">
        <v>0.02</v>
      </c>
      <c r="EY77" t="n">
        <v>0</v>
      </c>
      <c r="FQ77" t="n">
        <v>0</v>
      </c>
      <c r="FR77" t="n">
        <v>0</v>
      </c>
      <c r="FS77" t="n">
        <v>0</v>
      </c>
      <c r="FX77" t="n">
        <v>100</v>
      </c>
      <c r="FY77" t="n">
        <v>49</v>
      </c>
      <c r="GA77" t="inlineStr"/>
      <c r="GD77" t="n">
        <v>1</v>
      </c>
      <c r="GF77" t="n">
        <v>15560667</v>
      </c>
      <c r="GG77" t="n">
        <v>2</v>
      </c>
      <c r="GH77" t="n">
        <v>1</v>
      </c>
      <c r="GI77" t="n">
        <v>2</v>
      </c>
      <c r="GJ77" t="n">
        <v>0</v>
      </c>
      <c r="GK77" t="n">
        <v>0</v>
      </c>
      <c r="GL77">
        <f>ROUND(IF(AND(BH77=3,BI77=3,FS77&lt;&gt;0),P77,0),0)</f>
        <v/>
      </c>
      <c r="GM77">
        <f>ROUND(O77+X77+Y77,0)+GX77</f>
        <v/>
      </c>
      <c r="GN77">
        <f>IF(OR(BI77=0,BI77=1),GM77-GX77,0)</f>
        <v/>
      </c>
      <c r="GO77">
        <f>IF(BI77=2,GM77-GX77,0)</f>
        <v/>
      </c>
      <c r="GP77">
        <f>IF(BI77=4,GM77-GX77,0)</f>
        <v/>
      </c>
      <c r="GR77" t="n">
        <v>0</v>
      </c>
      <c r="GS77" t="n">
        <v>3</v>
      </c>
      <c r="GT77" t="n">
        <v>0</v>
      </c>
      <c r="GU77" t="inlineStr"/>
      <c r="GV77">
        <f>ROUND((GT77),2)</f>
        <v/>
      </c>
      <c r="GW77" t="n">
        <v>1</v>
      </c>
      <c r="GX77">
        <f>ROUND(HC77*I77,0)</f>
        <v/>
      </c>
      <c r="HA77" t="n">
        <v>0</v>
      </c>
      <c r="HB77" t="n">
        <v>0</v>
      </c>
      <c r="HC77">
        <f>GV77*GW77</f>
        <v/>
      </c>
      <c r="HE77" t="inlineStr"/>
      <c r="HF77" t="inlineStr"/>
      <c r="HM77" t="inlineStr"/>
      <c r="HN77" t="inlineStr">
        <is>
          <t>Пр/812-015.0-1</t>
        </is>
      </c>
      <c r="HO77" t="inlineStr">
        <is>
          <t>Пр/774-015.0</t>
        </is>
      </c>
      <c r="HP77" t="inlineStr">
        <is>
          <t>Отделочные работы</t>
        </is>
      </c>
      <c r="HQ77" t="inlineStr">
        <is>
          <t>Отделочные работы</t>
        </is>
      </c>
      <c r="HS77" t="n">
        <v>0</v>
      </c>
      <c r="IK77" t="n">
        <v>0</v>
      </c>
    </row>
    <row r="78">
      <c r="A78" t="n">
        <v>17</v>
      </c>
      <c r="B78" t="n">
        <v>0</v>
      </c>
      <c r="C78">
        <f>ROW(SmtRes!A63)</f>
        <v/>
      </c>
      <c r="D78">
        <f>ROW(EtalonRes!A60)</f>
        <v/>
      </c>
      <c r="E78" t="inlineStr">
        <is>
          <t>8</t>
        </is>
      </c>
      <c r="F78" t="inlineStr">
        <is>
          <t>16-07-005-1</t>
        </is>
      </c>
      <c r="G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8" t="inlineStr">
        <is>
          <t>100 м трубопровода</t>
        </is>
      </c>
      <c r="I78">
        <f>ROUND(ROUND(120/100,4),7)</f>
        <v/>
      </c>
      <c r="J78" t="n">
        <v>0</v>
      </c>
      <c r="K78">
        <f>ROUND(ROUND(120/100,4),7)</f>
        <v/>
      </c>
      <c r="O78">
        <f>ROUND(CP78,0)</f>
        <v/>
      </c>
      <c r="P78">
        <f>ROUND(CQ78*I78,0)</f>
        <v/>
      </c>
      <c r="Q78">
        <f>(ROUND((ROUND((((ET78*ROUND(5,7)))*I78),0)*BB78),0)+ROUND((ROUND(((AE78-((EU78*ROUND(5,7))))*I78),0)*BS78),0))</f>
        <v/>
      </c>
      <c r="R78">
        <f>(ROUND((ROUND((((EU78*ROUND(5,7)))*I78),0)*BS78),0)+ROUND((ROUND(((AE78-((EU78*ROUND(5,7))))*I78),0)*BS78),0))</f>
        <v/>
      </c>
      <c r="S78">
        <f>ROUND(CT78*I78,0)</f>
        <v/>
      </c>
      <c r="T78">
        <f>ROUND(CU78*I78,0)</f>
        <v/>
      </c>
      <c r="U78">
        <f>ROUND(CV78*I78,7)</f>
        <v/>
      </c>
      <c r="V78">
        <f>ROUND(CW78*I78,7)</f>
        <v/>
      </c>
      <c r="W78">
        <f>ROUND(CX78*I78,0)</f>
        <v/>
      </c>
      <c r="X78">
        <f>ROUND(CY78,0)</f>
        <v/>
      </c>
      <c r="Y78">
        <f>ROUND(CZ78,0)</f>
        <v/>
      </c>
      <c r="AA78" t="n">
        <v>78869116</v>
      </c>
      <c r="AB78">
        <f>ROUND((AC78+AD78+AF78),2)</f>
        <v/>
      </c>
      <c r="AC78">
        <f>ROUND(((ES78*ROUND(5,7))),2)</f>
        <v/>
      </c>
      <c r="AD78">
        <f>ROUND(((((ET78*ROUND(5,7)))-((EU78*ROUND(5,7))))+AE78),2)</f>
        <v/>
      </c>
      <c r="AE78">
        <f>ROUND(((EU78*ROUND(5,7))),2)</f>
        <v/>
      </c>
      <c r="AF78">
        <f>ROUND(((EV78*ROUND(5,7))),2)</f>
        <v/>
      </c>
      <c r="AG78">
        <f>ROUND((AP78),2)</f>
        <v/>
      </c>
      <c r="AH78">
        <f>((EW78*ROUND(5,7)))</f>
        <v/>
      </c>
      <c r="AI78">
        <f>((EX78*ROUND(5,7)))</f>
        <v/>
      </c>
      <c r="AJ78">
        <f>(AS78)</f>
        <v/>
      </c>
      <c r="AK78" t="n">
        <v>107.11</v>
      </c>
      <c r="AL78" t="n">
        <v>4.28</v>
      </c>
      <c r="AM78" t="n">
        <v>44.51</v>
      </c>
      <c r="AN78" t="n">
        <v>0</v>
      </c>
      <c r="AO78" t="n">
        <v>58.32</v>
      </c>
      <c r="AP78" t="n">
        <v>0</v>
      </c>
      <c r="AQ78" t="n">
        <v>5.01</v>
      </c>
      <c r="AR78" t="n">
        <v>0</v>
      </c>
      <c r="AS78" t="n">
        <v>0</v>
      </c>
      <c r="AT78" t="n">
        <v>121</v>
      </c>
      <c r="AU78" t="n">
        <v>72</v>
      </c>
      <c r="AV78" t="n">
        <v>1</v>
      </c>
      <c r="AW78" t="n">
        <v>1</v>
      </c>
      <c r="AZ78" t="n">
        <v>1</v>
      </c>
      <c r="BA78" t="n">
        <v>52.25</v>
      </c>
      <c r="BB78" t="n">
        <v>5.97</v>
      </c>
      <c r="BC78" t="n">
        <v>11.38</v>
      </c>
      <c r="BD78" t="inlineStr"/>
      <c r="BE78" t="inlineStr"/>
      <c r="BF78" t="inlineStr"/>
      <c r="BG78" t="inlineStr"/>
      <c r="BH78" t="n">
        <v>0</v>
      </c>
      <c r="BI78" t="n">
        <v>1</v>
      </c>
      <c r="BJ78" t="inlineStr">
        <is>
          <t>ТЕР Московской обл., 16-07-005-1, приказ Минстроя России №675/пр от 28.02.2017 № 260/пр</t>
        </is>
      </c>
      <c r="BM78" t="n">
        <v>16001</v>
      </c>
      <c r="BN78" t="n">
        <v>0</v>
      </c>
      <c r="BO78" t="inlineStr">
        <is>
          <t>16-07-005-1</t>
        </is>
      </c>
      <c r="BP78" t="n">
        <v>1</v>
      </c>
      <c r="BQ78" t="n">
        <v>2</v>
      </c>
      <c r="BR78" t="n">
        <v>0</v>
      </c>
      <c r="BS78" t="n">
        <v>52.25</v>
      </c>
      <c r="BT78" t="n">
        <v>1</v>
      </c>
      <c r="BU78" t="n">
        <v>1</v>
      </c>
      <c r="BV78" t="n">
        <v>1</v>
      </c>
      <c r="BW78" t="n">
        <v>1</v>
      </c>
      <c r="BX78" t="n">
        <v>1</v>
      </c>
      <c r="BY78" t="inlineStr"/>
      <c r="BZ78" t="n">
        <v>121</v>
      </c>
      <c r="CA78" t="n">
        <v>72</v>
      </c>
      <c r="CB78" t="inlineStr"/>
      <c r="CE78" t="n">
        <v>12</v>
      </c>
      <c r="CF78" t="n">
        <v>0</v>
      </c>
      <c r="CG78" t="n">
        <v>0</v>
      </c>
      <c r="CM78" t="n">
        <v>0</v>
      </c>
      <c r="CN78" t="inlineStr"/>
      <c r="CO78" t="n">
        <v>0</v>
      </c>
      <c r="CP78">
        <f>(P78+Q78+S78)</f>
        <v/>
      </c>
      <c r="CQ78">
        <f>AC78*BC78</f>
        <v/>
      </c>
      <c r="CR78">
        <f>(ROUND((ROUND((((ET78*ROUND(5,7)))*1),0)*BB78),0)+ROUND((ROUND(((AE78-((EU78*ROUND(5,7))))*1),0)*BS78),0))</f>
        <v/>
      </c>
      <c r="CS78">
        <f>(ROUND((ROUND((((EU78*ROUND(5,7)))*1),0)*BS78),0)+ROUND((ROUND(((AE78-((EU78*ROUND(5,7))))*1),0)*BS78),0))</f>
        <v/>
      </c>
      <c r="CT78">
        <f>AF78*BA78</f>
        <v/>
      </c>
      <c r="CU78">
        <f>AG78</f>
        <v/>
      </c>
      <c r="CV78">
        <f>AH78</f>
        <v/>
      </c>
      <c r="CW78">
        <f>AI78</f>
        <v/>
      </c>
      <c r="CX78">
        <f>AJ78</f>
        <v/>
      </c>
      <c r="CY78">
        <f>(((S78+R78)*AT78)/100)</f>
        <v/>
      </c>
      <c r="CZ78">
        <f>(((S78+R78)*AU78)/100)</f>
        <v/>
      </c>
      <c r="DC78" t="inlineStr"/>
      <c r="DD78" t="inlineStr">
        <is>
          <t>)*5</t>
        </is>
      </c>
      <c r="DE78" t="inlineStr">
        <is>
          <t>)*5</t>
        </is>
      </c>
      <c r="DF78" t="inlineStr">
        <is>
          <t>)*5</t>
        </is>
      </c>
      <c r="DG78" t="inlineStr">
        <is>
          <t>)*5</t>
        </is>
      </c>
      <c r="DH78" t="inlineStr"/>
      <c r="DI78" t="inlineStr">
        <is>
          <t>)*5</t>
        </is>
      </c>
      <c r="DJ78" t="inlineStr">
        <is>
          <t>)*5</t>
        </is>
      </c>
      <c r="DK78" t="inlineStr"/>
      <c r="DL78" t="inlineStr"/>
      <c r="DM78" t="inlineStr"/>
      <c r="DN78" t="n">
        <v>0</v>
      </c>
      <c r="DO78" t="n">
        <v>0</v>
      </c>
      <c r="DP78" t="n">
        <v>1</v>
      </c>
      <c r="DQ78" t="n">
        <v>1</v>
      </c>
      <c r="DU78" t="n">
        <v>1013</v>
      </c>
      <c r="DV78" t="inlineStr">
        <is>
          <t>100 м трубопровода</t>
        </is>
      </c>
      <c r="DW78" t="inlineStr">
        <is>
          <t>100 м трубопровода</t>
        </is>
      </c>
      <c r="DX78" t="n">
        <v>1</v>
      </c>
      <c r="DZ78" t="inlineStr"/>
      <c r="EA78" t="inlineStr"/>
      <c r="EB78" t="inlineStr"/>
      <c r="EC78" t="inlineStr"/>
      <c r="EE78" t="n">
        <v>78725882</v>
      </c>
      <c r="EF78" t="n">
        <v>2</v>
      </c>
      <c r="EG78" t="inlineStr">
        <is>
          <t>Общестроительные работы</t>
        </is>
      </c>
      <c r="EH78" t="n">
        <v>16</v>
      </c>
      <c r="EI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8" t="n">
        <v>1</v>
      </c>
      <c r="EK78" t="n">
        <v>16001</v>
      </c>
      <c r="EL78" t="inlineStr">
        <is>
          <t>Трубопроводы внутренние</t>
        </is>
      </c>
      <c r="EM78" t="inlineStr">
        <is>
          <t>ФЕР-16</t>
        </is>
      </c>
      <c r="EO78" t="inlineStr"/>
      <c r="EQ78" t="n">
        <v>0</v>
      </c>
      <c r="ER78" t="n">
        <v>107.11</v>
      </c>
      <c r="ES78" t="n">
        <v>4.28</v>
      </c>
      <c r="ET78" t="n">
        <v>44.51</v>
      </c>
      <c r="EU78" t="n">
        <v>0</v>
      </c>
      <c r="EV78" t="n">
        <v>58.32</v>
      </c>
      <c r="EW78" t="n">
        <v>5.01</v>
      </c>
      <c r="EX78" t="n">
        <v>0</v>
      </c>
      <c r="EY78" t="n">
        <v>0</v>
      </c>
      <c r="FQ78" t="n">
        <v>0</v>
      </c>
      <c r="FR78" t="n">
        <v>0</v>
      </c>
      <c r="FS78" t="n">
        <v>0</v>
      </c>
      <c r="FX78" t="n">
        <v>121</v>
      </c>
      <c r="FY78" t="n">
        <v>72</v>
      </c>
      <c r="GA78" t="inlineStr"/>
      <c r="GD78" t="n">
        <v>1</v>
      </c>
      <c r="GF78" t="n">
        <v>635989612</v>
      </c>
      <c r="GG78" t="n">
        <v>2</v>
      </c>
      <c r="GH78" t="n">
        <v>1</v>
      </c>
      <c r="GI78" t="n">
        <v>2</v>
      </c>
      <c r="GJ78" t="n">
        <v>0</v>
      </c>
      <c r="GK78" t="n">
        <v>0</v>
      </c>
      <c r="GL78">
        <f>ROUND(IF(AND(BH78=3,BI78=3,FS78&lt;&gt;0),P78,0),0)</f>
        <v/>
      </c>
      <c r="GM78">
        <f>ROUND(O78+X78+Y78,0)+GX78</f>
        <v/>
      </c>
      <c r="GN78">
        <f>IF(OR(BI78=0,BI78=1),GM78-GX78,0)</f>
        <v/>
      </c>
      <c r="GO78">
        <f>IF(BI78=2,GM78-GX78,0)</f>
        <v/>
      </c>
      <c r="GP78">
        <f>IF(BI78=4,GM78-GX78,0)</f>
        <v/>
      </c>
      <c r="GR78" t="n">
        <v>0</v>
      </c>
      <c r="GS78" t="n">
        <v>3</v>
      </c>
      <c r="GT78" t="n">
        <v>0</v>
      </c>
      <c r="GU78" t="inlineStr"/>
      <c r="GV78">
        <f>ROUND((GT78),2)</f>
        <v/>
      </c>
      <c r="GW78" t="n">
        <v>1</v>
      </c>
      <c r="GX78">
        <f>ROUND(HC78*I78,0)</f>
        <v/>
      </c>
      <c r="HA78" t="n">
        <v>0</v>
      </c>
      <c r="HB78" t="n">
        <v>0</v>
      </c>
      <c r="HC78">
        <f>GV78*GW78</f>
        <v/>
      </c>
      <c r="HE78" t="inlineStr"/>
      <c r="HF78" t="inlineStr"/>
      <c r="HM78" t="inlineStr"/>
      <c r="HN78" t="inlineStr">
        <is>
          <t>Пр/812-016.0-1</t>
        </is>
      </c>
      <c r="HO78" t="inlineStr">
        <is>
          <t>Пр/774-016.0</t>
        </is>
      </c>
      <c r="HP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8" t="n">
        <v>0</v>
      </c>
      <c r="IK78" t="n">
        <v>0</v>
      </c>
    </row>
    <row r="79"/>
    <row r="80">
      <c r="A80" s="402" t="n">
        <v>51</v>
      </c>
      <c r="B80" s="402">
        <f>B62</f>
        <v/>
      </c>
      <c r="C80" s="402">
        <f>A62</f>
        <v/>
      </c>
      <c r="D80" s="402">
        <f>ROW(A62)</f>
        <v/>
      </c>
      <c r="E80" s="402" t="n"/>
      <c r="F80" s="402">
        <f>IF(F62&lt;&gt;"",F62,"")</f>
        <v/>
      </c>
      <c r="G80" s="402">
        <f>IF(G62&lt;&gt;"",G62,"")</f>
        <v/>
      </c>
      <c r="H80" s="402" t="n">
        <v>0</v>
      </c>
      <c r="I80" s="402" t="n"/>
      <c r="J80" s="402" t="n"/>
      <c r="K80" s="402" t="n"/>
      <c r="L80" s="402" t="n"/>
      <c r="M80" s="402" t="n"/>
      <c r="N80" s="402" t="n"/>
      <c r="O80" s="402" t="n">
        <v>0</v>
      </c>
      <c r="P80" s="402" t="n">
        <v>0</v>
      </c>
      <c r="Q80" s="402" t="n">
        <v>0</v>
      </c>
      <c r="R80" s="402" t="n">
        <v>0</v>
      </c>
      <c r="S80" s="402" t="n">
        <v>0</v>
      </c>
      <c r="T80" s="402" t="n">
        <v>0</v>
      </c>
      <c r="U80" s="402" t="n">
        <v>0</v>
      </c>
      <c r="V80" s="402" t="n">
        <v>0</v>
      </c>
      <c r="W80" s="402" t="n">
        <v>0</v>
      </c>
      <c r="X80" s="402" t="n">
        <v>0</v>
      </c>
      <c r="Y80" s="402" t="n">
        <v>0</v>
      </c>
      <c r="Z80" s="402" t="n"/>
      <c r="AA80" s="402" t="n"/>
      <c r="AB80" s="402" t="n"/>
      <c r="AC80" s="402" t="n"/>
      <c r="AD80" s="402" t="n"/>
      <c r="AE80" s="402" t="n"/>
      <c r="AF80" s="402" t="n"/>
      <c r="AG80" s="402" t="n"/>
      <c r="AH80" s="402" t="n"/>
      <c r="AI80" s="402" t="n"/>
      <c r="AJ80" s="402" t="n"/>
      <c r="AK80" s="402" t="n"/>
      <c r="AL80" s="402" t="n"/>
      <c r="AM80" s="402" t="n"/>
      <c r="AN80" s="402" t="n"/>
      <c r="AO80" s="402">
        <f>ROUND(BX80,0)</f>
        <v/>
      </c>
      <c r="AP80" s="402">
        <f>ROUND(BY80,0)</f>
        <v/>
      </c>
      <c r="AQ80" s="402">
        <f>ROUND(BZ80,0)</f>
        <v/>
      </c>
      <c r="AR80" s="402">
        <f>ROUND(CA80,0)</f>
        <v/>
      </c>
      <c r="AS80" s="402">
        <f>ROUND(CB80,0)</f>
        <v/>
      </c>
      <c r="AT80" s="402">
        <f>ROUND(CC80,0)</f>
        <v/>
      </c>
      <c r="AU80" s="402">
        <f>ROUND(CD80,0)</f>
        <v/>
      </c>
      <c r="AV80" s="402">
        <f>ROUND(CE80,0)</f>
        <v/>
      </c>
      <c r="AW80" s="402">
        <f>ROUND(CF80,0)</f>
        <v/>
      </c>
      <c r="AX80" s="402">
        <f>ROUND(CG80,0)</f>
        <v/>
      </c>
      <c r="AY80" s="402">
        <f>ROUND(CH80,0)</f>
        <v/>
      </c>
      <c r="AZ80" s="402">
        <f>ROUND(CI80,0)</f>
        <v/>
      </c>
      <c r="BA80" s="402">
        <f>ROUND(CJ80,0)</f>
        <v/>
      </c>
      <c r="BB80" s="402">
        <f>ROUND(CK80,0)</f>
        <v/>
      </c>
      <c r="BC80" s="402">
        <f>ROUND(CL80,0)</f>
        <v/>
      </c>
      <c r="BD80" s="402">
        <f>ROUND(CM80,0)</f>
        <v/>
      </c>
      <c r="BE80" s="402" t="n"/>
      <c r="BF80" s="402" t="n"/>
      <c r="BG80" s="402" t="n"/>
      <c r="BH80" s="402" t="n"/>
      <c r="BI80" s="402" t="n"/>
      <c r="BJ80" s="402" t="n"/>
      <c r="BK80" s="402" t="n"/>
      <c r="BL80" s="402" t="n"/>
      <c r="BM80" s="402" t="n"/>
      <c r="BN80" s="402" t="n"/>
      <c r="BO80" s="402" t="n"/>
      <c r="BP80" s="402" t="n"/>
      <c r="BQ80" s="402" t="n"/>
      <c r="BR80" s="402" t="n"/>
      <c r="BS80" s="402" t="n"/>
      <c r="BT80" s="402" t="n"/>
      <c r="BU80" s="402" t="n"/>
      <c r="BV80" s="402" t="n"/>
      <c r="BW80" s="402" t="n"/>
      <c r="BX80" s="402" t="n"/>
      <c r="BY80" s="402" t="n"/>
      <c r="BZ80" s="402" t="n"/>
      <c r="CA80" s="402" t="n"/>
      <c r="CB80" s="402" t="n"/>
      <c r="CC80" s="402" t="n"/>
      <c r="CD80" s="402" t="n"/>
      <c r="CE80" s="402" t="n"/>
      <c r="CF80" s="402" t="n"/>
      <c r="CG80" s="402" t="n"/>
      <c r="CH80" s="402" t="n"/>
      <c r="CI80" s="402" t="n"/>
      <c r="CJ80" s="402" t="n"/>
      <c r="CK80" s="402" t="n"/>
      <c r="CL80" s="402" t="n"/>
      <c r="CM80" s="402" t="n"/>
      <c r="CN80" s="402" t="n"/>
      <c r="CO80" s="402" t="n"/>
      <c r="CP80" s="402" t="n"/>
      <c r="CQ80" s="402" t="n"/>
      <c r="CR80" s="402" t="n"/>
      <c r="CS80" s="402" t="n"/>
      <c r="CT80" s="402" t="n"/>
      <c r="CU80" s="402" t="n"/>
      <c r="CV80" s="402" t="n"/>
      <c r="CW80" s="402" t="n"/>
      <c r="CX80" s="402" t="n"/>
      <c r="CY80" s="402" t="n"/>
      <c r="CZ80" s="402" t="n"/>
      <c r="DA80" s="402" t="n"/>
      <c r="DB80" s="402" t="n"/>
      <c r="DC80" s="402" t="n"/>
      <c r="DD80" s="402" t="n"/>
      <c r="DE80" s="402" t="n"/>
      <c r="DF80" s="402" t="n"/>
      <c r="DG80" s="403" t="n"/>
      <c r="DH80" s="403" t="n"/>
      <c r="DI80" s="403" t="n"/>
      <c r="DJ80" s="403" t="n"/>
      <c r="DK80" s="403" t="n"/>
      <c r="DL80" s="403" t="n"/>
      <c r="DM80" s="403" t="n"/>
      <c r="DN80" s="403" t="n"/>
      <c r="DO80" s="403" t="n"/>
      <c r="DP80" s="403" t="n"/>
      <c r="DQ80" s="403" t="n"/>
      <c r="DR80" s="403" t="n"/>
      <c r="DS80" s="403" t="n"/>
      <c r="DT80" s="403" t="n"/>
      <c r="DU80" s="403" t="n"/>
      <c r="DV80" s="403" t="n"/>
      <c r="DW80" s="403" t="n"/>
      <c r="DX80" s="403" t="n"/>
      <c r="DY80" s="403" t="n"/>
      <c r="DZ80" s="403" t="n"/>
      <c r="EA80" s="403" t="n"/>
      <c r="EB80" s="403" t="n"/>
      <c r="EC80" s="403" t="n"/>
      <c r="ED80" s="403" t="n"/>
      <c r="EE80" s="403" t="n"/>
      <c r="EF80" s="403" t="n"/>
      <c r="EG80" s="403" t="n"/>
      <c r="EH80" s="403" t="n"/>
      <c r="EI80" s="403" t="n"/>
      <c r="EJ80" s="403" t="n"/>
      <c r="EK80" s="403" t="n"/>
      <c r="EL80" s="403" t="n"/>
      <c r="EM80" s="403" t="n"/>
      <c r="EN80" s="403" t="n"/>
      <c r="EO80" s="403" t="n"/>
      <c r="EP80" s="403" t="n"/>
      <c r="EQ80" s="403" t="n"/>
      <c r="ER80" s="403" t="n"/>
      <c r="ES80" s="403" t="n"/>
      <c r="ET80" s="403" t="n"/>
      <c r="EU80" s="403" t="n"/>
      <c r="EV80" s="403" t="n"/>
      <c r="EW80" s="403" t="n"/>
      <c r="EX80" s="403" t="n"/>
      <c r="EY80" s="403" t="n"/>
      <c r="EZ80" s="403" t="n"/>
      <c r="FA80" s="403" t="n"/>
      <c r="FB80" s="403" t="n"/>
      <c r="FC80" s="403" t="n"/>
      <c r="FD80" s="403" t="n"/>
      <c r="FE80" s="403" t="n"/>
      <c r="FF80" s="403" t="n"/>
      <c r="FG80" s="403" t="n"/>
      <c r="FH80" s="403" t="n"/>
      <c r="FI80" s="403" t="n"/>
      <c r="FJ80" s="403" t="n"/>
      <c r="FK80" s="403" t="n"/>
      <c r="FL80" s="403" t="n"/>
      <c r="FM80" s="403" t="n"/>
      <c r="FN80" s="403" t="n"/>
      <c r="FO80" s="403" t="n"/>
      <c r="FP80" s="403" t="n"/>
      <c r="FQ80" s="403" t="n"/>
      <c r="FR80" s="403" t="n"/>
      <c r="FS80" s="403" t="n"/>
      <c r="FT80" s="403" t="n"/>
      <c r="FU80" s="403" t="n"/>
      <c r="FV80" s="403" t="n"/>
      <c r="FW80" s="403" t="n"/>
      <c r="FX80" s="403" t="n"/>
      <c r="FY80" s="403" t="n"/>
      <c r="FZ80" s="403" t="n"/>
      <c r="GA80" s="403" t="n"/>
      <c r="GB80" s="403" t="n"/>
      <c r="GC80" s="403" t="n"/>
      <c r="GD80" s="403" t="n"/>
      <c r="GE80" s="403" t="n"/>
      <c r="GF80" s="403" t="n"/>
      <c r="GG80" s="403" t="n"/>
      <c r="GH80" s="403" t="n"/>
      <c r="GI80" s="403" t="n"/>
      <c r="GJ80" s="403" t="n"/>
      <c r="GK80" s="403" t="n"/>
      <c r="GL80" s="403" t="n"/>
      <c r="GM80" s="403" t="n"/>
      <c r="GN80" s="403" t="n"/>
      <c r="GO80" s="403" t="n"/>
      <c r="GP80" s="403" t="n"/>
      <c r="GQ80" s="403" t="n"/>
      <c r="GR80" s="403" t="n"/>
      <c r="GS80" s="403" t="n"/>
      <c r="GT80" s="403" t="n"/>
      <c r="GU80" s="403" t="n"/>
      <c r="GV80" s="403" t="n"/>
      <c r="GW80" s="403" t="n"/>
      <c r="GX80" s="403" t="n">
        <v>0</v>
      </c>
    </row>
    <row r="81"/>
    <row r="82">
      <c r="A82" s="404" t="n">
        <v>50</v>
      </c>
      <c r="B82" s="404" t="n">
        <v>0</v>
      </c>
      <c r="C82" s="404" t="n">
        <v>0</v>
      </c>
      <c r="D82" s="404" t="n">
        <v>1</v>
      </c>
      <c r="E82" s="404" t="n">
        <v>201</v>
      </c>
      <c r="F82" s="404">
        <f>ROUND(Source!O80,O82)</f>
        <v/>
      </c>
      <c r="G82" s="404" t="inlineStr">
        <is>
          <t>ПЗ</t>
        </is>
      </c>
      <c r="H82" s="404" t="inlineStr">
        <is>
          <t>Прямые затраты</t>
        </is>
      </c>
      <c r="I82" s="404" t="n"/>
      <c r="J82" s="404" t="n"/>
      <c r="K82" s="404" t="n">
        <v>201</v>
      </c>
      <c r="L82" s="404" t="n">
        <v>1</v>
      </c>
      <c r="M82" s="404" t="n">
        <v>3</v>
      </c>
      <c r="N82" s="404" t="inlineStr"/>
      <c r="O82" s="404" t="n">
        <v>0</v>
      </c>
      <c r="P82" s="404" t="n"/>
      <c r="Q82" s="404" t="n"/>
      <c r="R82" s="404" t="n"/>
      <c r="S82" s="404" t="n"/>
      <c r="T82" s="404" t="n"/>
      <c r="U82" s="404" t="n"/>
      <c r="V82" s="404" t="n"/>
      <c r="W82" s="404" t="n">
        <v>0</v>
      </c>
      <c r="X82" s="404" t="n">
        <v>1</v>
      </c>
      <c r="Y82" s="404" t="n">
        <v>0</v>
      </c>
      <c r="Z82" s="404" t="n"/>
      <c r="AA82" s="404" t="n"/>
      <c r="AB82" s="404" t="n"/>
    </row>
    <row r="83">
      <c r="A83" s="404" t="n">
        <v>50</v>
      </c>
      <c r="B83" s="404" t="n">
        <v>0</v>
      </c>
      <c r="C83" s="404" t="n">
        <v>0</v>
      </c>
      <c r="D83" s="404" t="n">
        <v>1</v>
      </c>
      <c r="E83" s="404" t="n">
        <v>202</v>
      </c>
      <c r="F83" s="404">
        <f>ROUND(Source!P80,O83)</f>
        <v/>
      </c>
      <c r="G83" s="404" t="inlineStr">
        <is>
          <t>СтМатОб</t>
        </is>
      </c>
      <c r="H83" s="404" t="inlineStr">
        <is>
          <t>Стоимость материальных ресурсов (всего)</t>
        </is>
      </c>
      <c r="I83" s="404" t="n"/>
      <c r="J83" s="404" t="n"/>
      <c r="K83" s="404" t="n">
        <v>202</v>
      </c>
      <c r="L83" s="404" t="n">
        <v>2</v>
      </c>
      <c r="M83" s="404" t="n">
        <v>3</v>
      </c>
      <c r="N83" s="404" t="inlineStr"/>
      <c r="O83" s="404" t="n">
        <v>0</v>
      </c>
      <c r="P83" s="404" t="n"/>
      <c r="Q83" s="404" t="n"/>
      <c r="R83" s="404" t="n"/>
      <c r="S83" s="404" t="n"/>
      <c r="T83" s="404" t="n"/>
      <c r="U83" s="404" t="n"/>
      <c r="V83" s="404" t="n"/>
      <c r="W83" s="404" t="n">
        <v>0</v>
      </c>
      <c r="X83" s="404" t="n">
        <v>1</v>
      </c>
      <c r="Y83" s="404" t="n">
        <v>0</v>
      </c>
      <c r="Z83" s="404" t="n"/>
      <c r="AA83" s="404" t="n"/>
      <c r="AB83" s="404" t="n"/>
    </row>
    <row r="84">
      <c r="A84" s="404" t="n">
        <v>50</v>
      </c>
      <c r="B84" s="404" t="n">
        <v>0</v>
      </c>
      <c r="C84" s="404" t="n">
        <v>0</v>
      </c>
      <c r="D84" s="404" t="n">
        <v>1</v>
      </c>
      <c r="E84" s="404" t="n">
        <v>222</v>
      </c>
      <c r="F84" s="404">
        <f>ROUND(Source!AO80,O84)</f>
        <v/>
      </c>
      <c r="G84" s="404" t="inlineStr">
        <is>
          <t>СтМатОбЗак</t>
        </is>
      </c>
      <c r="H84" s="404" t="inlineStr">
        <is>
          <t>Стоимость материалов и оборудования заказчика</t>
        </is>
      </c>
      <c r="I84" s="404" t="n"/>
      <c r="J84" s="404" t="n"/>
      <c r="K84" s="404" t="n">
        <v>222</v>
      </c>
      <c r="L84" s="404" t="n">
        <v>3</v>
      </c>
      <c r="M84" s="404" t="n">
        <v>3</v>
      </c>
      <c r="N84" s="404" t="inlineStr"/>
      <c r="O84" s="404" t="n">
        <v>0</v>
      </c>
      <c r="P84" s="404" t="n"/>
      <c r="Q84" s="404" t="n"/>
      <c r="R84" s="404" t="n"/>
      <c r="S84" s="404" t="n"/>
      <c r="T84" s="404" t="n"/>
      <c r="U84" s="404" t="n"/>
      <c r="V84" s="404" t="n"/>
      <c r="W84" s="404" t="n">
        <v>0</v>
      </c>
      <c r="X84" s="404" t="n">
        <v>1</v>
      </c>
      <c r="Y84" s="404" t="n">
        <v>0</v>
      </c>
      <c r="Z84" s="404" t="n"/>
      <c r="AA84" s="404" t="n"/>
      <c r="AB84" s="404" t="n"/>
    </row>
    <row r="85">
      <c r="A85" s="404" t="n">
        <v>50</v>
      </c>
      <c r="B85" s="404" t="n">
        <v>0</v>
      </c>
      <c r="C85" s="404" t="n">
        <v>0</v>
      </c>
      <c r="D85" s="404" t="n">
        <v>1</v>
      </c>
      <c r="E85" s="404" t="n">
        <v>225</v>
      </c>
      <c r="F85" s="404">
        <f>ROUND(Source!AV80,O85)</f>
        <v/>
      </c>
      <c r="G85" s="404" t="inlineStr">
        <is>
          <t>СтМатОбПод</t>
        </is>
      </c>
      <c r="H85" s="404" t="inlineStr">
        <is>
          <t>Стоимость материалов и оборудования подрядчика</t>
        </is>
      </c>
      <c r="I85" s="404" t="n"/>
      <c r="J85" s="404" t="n"/>
      <c r="K85" s="404" t="n">
        <v>225</v>
      </c>
      <c r="L85" s="404" t="n">
        <v>4</v>
      </c>
      <c r="M85" s="404" t="n">
        <v>3</v>
      </c>
      <c r="N85" s="404" t="inlineStr"/>
      <c r="O85" s="404" t="n">
        <v>0</v>
      </c>
      <c r="P85" s="404" t="n"/>
      <c r="Q85" s="404" t="n"/>
      <c r="R85" s="404" t="n"/>
      <c r="S85" s="404" t="n"/>
      <c r="T85" s="404" t="n"/>
      <c r="U85" s="404" t="n"/>
      <c r="V85" s="404" t="n"/>
      <c r="W85" s="404" t="n">
        <v>0</v>
      </c>
      <c r="X85" s="404" t="n">
        <v>1</v>
      </c>
      <c r="Y85" s="404" t="n">
        <v>0</v>
      </c>
      <c r="Z85" s="404" t="n"/>
      <c r="AA85" s="404" t="n"/>
      <c r="AB85" s="404" t="n"/>
    </row>
    <row r="86">
      <c r="A86" s="404" t="n">
        <v>50</v>
      </c>
      <c r="B86" s="404" t="n">
        <v>0</v>
      </c>
      <c r="C86" s="404" t="n">
        <v>0</v>
      </c>
      <c r="D86" s="404" t="n">
        <v>1</v>
      </c>
      <c r="E86" s="404" t="n">
        <v>226</v>
      </c>
      <c r="F86" s="404">
        <f>ROUND(Source!AW80,O86)</f>
        <v/>
      </c>
      <c r="G86" s="404" t="inlineStr">
        <is>
          <t>СтМат</t>
        </is>
      </c>
      <c r="H86" s="404" t="inlineStr">
        <is>
          <t>Стоимость материалов (всего)</t>
        </is>
      </c>
      <c r="I86" s="404" t="n"/>
      <c r="J86" s="404" t="n"/>
      <c r="K86" s="404" t="n">
        <v>226</v>
      </c>
      <c r="L86" s="404" t="n">
        <v>5</v>
      </c>
      <c r="M86" s="404" t="n">
        <v>3</v>
      </c>
      <c r="N86" s="404" t="inlineStr"/>
      <c r="O86" s="404" t="n">
        <v>0</v>
      </c>
      <c r="P86" s="404" t="n"/>
      <c r="Q86" s="404" t="n"/>
      <c r="R86" s="404" t="n"/>
      <c r="S86" s="404" t="n"/>
      <c r="T86" s="404" t="n"/>
      <c r="U86" s="404" t="n"/>
      <c r="V86" s="404" t="n"/>
      <c r="W86" s="404" t="n">
        <v>0</v>
      </c>
      <c r="X86" s="404" t="n">
        <v>1</v>
      </c>
      <c r="Y86" s="404" t="n">
        <v>0</v>
      </c>
      <c r="Z86" s="404" t="n"/>
      <c r="AA86" s="404" t="n"/>
      <c r="AB86" s="404" t="n"/>
    </row>
    <row r="87">
      <c r="A87" s="404" t="n">
        <v>50</v>
      </c>
      <c r="B87" s="404" t="n">
        <v>0</v>
      </c>
      <c r="C87" s="404" t="n">
        <v>0</v>
      </c>
      <c r="D87" s="404" t="n">
        <v>1</v>
      </c>
      <c r="E87" s="404" t="n">
        <v>227</v>
      </c>
      <c r="F87" s="404">
        <f>ROUND(Source!AX80,O87)</f>
        <v/>
      </c>
      <c r="G87" s="404" t="inlineStr">
        <is>
          <t>СтМатЗак</t>
        </is>
      </c>
      <c r="H87" s="404" t="inlineStr">
        <is>
          <t>Стоимость материалов заказчика</t>
        </is>
      </c>
      <c r="I87" s="404" t="n"/>
      <c r="J87" s="404" t="n"/>
      <c r="K87" s="404" t="n">
        <v>227</v>
      </c>
      <c r="L87" s="404" t="n">
        <v>6</v>
      </c>
      <c r="M87" s="404" t="n">
        <v>3</v>
      </c>
      <c r="N87" s="404" t="inlineStr"/>
      <c r="O87" s="404" t="n">
        <v>0</v>
      </c>
      <c r="P87" s="404" t="n"/>
      <c r="Q87" s="404" t="n"/>
      <c r="R87" s="404" t="n"/>
      <c r="S87" s="404" t="n"/>
      <c r="T87" s="404" t="n"/>
      <c r="U87" s="404" t="n"/>
      <c r="V87" s="404" t="n"/>
      <c r="W87" s="404" t="n">
        <v>0</v>
      </c>
      <c r="X87" s="404" t="n">
        <v>1</v>
      </c>
      <c r="Y87" s="404" t="n">
        <v>0</v>
      </c>
      <c r="Z87" s="404" t="n"/>
      <c r="AA87" s="404" t="n"/>
      <c r="AB87" s="404" t="n"/>
    </row>
    <row r="88">
      <c r="A88" s="404" t="n">
        <v>50</v>
      </c>
      <c r="B88" s="404" t="n">
        <v>0</v>
      </c>
      <c r="C88" s="404" t="n">
        <v>0</v>
      </c>
      <c r="D88" s="404" t="n">
        <v>1</v>
      </c>
      <c r="E88" s="404" t="n">
        <v>228</v>
      </c>
      <c r="F88" s="404">
        <f>ROUND(Source!AY80,O88)</f>
        <v/>
      </c>
      <c r="G88" s="404" t="inlineStr">
        <is>
          <t>СтМатПод</t>
        </is>
      </c>
      <c r="H88" s="404" t="inlineStr">
        <is>
          <t>Стоимость материалов подрядчика</t>
        </is>
      </c>
      <c r="I88" s="404" t="n"/>
      <c r="J88" s="404" t="n"/>
      <c r="K88" s="404" t="n">
        <v>228</v>
      </c>
      <c r="L88" s="404" t="n">
        <v>7</v>
      </c>
      <c r="M88" s="404" t="n">
        <v>3</v>
      </c>
      <c r="N88" s="404" t="inlineStr"/>
      <c r="O88" s="404" t="n">
        <v>0</v>
      </c>
      <c r="P88" s="404" t="n"/>
      <c r="Q88" s="404" t="n"/>
      <c r="R88" s="404" t="n"/>
      <c r="S88" s="404" t="n"/>
      <c r="T88" s="404" t="n"/>
      <c r="U88" s="404" t="n"/>
      <c r="V88" s="404" t="n"/>
      <c r="W88" s="404" t="n">
        <v>0</v>
      </c>
      <c r="X88" s="404" t="n">
        <v>1</v>
      </c>
      <c r="Y88" s="404" t="n">
        <v>0</v>
      </c>
      <c r="Z88" s="404" t="n"/>
      <c r="AA88" s="404" t="n"/>
      <c r="AB88" s="404" t="n"/>
    </row>
    <row r="89">
      <c r="A89" s="404" t="n">
        <v>50</v>
      </c>
      <c r="B89" s="404" t="n">
        <v>0</v>
      </c>
      <c r="C89" s="404" t="n">
        <v>0</v>
      </c>
      <c r="D89" s="404" t="n">
        <v>1</v>
      </c>
      <c r="E89" s="404" t="n">
        <v>216</v>
      </c>
      <c r="F89" s="404">
        <f>ROUND(Source!AP80,O89)</f>
        <v/>
      </c>
      <c r="G89" s="404" t="inlineStr">
        <is>
          <t>Оборуд</t>
        </is>
      </c>
      <c r="H89" s="404" t="inlineStr">
        <is>
          <t>Стоимость оборудования (всего)</t>
        </is>
      </c>
      <c r="I89" s="404" t="n"/>
      <c r="J89" s="404" t="n"/>
      <c r="K89" s="404" t="n">
        <v>216</v>
      </c>
      <c r="L89" s="404" t="n">
        <v>8</v>
      </c>
      <c r="M89" s="404" t="n">
        <v>3</v>
      </c>
      <c r="N89" s="404" t="inlineStr"/>
      <c r="O89" s="404" t="n">
        <v>0</v>
      </c>
      <c r="P89" s="404" t="n"/>
      <c r="Q89" s="404" t="n"/>
      <c r="R89" s="404" t="n"/>
      <c r="S89" s="404" t="n"/>
      <c r="T89" s="404" t="n"/>
      <c r="U89" s="404" t="n"/>
      <c r="V89" s="404" t="n"/>
      <c r="W89" s="404" t="n">
        <v>0</v>
      </c>
      <c r="X89" s="404" t="n">
        <v>1</v>
      </c>
      <c r="Y89" s="404" t="n">
        <v>0</v>
      </c>
      <c r="Z89" s="404" t="n"/>
      <c r="AA89" s="404" t="n"/>
      <c r="AB89" s="404" t="n"/>
    </row>
    <row r="90">
      <c r="A90" s="404" t="n">
        <v>50</v>
      </c>
      <c r="B90" s="404" t="n">
        <v>0</v>
      </c>
      <c r="C90" s="404" t="n">
        <v>0</v>
      </c>
      <c r="D90" s="404" t="n">
        <v>1</v>
      </c>
      <c r="E90" s="404" t="n">
        <v>223</v>
      </c>
      <c r="F90" s="404">
        <f>ROUND(Source!AQ80,O90)</f>
        <v/>
      </c>
      <c r="G90" s="404" t="inlineStr">
        <is>
          <t>ОборудЗак</t>
        </is>
      </c>
      <c r="H90" s="404" t="inlineStr">
        <is>
          <t>Стоимость оборудования заказчика</t>
        </is>
      </c>
      <c r="I90" s="404" t="n"/>
      <c r="J90" s="404" t="n"/>
      <c r="K90" s="404" t="n">
        <v>223</v>
      </c>
      <c r="L90" s="404" t="n">
        <v>9</v>
      </c>
      <c r="M90" s="404" t="n">
        <v>3</v>
      </c>
      <c r="N90" s="404" t="inlineStr"/>
      <c r="O90" s="404" t="n">
        <v>0</v>
      </c>
      <c r="P90" s="404" t="n"/>
      <c r="Q90" s="404" t="n"/>
      <c r="R90" s="404" t="n"/>
      <c r="S90" s="404" t="n"/>
      <c r="T90" s="404" t="n"/>
      <c r="U90" s="404" t="n"/>
      <c r="V90" s="404" t="n"/>
      <c r="W90" s="404" t="n">
        <v>0</v>
      </c>
      <c r="X90" s="404" t="n">
        <v>1</v>
      </c>
      <c r="Y90" s="404" t="n">
        <v>0</v>
      </c>
      <c r="Z90" s="404" t="n"/>
      <c r="AA90" s="404" t="n"/>
      <c r="AB90" s="404" t="n"/>
    </row>
    <row r="91">
      <c r="A91" s="404" t="n">
        <v>50</v>
      </c>
      <c r="B91" s="404" t="n">
        <v>0</v>
      </c>
      <c r="C91" s="404" t="n">
        <v>0</v>
      </c>
      <c r="D91" s="404" t="n">
        <v>1</v>
      </c>
      <c r="E91" s="404" t="n">
        <v>229</v>
      </c>
      <c r="F91" s="404">
        <f>ROUND(Source!AZ80,O91)</f>
        <v/>
      </c>
      <c r="G91" s="404" t="inlineStr">
        <is>
          <t>ОборудПод</t>
        </is>
      </c>
      <c r="H91" s="404" t="inlineStr">
        <is>
          <t>Стоимость оборудования подрядчика</t>
        </is>
      </c>
      <c r="I91" s="404" t="n"/>
      <c r="J91" s="404" t="n"/>
      <c r="K91" s="404" t="n">
        <v>229</v>
      </c>
      <c r="L91" s="404" t="n">
        <v>10</v>
      </c>
      <c r="M91" s="404" t="n">
        <v>3</v>
      </c>
      <c r="N91" s="404" t="inlineStr"/>
      <c r="O91" s="404" t="n">
        <v>0</v>
      </c>
      <c r="P91" s="404" t="n"/>
      <c r="Q91" s="404" t="n"/>
      <c r="R91" s="404" t="n"/>
      <c r="S91" s="404" t="n"/>
      <c r="T91" s="404" t="n"/>
      <c r="U91" s="404" t="n"/>
      <c r="V91" s="404" t="n"/>
      <c r="W91" s="404" t="n">
        <v>0</v>
      </c>
      <c r="X91" s="404" t="n">
        <v>1</v>
      </c>
      <c r="Y91" s="404" t="n">
        <v>0</v>
      </c>
      <c r="Z91" s="404" t="n"/>
      <c r="AA91" s="404" t="n"/>
      <c r="AB91" s="404" t="n"/>
    </row>
    <row r="92">
      <c r="A92" s="404" t="n">
        <v>50</v>
      </c>
      <c r="B92" s="404" t="n">
        <v>0</v>
      </c>
      <c r="C92" s="404" t="n">
        <v>0</v>
      </c>
      <c r="D92" s="404" t="n">
        <v>1</v>
      </c>
      <c r="E92" s="404" t="n">
        <v>203</v>
      </c>
      <c r="F92" s="404">
        <f>ROUND(Source!Q80,O92)</f>
        <v/>
      </c>
      <c r="G92" s="404" t="inlineStr">
        <is>
          <t>ЭММ</t>
        </is>
      </c>
      <c r="H92" s="404" t="inlineStr">
        <is>
          <t>Эксплуатация машин</t>
        </is>
      </c>
      <c r="I92" s="404" t="n"/>
      <c r="J92" s="404" t="n"/>
      <c r="K92" s="404" t="n">
        <v>203</v>
      </c>
      <c r="L92" s="404" t="n">
        <v>11</v>
      </c>
      <c r="M92" s="404" t="n">
        <v>3</v>
      </c>
      <c r="N92" s="404" t="inlineStr"/>
      <c r="O92" s="404" t="n">
        <v>0</v>
      </c>
      <c r="P92" s="404" t="n"/>
      <c r="Q92" s="404" t="n"/>
      <c r="R92" s="404" t="n"/>
      <c r="S92" s="404" t="n"/>
      <c r="T92" s="404" t="n"/>
      <c r="U92" s="404" t="n"/>
      <c r="V92" s="404" t="n"/>
      <c r="W92" s="404" t="n">
        <v>0</v>
      </c>
      <c r="X92" s="404" t="n">
        <v>1</v>
      </c>
      <c r="Y92" s="404" t="n">
        <v>0</v>
      </c>
      <c r="Z92" s="404" t="n"/>
      <c r="AA92" s="404" t="n"/>
      <c r="AB92" s="404" t="n"/>
    </row>
    <row r="93">
      <c r="A93" s="404" t="n">
        <v>50</v>
      </c>
      <c r="B93" s="404" t="n">
        <v>0</v>
      </c>
      <c r="C93" s="404" t="n">
        <v>0</v>
      </c>
      <c r="D93" s="404" t="n">
        <v>1</v>
      </c>
      <c r="E93" s="404" t="n">
        <v>231</v>
      </c>
      <c r="F93" s="404">
        <f>ROUND(Source!BB80,O93)</f>
        <v/>
      </c>
      <c r="G93" s="404" t="inlineStr">
        <is>
          <t>ЭММсНРиСП</t>
        </is>
      </c>
      <c r="H93" s="404" t="inlineStr">
        <is>
          <t>Эксплуатация машин по ТСН-2001.16</t>
        </is>
      </c>
      <c r="I93" s="404" t="n"/>
      <c r="J93" s="404" t="n"/>
      <c r="K93" s="404" t="n">
        <v>231</v>
      </c>
      <c r="L93" s="404" t="n">
        <v>12</v>
      </c>
      <c r="M93" s="404" t="n">
        <v>3</v>
      </c>
      <c r="N93" s="404" t="inlineStr"/>
      <c r="O93" s="404" t="n">
        <v>0</v>
      </c>
      <c r="P93" s="404" t="n"/>
      <c r="Q93" s="404" t="n"/>
      <c r="R93" s="404" t="n"/>
      <c r="S93" s="404" t="n"/>
      <c r="T93" s="404" t="n"/>
      <c r="U93" s="404" t="n"/>
      <c r="V93" s="404" t="n"/>
      <c r="W93" s="404" t="n">
        <v>0</v>
      </c>
      <c r="X93" s="404" t="n">
        <v>1</v>
      </c>
      <c r="Y93" s="404" t="n">
        <v>0</v>
      </c>
      <c r="Z93" s="404" t="n"/>
      <c r="AA93" s="404" t="n"/>
      <c r="AB93" s="404" t="n"/>
    </row>
    <row r="94">
      <c r="A94" s="404" t="n">
        <v>50</v>
      </c>
      <c r="B94" s="404" t="n">
        <v>0</v>
      </c>
      <c r="C94" s="404" t="n">
        <v>0</v>
      </c>
      <c r="D94" s="404" t="n">
        <v>1</v>
      </c>
      <c r="E94" s="404" t="n">
        <v>204</v>
      </c>
      <c r="F94" s="404">
        <f>ROUND(Source!R80,O94)</f>
        <v/>
      </c>
      <c r="G94" s="404" t="inlineStr">
        <is>
          <t>ЗПМ</t>
        </is>
      </c>
      <c r="H94" s="404" t="inlineStr">
        <is>
          <t>ЗП машинистов</t>
        </is>
      </c>
      <c r="I94" s="404" t="n"/>
      <c r="J94" s="404" t="n"/>
      <c r="K94" s="404" t="n">
        <v>204</v>
      </c>
      <c r="L94" s="404" t="n">
        <v>13</v>
      </c>
      <c r="M94" s="404" t="n">
        <v>3</v>
      </c>
      <c r="N94" s="404" t="inlineStr"/>
      <c r="O94" s="404" t="n">
        <v>0</v>
      </c>
      <c r="P94" s="404" t="n"/>
      <c r="Q94" s="404" t="n"/>
      <c r="R94" s="404" t="n"/>
      <c r="S94" s="404" t="n"/>
      <c r="T94" s="404" t="n"/>
      <c r="U94" s="404" t="n"/>
      <c r="V94" s="404" t="n"/>
      <c r="W94" s="404" t="n">
        <v>0</v>
      </c>
      <c r="X94" s="404" t="n">
        <v>1</v>
      </c>
      <c r="Y94" s="404" t="n">
        <v>0</v>
      </c>
      <c r="Z94" s="404" t="n"/>
      <c r="AA94" s="404" t="n"/>
      <c r="AB94" s="404" t="n"/>
    </row>
    <row r="95">
      <c r="A95" s="404" t="n">
        <v>50</v>
      </c>
      <c r="B95" s="404" t="n">
        <v>0</v>
      </c>
      <c r="C95" s="404" t="n">
        <v>0</v>
      </c>
      <c r="D95" s="404" t="n">
        <v>1</v>
      </c>
      <c r="E95" s="404" t="n">
        <v>205</v>
      </c>
      <c r="F95" s="404">
        <f>ROUND(Source!S80,O95)</f>
        <v/>
      </c>
      <c r="G95" s="404" t="inlineStr">
        <is>
          <t>ОЗП</t>
        </is>
      </c>
      <c r="H95" s="404" t="inlineStr">
        <is>
          <t>Основная ЗП рабочих</t>
        </is>
      </c>
      <c r="I95" s="404" t="n"/>
      <c r="J95" s="404" t="n"/>
      <c r="K95" s="404" t="n">
        <v>205</v>
      </c>
      <c r="L95" s="404" t="n">
        <v>14</v>
      </c>
      <c r="M95" s="404" t="n">
        <v>3</v>
      </c>
      <c r="N95" s="404" t="inlineStr"/>
      <c r="O95" s="404" t="n">
        <v>0</v>
      </c>
      <c r="P95" s="404" t="n"/>
      <c r="Q95" s="404" t="n"/>
      <c r="R95" s="404" t="n"/>
      <c r="S95" s="404" t="n"/>
      <c r="T95" s="404" t="n"/>
      <c r="U95" s="404" t="n"/>
      <c r="V95" s="404" t="n"/>
      <c r="W95" s="404" t="n">
        <v>0</v>
      </c>
      <c r="X95" s="404" t="n">
        <v>1</v>
      </c>
      <c r="Y95" s="404" t="n">
        <v>0</v>
      </c>
      <c r="Z95" s="404" t="n"/>
      <c r="AA95" s="404" t="n"/>
      <c r="AB95" s="404" t="n"/>
    </row>
    <row r="96">
      <c r="A96" s="404" t="n">
        <v>50</v>
      </c>
      <c r="B96" s="404" t="n">
        <v>0</v>
      </c>
      <c r="C96" s="404" t="n">
        <v>0</v>
      </c>
      <c r="D96" s="404" t="n">
        <v>1</v>
      </c>
      <c r="E96" s="404" t="n">
        <v>232</v>
      </c>
      <c r="F96" s="404">
        <f>ROUND(Source!BC80,O96)</f>
        <v/>
      </c>
      <c r="G96" s="404" t="inlineStr">
        <is>
          <t>ОЗПсНРиСП</t>
        </is>
      </c>
      <c r="H96" s="404" t="inlineStr">
        <is>
          <t>Основная ЗП рабочих по ТСН-2001.16</t>
        </is>
      </c>
      <c r="I96" s="404" t="n"/>
      <c r="J96" s="404" t="n"/>
      <c r="K96" s="404" t="n">
        <v>232</v>
      </c>
      <c r="L96" s="404" t="n">
        <v>15</v>
      </c>
      <c r="M96" s="404" t="n">
        <v>3</v>
      </c>
      <c r="N96" s="404" t="inlineStr"/>
      <c r="O96" s="404" t="n">
        <v>0</v>
      </c>
      <c r="P96" s="404" t="n"/>
      <c r="Q96" s="404" t="n"/>
      <c r="R96" s="404" t="n"/>
      <c r="S96" s="404" t="n"/>
      <c r="T96" s="404" t="n"/>
      <c r="U96" s="404" t="n"/>
      <c r="V96" s="404" t="n"/>
      <c r="W96" s="404" t="n">
        <v>0</v>
      </c>
      <c r="X96" s="404" t="n">
        <v>1</v>
      </c>
      <c r="Y96" s="404" t="n">
        <v>0</v>
      </c>
      <c r="Z96" s="404" t="n"/>
      <c r="AA96" s="404" t="n"/>
      <c r="AB96" s="404" t="n"/>
    </row>
    <row r="97">
      <c r="A97" s="404" t="n">
        <v>50</v>
      </c>
      <c r="B97" s="404" t="n">
        <v>0</v>
      </c>
      <c r="C97" s="404" t="n">
        <v>0</v>
      </c>
      <c r="D97" s="404" t="n">
        <v>1</v>
      </c>
      <c r="E97" s="404" t="n">
        <v>214</v>
      </c>
      <c r="F97" s="404">
        <f>ROUND(Source!AS80,O97)</f>
        <v/>
      </c>
      <c r="G97" s="404" t="inlineStr">
        <is>
          <t>Строит</t>
        </is>
      </c>
      <c r="H97" s="404" t="inlineStr">
        <is>
          <t>Строительные работы с НР и СП</t>
        </is>
      </c>
      <c r="I97" s="404" t="n"/>
      <c r="J97" s="404" t="n"/>
      <c r="K97" s="404" t="n">
        <v>214</v>
      </c>
      <c r="L97" s="404" t="n">
        <v>16</v>
      </c>
      <c r="M97" s="404" t="n">
        <v>3</v>
      </c>
      <c r="N97" s="404" t="inlineStr"/>
      <c r="O97" s="404" t="n">
        <v>0</v>
      </c>
      <c r="P97" s="404" t="n"/>
      <c r="Q97" s="404" t="n"/>
      <c r="R97" s="404" t="n"/>
      <c r="S97" s="404" t="n"/>
      <c r="T97" s="404" t="n"/>
      <c r="U97" s="404" t="n"/>
      <c r="V97" s="404" t="n"/>
      <c r="W97" s="404" t="n">
        <v>0</v>
      </c>
      <c r="X97" s="404" t="n">
        <v>1</v>
      </c>
      <c r="Y97" s="404" t="n">
        <v>0</v>
      </c>
      <c r="Z97" s="404" t="n"/>
      <c r="AA97" s="404" t="n"/>
      <c r="AB97" s="404" t="n"/>
    </row>
    <row r="98">
      <c r="A98" s="404" t="n">
        <v>50</v>
      </c>
      <c r="B98" s="404" t="n">
        <v>0</v>
      </c>
      <c r="C98" s="404" t="n">
        <v>0</v>
      </c>
      <c r="D98" s="404" t="n">
        <v>1</v>
      </c>
      <c r="E98" s="404" t="n">
        <v>215</v>
      </c>
      <c r="F98" s="404">
        <f>ROUND(Source!AT80,O98)</f>
        <v/>
      </c>
      <c r="G98" s="404" t="inlineStr">
        <is>
          <t>Монтаж</t>
        </is>
      </c>
      <c r="H98" s="404" t="inlineStr">
        <is>
          <t>Монтажные работы с НР и СП</t>
        </is>
      </c>
      <c r="I98" s="404" t="n"/>
      <c r="J98" s="404" t="n"/>
      <c r="K98" s="404" t="n">
        <v>215</v>
      </c>
      <c r="L98" s="404" t="n">
        <v>17</v>
      </c>
      <c r="M98" s="404" t="n">
        <v>3</v>
      </c>
      <c r="N98" s="404" t="inlineStr"/>
      <c r="O98" s="404" t="n">
        <v>0</v>
      </c>
      <c r="P98" s="404" t="n"/>
      <c r="Q98" s="404" t="n"/>
      <c r="R98" s="404" t="n"/>
      <c r="S98" s="404" t="n"/>
      <c r="T98" s="404" t="n"/>
      <c r="U98" s="404" t="n"/>
      <c r="V98" s="404" t="n"/>
      <c r="W98" s="404" t="n">
        <v>0</v>
      </c>
      <c r="X98" s="404" t="n">
        <v>1</v>
      </c>
      <c r="Y98" s="404" t="n">
        <v>0</v>
      </c>
      <c r="Z98" s="404" t="n"/>
      <c r="AA98" s="404" t="n"/>
      <c r="AB98" s="404" t="n"/>
    </row>
    <row r="99">
      <c r="A99" s="404" t="n">
        <v>50</v>
      </c>
      <c r="B99" s="404" t="n">
        <v>0</v>
      </c>
      <c r="C99" s="404" t="n">
        <v>0</v>
      </c>
      <c r="D99" s="404" t="n">
        <v>1</v>
      </c>
      <c r="E99" s="404" t="n">
        <v>217</v>
      </c>
      <c r="F99" s="404">
        <f>ROUND(Source!AU80,O99)</f>
        <v/>
      </c>
      <c r="G99" s="404" t="inlineStr">
        <is>
          <t>Прочие</t>
        </is>
      </c>
      <c r="H99" s="404" t="inlineStr">
        <is>
          <t>Прочие работы с НР и СП</t>
        </is>
      </c>
      <c r="I99" s="404" t="n"/>
      <c r="J99" s="404" t="n"/>
      <c r="K99" s="404" t="n">
        <v>217</v>
      </c>
      <c r="L99" s="404" t="n">
        <v>18</v>
      </c>
      <c r="M99" s="404" t="n">
        <v>3</v>
      </c>
      <c r="N99" s="404" t="inlineStr"/>
      <c r="O99" s="404" t="n">
        <v>0</v>
      </c>
      <c r="P99" s="404" t="n"/>
      <c r="Q99" s="404" t="n"/>
      <c r="R99" s="404" t="n"/>
      <c r="S99" s="404" t="n"/>
      <c r="T99" s="404" t="n"/>
      <c r="U99" s="404" t="n"/>
      <c r="V99" s="404" t="n"/>
      <c r="W99" s="404" t="n">
        <v>0</v>
      </c>
      <c r="X99" s="404" t="n">
        <v>1</v>
      </c>
      <c r="Y99" s="404" t="n">
        <v>0</v>
      </c>
      <c r="Z99" s="404" t="n"/>
      <c r="AA99" s="404" t="n"/>
      <c r="AB99" s="404" t="n"/>
    </row>
    <row r="100">
      <c r="A100" s="404" t="n">
        <v>50</v>
      </c>
      <c r="B100" s="404" t="n">
        <v>0</v>
      </c>
      <c r="C100" s="404" t="n">
        <v>0</v>
      </c>
      <c r="D100" s="404" t="n">
        <v>1</v>
      </c>
      <c r="E100" s="404" t="n">
        <v>230</v>
      </c>
      <c r="F100" s="404">
        <f>ROUND(Source!BA80,O100)</f>
        <v/>
      </c>
      <c r="G100" s="404" t="inlineStr">
        <is>
          <t>ПрочиеЗатр</t>
        </is>
      </c>
      <c r="H100" s="404" t="inlineStr">
        <is>
          <t>Прочие затраты по ТСН-2001.16</t>
        </is>
      </c>
      <c r="I100" s="404" t="n"/>
      <c r="J100" s="404" t="n"/>
      <c r="K100" s="404" t="n">
        <v>230</v>
      </c>
      <c r="L100" s="404" t="n">
        <v>19</v>
      </c>
      <c r="M100" s="404" t="n">
        <v>3</v>
      </c>
      <c r="N100" s="404" t="inlineStr"/>
      <c r="O100" s="404" t="n">
        <v>0</v>
      </c>
      <c r="P100" s="404" t="n"/>
      <c r="Q100" s="404" t="n"/>
      <c r="R100" s="404" t="n"/>
      <c r="S100" s="404" t="n"/>
      <c r="T100" s="404" t="n"/>
      <c r="U100" s="404" t="n"/>
      <c r="V100" s="404" t="n"/>
      <c r="W100" s="404" t="n">
        <v>0</v>
      </c>
      <c r="X100" s="404" t="n">
        <v>1</v>
      </c>
      <c r="Y100" s="404" t="n">
        <v>0</v>
      </c>
      <c r="Z100" s="404" t="n"/>
      <c r="AA100" s="404" t="n"/>
      <c r="AB100" s="404" t="n"/>
    </row>
    <row r="101">
      <c r="A101" s="404" t="n">
        <v>50</v>
      </c>
      <c r="B101" s="404" t="n">
        <v>0</v>
      </c>
      <c r="C101" s="404" t="n">
        <v>0</v>
      </c>
      <c r="D101" s="404" t="n">
        <v>1</v>
      </c>
      <c r="E101" s="404" t="n">
        <v>206</v>
      </c>
      <c r="F101" s="404">
        <f>ROUND(Source!T80,O101)</f>
        <v/>
      </c>
      <c r="G101" s="404" t="inlineStr">
        <is>
          <t>ВозврМат</t>
        </is>
      </c>
      <c r="H101" s="404" t="inlineStr">
        <is>
          <t>Возврат материалов</t>
        </is>
      </c>
      <c r="I101" s="404" t="n"/>
      <c r="J101" s="404" t="n"/>
      <c r="K101" s="404" t="n">
        <v>206</v>
      </c>
      <c r="L101" s="404" t="n">
        <v>20</v>
      </c>
      <c r="M101" s="404" t="n">
        <v>3</v>
      </c>
      <c r="N101" s="404" t="inlineStr"/>
      <c r="O101" s="404" t="n">
        <v>0</v>
      </c>
      <c r="P101" s="404" t="n"/>
      <c r="Q101" s="404" t="n"/>
      <c r="R101" s="404" t="n"/>
      <c r="S101" s="404" t="n"/>
      <c r="T101" s="404" t="n"/>
      <c r="U101" s="404" t="n"/>
      <c r="V101" s="404" t="n"/>
      <c r="W101" s="404" t="n">
        <v>0</v>
      </c>
      <c r="X101" s="404" t="n">
        <v>1</v>
      </c>
      <c r="Y101" s="404" t="n">
        <v>0</v>
      </c>
      <c r="Z101" s="404" t="n"/>
      <c r="AA101" s="404" t="n"/>
      <c r="AB101" s="404" t="n"/>
    </row>
    <row r="102">
      <c r="A102" s="404" t="n">
        <v>50</v>
      </c>
      <c r="B102" s="404" t="n">
        <v>0</v>
      </c>
      <c r="C102" s="404" t="n">
        <v>0</v>
      </c>
      <c r="D102" s="404" t="n">
        <v>1</v>
      </c>
      <c r="E102" s="404" t="n">
        <v>207</v>
      </c>
      <c r="F102" s="404">
        <f>ROUND(Source!U80,O102)</f>
        <v/>
      </c>
      <c r="G102" s="404" t="inlineStr">
        <is>
          <t>ТрудСтр</t>
        </is>
      </c>
      <c r="H102" s="404" t="inlineStr">
        <is>
          <t>Трудозатраты строителей</t>
        </is>
      </c>
      <c r="I102" s="404" t="n"/>
      <c r="J102" s="404" t="n"/>
      <c r="K102" s="404" t="n">
        <v>207</v>
      </c>
      <c r="L102" s="404" t="n">
        <v>21</v>
      </c>
      <c r="M102" s="404" t="n">
        <v>3</v>
      </c>
      <c r="N102" s="404" t="inlineStr"/>
      <c r="O102" s="404" t="n">
        <v>7</v>
      </c>
      <c r="P102" s="404" t="n"/>
      <c r="Q102" s="404" t="n"/>
      <c r="R102" s="404" t="n"/>
      <c r="S102" s="404" t="n"/>
      <c r="T102" s="404" t="n"/>
      <c r="U102" s="404" t="n"/>
      <c r="V102" s="404" t="n"/>
      <c r="W102" s="404" t="n">
        <v>0</v>
      </c>
      <c r="X102" s="404" t="n">
        <v>1</v>
      </c>
      <c r="Y102" s="404" t="n">
        <v>0</v>
      </c>
      <c r="Z102" s="404" t="n"/>
      <c r="AA102" s="404" t="n"/>
      <c r="AB102" s="404" t="n"/>
    </row>
    <row r="103">
      <c r="A103" s="404" t="n">
        <v>50</v>
      </c>
      <c r="B103" s="404" t="n">
        <v>0</v>
      </c>
      <c r="C103" s="404" t="n">
        <v>0</v>
      </c>
      <c r="D103" s="404" t="n">
        <v>1</v>
      </c>
      <c r="E103" s="404" t="n">
        <v>208</v>
      </c>
      <c r="F103" s="404">
        <f>ROUND(Source!V80,O103)</f>
        <v/>
      </c>
      <c r="G103" s="404" t="inlineStr">
        <is>
          <t>ТрудМаш</t>
        </is>
      </c>
      <c r="H103" s="404" t="inlineStr">
        <is>
          <t>Трудозатраты машинистов</t>
        </is>
      </c>
      <c r="I103" s="404" t="n"/>
      <c r="J103" s="404" t="n"/>
      <c r="K103" s="404" t="n">
        <v>208</v>
      </c>
      <c r="L103" s="404" t="n">
        <v>22</v>
      </c>
      <c r="M103" s="404" t="n">
        <v>3</v>
      </c>
      <c r="N103" s="404" t="inlineStr"/>
      <c r="O103" s="404" t="n">
        <v>7</v>
      </c>
      <c r="P103" s="404" t="n"/>
      <c r="Q103" s="404" t="n"/>
      <c r="R103" s="404" t="n"/>
      <c r="S103" s="404" t="n"/>
      <c r="T103" s="404" t="n"/>
      <c r="U103" s="404" t="n"/>
      <c r="V103" s="404" t="n"/>
      <c r="W103" s="404" t="n">
        <v>0</v>
      </c>
      <c r="X103" s="404" t="n">
        <v>1</v>
      </c>
      <c r="Y103" s="404" t="n">
        <v>0</v>
      </c>
      <c r="Z103" s="404" t="n"/>
      <c r="AA103" s="404" t="n"/>
      <c r="AB103" s="404" t="n"/>
    </row>
    <row r="104">
      <c r="A104" s="404" t="n">
        <v>50</v>
      </c>
      <c r="B104" s="404" t="n">
        <v>0</v>
      </c>
      <c r="C104" s="404" t="n">
        <v>0</v>
      </c>
      <c r="D104" s="404" t="n">
        <v>1</v>
      </c>
      <c r="E104" s="404" t="n">
        <v>209</v>
      </c>
      <c r="F104" s="404">
        <f>ROUND(Source!W80,O104)</f>
        <v/>
      </c>
      <c r="G104" s="404" t="inlineStr">
        <is>
          <t>ТранспМат</t>
        </is>
      </c>
      <c r="H104" s="404" t="inlineStr">
        <is>
          <t>Транспорт материалов</t>
        </is>
      </c>
      <c r="I104" s="404" t="n"/>
      <c r="J104" s="404" t="n"/>
      <c r="K104" s="404" t="n">
        <v>209</v>
      </c>
      <c r="L104" s="404" t="n">
        <v>23</v>
      </c>
      <c r="M104" s="404" t="n">
        <v>3</v>
      </c>
      <c r="N104" s="404" t="inlineStr"/>
      <c r="O104" s="404" t="n">
        <v>0</v>
      </c>
      <c r="P104" s="404" t="n"/>
      <c r="Q104" s="404" t="n"/>
      <c r="R104" s="404" t="n"/>
      <c r="S104" s="404" t="n"/>
      <c r="T104" s="404" t="n"/>
      <c r="U104" s="404" t="n"/>
      <c r="V104" s="404" t="n"/>
      <c r="W104" s="404" t="n">
        <v>0</v>
      </c>
      <c r="X104" s="404" t="n">
        <v>1</v>
      </c>
      <c r="Y104" s="404" t="n">
        <v>0</v>
      </c>
      <c r="Z104" s="404" t="n"/>
      <c r="AA104" s="404" t="n"/>
      <c r="AB104" s="404" t="n"/>
    </row>
    <row r="105">
      <c r="A105" s="404" t="n">
        <v>50</v>
      </c>
      <c r="B105" s="404" t="n">
        <v>0</v>
      </c>
      <c r="C105" s="404" t="n">
        <v>0</v>
      </c>
      <c r="D105" s="404" t="n">
        <v>1</v>
      </c>
      <c r="E105" s="404" t="n">
        <v>233</v>
      </c>
      <c r="F105" s="404">
        <f>ROUND(Source!BD80,O105)</f>
        <v/>
      </c>
      <c r="G105" s="404" t="inlineStr">
        <is>
          <t>Перевозка</t>
        </is>
      </c>
      <c r="H105" s="404" t="inlineStr">
        <is>
          <t>Перевозка грузов</t>
        </is>
      </c>
      <c r="I105" s="404" t="n"/>
      <c r="J105" s="404" t="n"/>
      <c r="K105" s="404" t="n">
        <v>233</v>
      </c>
      <c r="L105" s="404" t="n">
        <v>24</v>
      </c>
      <c r="M105" s="404" t="n">
        <v>3</v>
      </c>
      <c r="N105" s="404" t="inlineStr"/>
      <c r="O105" s="404" t="n">
        <v>0</v>
      </c>
      <c r="P105" s="404" t="n"/>
      <c r="Q105" s="404" t="n"/>
      <c r="R105" s="404" t="n"/>
      <c r="S105" s="404" t="n"/>
      <c r="T105" s="404" t="n"/>
      <c r="U105" s="404" t="n"/>
      <c r="V105" s="404" t="n"/>
      <c r="W105" s="404" t="n">
        <v>0</v>
      </c>
      <c r="X105" s="404" t="n">
        <v>1</v>
      </c>
      <c r="Y105" s="404" t="n">
        <v>0</v>
      </c>
      <c r="Z105" s="404" t="n"/>
      <c r="AA105" s="404" t="n"/>
      <c r="AB105" s="404" t="n"/>
    </row>
    <row r="106">
      <c r="A106" s="404" t="n">
        <v>50</v>
      </c>
      <c r="B106" s="404" t="n">
        <v>0</v>
      </c>
      <c r="C106" s="404" t="n">
        <v>0</v>
      </c>
      <c r="D106" s="404" t="n">
        <v>1</v>
      </c>
      <c r="E106" s="404" t="n">
        <v>210</v>
      </c>
      <c r="F106" s="404">
        <f>ROUND(Source!X80,O106)</f>
        <v/>
      </c>
      <c r="G106" s="404" t="inlineStr">
        <is>
          <t>НР</t>
        </is>
      </c>
      <c r="H106" s="404" t="inlineStr">
        <is>
          <t>Накладные расходы</t>
        </is>
      </c>
      <c r="I106" s="404" t="n"/>
      <c r="J106" s="404" t="n"/>
      <c r="K106" s="404" t="n">
        <v>210</v>
      </c>
      <c r="L106" s="404" t="n">
        <v>25</v>
      </c>
      <c r="M106" s="404" t="n">
        <v>3</v>
      </c>
      <c r="N106" s="404" t="inlineStr"/>
      <c r="O106" s="404" t="n">
        <v>0</v>
      </c>
      <c r="P106" s="404" t="n"/>
      <c r="Q106" s="404" t="n"/>
      <c r="R106" s="404" t="n"/>
      <c r="S106" s="404" t="n"/>
      <c r="T106" s="404" t="n"/>
      <c r="U106" s="404" t="n"/>
      <c r="V106" s="404" t="n"/>
      <c r="W106" s="404" t="n">
        <v>0</v>
      </c>
      <c r="X106" s="404" t="n">
        <v>1</v>
      </c>
      <c r="Y106" s="404" t="n">
        <v>0</v>
      </c>
      <c r="Z106" s="404" t="n"/>
      <c r="AA106" s="404" t="n"/>
      <c r="AB106" s="404" t="n"/>
    </row>
    <row r="107">
      <c r="A107" s="404" t="n">
        <v>50</v>
      </c>
      <c r="B107" s="404" t="n">
        <v>0</v>
      </c>
      <c r="C107" s="404" t="n">
        <v>0</v>
      </c>
      <c r="D107" s="404" t="n">
        <v>1</v>
      </c>
      <c r="E107" s="404" t="n">
        <v>211</v>
      </c>
      <c r="F107" s="404">
        <f>ROUND(Source!Y80,O107)</f>
        <v/>
      </c>
      <c r="G107" s="404" t="inlineStr">
        <is>
          <t>СмПриб</t>
        </is>
      </c>
      <c r="H107" s="404" t="inlineStr">
        <is>
          <t>Сметная прибыль</t>
        </is>
      </c>
      <c r="I107" s="404" t="n"/>
      <c r="J107" s="404" t="n"/>
      <c r="K107" s="404" t="n">
        <v>211</v>
      </c>
      <c r="L107" s="404" t="n">
        <v>26</v>
      </c>
      <c r="M107" s="404" t="n">
        <v>3</v>
      </c>
      <c r="N107" s="404" t="inlineStr"/>
      <c r="O107" s="404" t="n">
        <v>0</v>
      </c>
      <c r="P107" s="404" t="n"/>
      <c r="Q107" s="404" t="n"/>
      <c r="R107" s="404" t="n"/>
      <c r="S107" s="404" t="n"/>
      <c r="T107" s="404" t="n"/>
      <c r="U107" s="404" t="n"/>
      <c r="V107" s="404" t="n"/>
      <c r="W107" s="404" t="n">
        <v>0</v>
      </c>
      <c r="X107" s="404" t="n">
        <v>1</v>
      </c>
      <c r="Y107" s="404" t="n">
        <v>0</v>
      </c>
      <c r="Z107" s="404" t="n"/>
      <c r="AA107" s="404" t="n"/>
      <c r="AB107" s="404" t="n"/>
    </row>
    <row r="108">
      <c r="A108" s="404" t="n">
        <v>50</v>
      </c>
      <c r="B108" s="404" t="n">
        <v>0</v>
      </c>
      <c r="C108" s="404" t="n">
        <v>0</v>
      </c>
      <c r="D108" s="404" t="n">
        <v>1</v>
      </c>
      <c r="E108" s="404" t="n">
        <v>224</v>
      </c>
      <c r="F108" s="404">
        <f>ROUND(Source!AR80,O108)</f>
        <v/>
      </c>
      <c r="G108" s="404" t="inlineStr">
        <is>
          <t>Всего</t>
        </is>
      </c>
      <c r="H108" s="404" t="inlineStr">
        <is>
          <t>Всего с НР и СП</t>
        </is>
      </c>
      <c r="I108" s="404" t="n"/>
      <c r="J108" s="404" t="n"/>
      <c r="K108" s="404" t="n">
        <v>224</v>
      </c>
      <c r="L108" s="404" t="n">
        <v>27</v>
      </c>
      <c r="M108" s="404" t="n">
        <v>3</v>
      </c>
      <c r="N108" s="404" t="inlineStr"/>
      <c r="O108" s="404" t="n">
        <v>0</v>
      </c>
      <c r="P108" s="404" t="n"/>
      <c r="Q108" s="404" t="n"/>
      <c r="R108" s="404" t="n"/>
      <c r="S108" s="404" t="n"/>
      <c r="T108" s="404" t="n"/>
      <c r="U108" s="404" t="n"/>
      <c r="V108" s="404" t="n"/>
      <c r="W108" s="404" t="n">
        <v>0</v>
      </c>
      <c r="X108" s="404" t="n">
        <v>1</v>
      </c>
      <c r="Y108" s="404" t="n">
        <v>0</v>
      </c>
      <c r="Z108" s="404" t="n"/>
      <c r="AA108" s="404" t="n"/>
      <c r="AB108" s="404" t="n"/>
    </row>
    <row r="109">
      <c r="A109" s="404" t="n">
        <v>50</v>
      </c>
      <c r="B109" s="404" t="n">
        <v>0</v>
      </c>
      <c r="C109" s="404" t="n">
        <v>0</v>
      </c>
      <c r="D109" s="404" t="n">
        <v>2</v>
      </c>
      <c r="E109" s="404" t="n">
        <v>0</v>
      </c>
      <c r="F109" s="404">
        <f>ROUND(F108,O109)</f>
        <v/>
      </c>
      <c r="G109" s="404" t="inlineStr">
        <is>
          <t>и1</t>
        </is>
      </c>
      <c r="H109" s="404" t="inlineStr">
        <is>
          <t>Итого</t>
        </is>
      </c>
      <c r="I109" s="404" t="n"/>
      <c r="J109" s="404" t="n"/>
      <c r="K109" s="404" t="n">
        <v>212</v>
      </c>
      <c r="L109" s="404" t="n">
        <v>28</v>
      </c>
      <c r="M109" s="404" t="n">
        <v>0</v>
      </c>
      <c r="N109" s="404" t="inlineStr"/>
      <c r="O109" s="404" t="n">
        <v>0</v>
      </c>
      <c r="P109" s="404" t="n"/>
      <c r="Q109" s="404" t="n"/>
      <c r="R109" s="404" t="n"/>
      <c r="S109" s="404" t="n"/>
      <c r="T109" s="404" t="n"/>
      <c r="U109" s="404" t="n"/>
      <c r="V109" s="404" t="n"/>
      <c r="W109" s="404" t="n">
        <v>0</v>
      </c>
      <c r="X109" s="404" t="n">
        <v>1</v>
      </c>
      <c r="Y109" s="404" t="n">
        <v>0</v>
      </c>
      <c r="Z109" s="404" t="n"/>
      <c r="AA109" s="404" t="n"/>
      <c r="AB109" s="404" t="n"/>
    </row>
    <row r="110">
      <c r="A110" s="404" t="n">
        <v>50</v>
      </c>
      <c r="B110" s="404" t="n">
        <v>0</v>
      </c>
      <c r="C110" s="404" t="n">
        <v>0</v>
      </c>
      <c r="D110" s="404" t="n">
        <v>2</v>
      </c>
      <c r="E110" s="404" t="n">
        <v>0</v>
      </c>
      <c r="F110" s="404">
        <f>ROUND(F109*0.22,O110)</f>
        <v/>
      </c>
      <c r="G110" s="404" t="inlineStr">
        <is>
          <t>и2</t>
        </is>
      </c>
      <c r="H110" s="404" t="inlineStr">
        <is>
          <t>НДС 22%</t>
        </is>
      </c>
      <c r="I110" s="404" t="n"/>
      <c r="J110" s="404" t="n"/>
      <c r="K110" s="404" t="n">
        <v>212</v>
      </c>
      <c r="L110" s="404" t="n">
        <v>29</v>
      </c>
      <c r="M110" s="404" t="n">
        <v>0</v>
      </c>
      <c r="N110" s="404" t="inlineStr"/>
      <c r="O110" s="404" t="n">
        <v>0</v>
      </c>
      <c r="P110" s="404" t="n"/>
      <c r="Q110" s="404" t="n"/>
      <c r="R110" s="404" t="n"/>
      <c r="S110" s="404" t="n"/>
      <c r="T110" s="404" t="n"/>
      <c r="U110" s="404" t="n"/>
      <c r="V110" s="404" t="n"/>
      <c r="W110" s="404" t="n">
        <v>0</v>
      </c>
      <c r="X110" s="404" t="n">
        <v>1</v>
      </c>
      <c r="Y110" s="404" t="n">
        <v>0</v>
      </c>
      <c r="Z110" s="404" t="n"/>
      <c r="AA110" s="404" t="n"/>
      <c r="AB110" s="404" t="n"/>
    </row>
    <row r="111">
      <c r="A111" s="404" t="n">
        <v>50</v>
      </c>
      <c r="B111" s="404" t="n">
        <v>0</v>
      </c>
      <c r="C111" s="404" t="n">
        <v>0</v>
      </c>
      <c r="D111" s="404" t="n">
        <v>2</v>
      </c>
      <c r="E111" s="404" t="n">
        <v>213</v>
      </c>
      <c r="F111" s="404">
        <f>ROUND(F109+F110,O111)</f>
        <v/>
      </c>
      <c r="G111" s="404" t="inlineStr">
        <is>
          <t>и3</t>
        </is>
      </c>
      <c r="H111" s="404" t="inlineStr">
        <is>
          <t>Всего</t>
        </is>
      </c>
      <c r="I111" s="404" t="n"/>
      <c r="J111" s="404" t="n"/>
      <c r="K111" s="404" t="n">
        <v>212</v>
      </c>
      <c r="L111" s="404" t="n">
        <v>30</v>
      </c>
      <c r="M111" s="404" t="n">
        <v>0</v>
      </c>
      <c r="N111" s="404" t="inlineStr"/>
      <c r="O111" s="404" t="n">
        <v>0</v>
      </c>
      <c r="P111" s="404" t="n"/>
      <c r="Q111" s="404" t="n"/>
      <c r="R111" s="404" t="n"/>
      <c r="S111" s="404" t="n"/>
      <c r="T111" s="404" t="n"/>
      <c r="U111" s="404" t="n"/>
      <c r="V111" s="404" t="n"/>
      <c r="W111" s="404" t="n">
        <v>0</v>
      </c>
      <c r="X111" s="404" t="n">
        <v>1</v>
      </c>
      <c r="Y111" s="404" t="n">
        <v>0</v>
      </c>
      <c r="Z111" s="404" t="n"/>
      <c r="AA111" s="404" t="n"/>
      <c r="AB111" s="404" t="n"/>
    </row>
    <row r="112"/>
    <row r="113">
      <c r="A113" s="401" t="n">
        <v>3</v>
      </c>
      <c r="B113" s="401" t="n">
        <v>0</v>
      </c>
      <c r="C113" s="401" t="n"/>
      <c r="D113" s="401">
        <f>ROW(A122)</f>
        <v/>
      </c>
      <c r="E113" s="401" t="n"/>
      <c r="F113" s="401" t="inlineStr">
        <is>
          <t>Новая локальная смета</t>
        </is>
      </c>
      <c r="G113" s="401" t="inlineStr">
        <is>
          <t>Текстильщиков 3</t>
        </is>
      </c>
      <c r="H113" s="401" t="inlineStr"/>
      <c r="I113" s="401" t="n">
        <v>0</v>
      </c>
      <c r="J113" s="401" t="inlineStr"/>
      <c r="K113" s="401" t="n">
        <v>0</v>
      </c>
      <c r="L113" s="401" t="inlineStr">
        <is>
          <t>Новая локальная смета</t>
        </is>
      </c>
      <c r="M113" s="401" t="inlineStr"/>
      <c r="N113" s="401" t="n"/>
      <c r="O113" s="401" t="n"/>
      <c r="P113" s="401" t="n"/>
      <c r="Q113" s="401" t="n"/>
      <c r="R113" s="401" t="n"/>
      <c r="S113" s="401" t="n">
        <v>0</v>
      </c>
      <c r="T113" s="401" t="n"/>
      <c r="U113" s="401" t="inlineStr"/>
      <c r="V113" s="401" t="n">
        <v>0</v>
      </c>
      <c r="W113" s="401" t="n"/>
      <c r="X113" s="401" t="n"/>
      <c r="Y113" s="401" t="n"/>
      <c r="Z113" s="401" t="n"/>
      <c r="AA113" s="401" t="n"/>
      <c r="AB113" s="401" t="inlineStr"/>
      <c r="AC113" s="401" t="inlineStr"/>
      <c r="AD113" s="401" t="inlineStr"/>
      <c r="AE113" s="401" t="inlineStr"/>
      <c r="AF113" s="401" t="inlineStr"/>
      <c r="AG113" s="401" t="inlineStr"/>
      <c r="AH113" s="401" t="n"/>
      <c r="AI113" s="401" t="n"/>
      <c r="AJ113" s="401" t="n"/>
      <c r="AK113" s="401" t="n"/>
      <c r="AL113" s="401" t="n"/>
      <c r="AM113" s="401" t="n"/>
      <c r="AN113" s="401" t="n"/>
      <c r="AO113" s="401" t="n"/>
      <c r="AP113" s="401" t="inlineStr"/>
      <c r="AQ113" s="401" t="inlineStr"/>
      <c r="AR113" s="401" t="inlineStr"/>
      <c r="AS113" s="401" t="n"/>
      <c r="AT113" s="401" t="n"/>
      <c r="AU113" s="401" t="n"/>
      <c r="AV113" s="401" t="n"/>
      <c r="AW113" s="401" t="n"/>
      <c r="AX113" s="401" t="n"/>
      <c r="AY113" s="401" t="n"/>
      <c r="AZ113" s="401" t="inlineStr"/>
      <c r="BA113" s="401" t="n"/>
      <c r="BB113" s="401" t="inlineStr"/>
      <c r="BC113" s="401" t="inlineStr"/>
      <c r="BD113" s="401" t="inlineStr"/>
      <c r="BE113" s="401" t="inlineStr"/>
      <c r="BF113" s="401" t="inlineStr"/>
      <c r="BG113" s="401" t="inlineStr"/>
      <c r="BH113" s="401" t="inlineStr"/>
      <c r="BI113" s="401" t="inlineStr"/>
      <c r="BJ113" s="401" t="inlineStr"/>
      <c r="BK113" s="401" t="inlineStr"/>
      <c r="BL113" s="401" t="inlineStr"/>
      <c r="BM113" s="401" t="inlineStr"/>
      <c r="BN113" s="401" t="inlineStr"/>
      <c r="BO113" s="401" t="inlineStr"/>
      <c r="BP113" s="401" t="inlineStr"/>
      <c r="BQ113" s="401" t="n"/>
      <c r="BR113" s="401" t="n"/>
      <c r="BS113" s="401" t="n"/>
      <c r="BT113" s="401" t="n"/>
      <c r="BU113" s="401" t="n"/>
      <c r="BV113" s="401" t="n"/>
      <c r="BW113" s="401" t="n"/>
      <c r="BX113" s="401" t="n">
        <v>0</v>
      </c>
      <c r="BY113" s="401" t="n"/>
      <c r="BZ113" s="401" t="n"/>
      <c r="CA113" s="401" t="n"/>
      <c r="CB113" s="401" t="n"/>
      <c r="CC113" s="401" t="n"/>
      <c r="CD113" s="401" t="n"/>
      <c r="CE113" s="401" t="n"/>
      <c r="CF113" s="401" t="n">
        <v>0</v>
      </c>
      <c r="CG113" s="401" t="n">
        <v>0</v>
      </c>
      <c r="CH113" s="401" t="n"/>
      <c r="CI113" s="401" t="inlineStr"/>
      <c r="CJ113" s="401" t="inlineStr"/>
      <c r="CK113" t="inlineStr"/>
      <c r="CL113" t="inlineStr"/>
      <c r="CM113" t="inlineStr"/>
      <c r="CN113" t="inlineStr"/>
      <c r="CO113" t="inlineStr"/>
      <c r="CP113" t="inlineStr"/>
      <c r="CQ113" t="inlineStr"/>
    </row>
    <row r="114"/>
    <row r="115">
      <c r="A115" s="402" t="n">
        <v>52</v>
      </c>
      <c r="B115" s="402">
        <f>B122</f>
        <v/>
      </c>
      <c r="C115" s="402">
        <f>C122</f>
        <v/>
      </c>
      <c r="D115" s="402">
        <f>D122</f>
        <v/>
      </c>
      <c r="E115" s="402">
        <f>E122</f>
        <v/>
      </c>
      <c r="F115" s="402">
        <f>F122</f>
        <v/>
      </c>
      <c r="G115" s="402">
        <f>G122</f>
        <v/>
      </c>
      <c r="H115" s="402" t="n"/>
      <c r="I115" s="402" t="n"/>
      <c r="J115" s="402" t="n"/>
      <c r="K115" s="402" t="n"/>
      <c r="L115" s="402" t="n"/>
      <c r="M115" s="402" t="n"/>
      <c r="N115" s="402" t="n"/>
      <c r="O115" s="402">
        <f>O122</f>
        <v/>
      </c>
      <c r="P115" s="402">
        <f>P122</f>
        <v/>
      </c>
      <c r="Q115" s="402">
        <f>Q122</f>
        <v/>
      </c>
      <c r="R115" s="402">
        <f>R122</f>
        <v/>
      </c>
      <c r="S115" s="402">
        <f>S122</f>
        <v/>
      </c>
      <c r="T115" s="402">
        <f>T122</f>
        <v/>
      </c>
      <c r="U115" s="402">
        <f>U122</f>
        <v/>
      </c>
      <c r="V115" s="402">
        <f>V122</f>
        <v/>
      </c>
      <c r="W115" s="402">
        <f>W122</f>
        <v/>
      </c>
      <c r="X115" s="402">
        <f>X122</f>
        <v/>
      </c>
      <c r="Y115" s="402">
        <f>Y122</f>
        <v/>
      </c>
      <c r="Z115" s="402">
        <f>Z122</f>
        <v/>
      </c>
      <c r="AA115" s="402">
        <f>AA122</f>
        <v/>
      </c>
      <c r="AB115" s="402">
        <f>AB122</f>
        <v/>
      </c>
      <c r="AC115" s="402">
        <f>AC122</f>
        <v/>
      </c>
      <c r="AD115" s="402">
        <f>AD122</f>
        <v/>
      </c>
      <c r="AE115" s="402">
        <f>AE122</f>
        <v/>
      </c>
      <c r="AF115" s="402">
        <f>AF122</f>
        <v/>
      </c>
      <c r="AG115" s="402">
        <f>AG122</f>
        <v/>
      </c>
      <c r="AH115" s="402">
        <f>AH122</f>
        <v/>
      </c>
      <c r="AI115" s="402">
        <f>AI122</f>
        <v/>
      </c>
      <c r="AJ115" s="402">
        <f>AJ122</f>
        <v/>
      </c>
      <c r="AK115" s="402">
        <f>AK122</f>
        <v/>
      </c>
      <c r="AL115" s="402">
        <f>AL122</f>
        <v/>
      </c>
      <c r="AM115" s="402">
        <f>AM122</f>
        <v/>
      </c>
      <c r="AN115" s="402">
        <f>AN122</f>
        <v/>
      </c>
      <c r="AO115" s="402">
        <f>AO122</f>
        <v/>
      </c>
      <c r="AP115" s="402">
        <f>AP122</f>
        <v/>
      </c>
      <c r="AQ115" s="402">
        <f>AQ122</f>
        <v/>
      </c>
      <c r="AR115" s="402">
        <f>AR122</f>
        <v/>
      </c>
      <c r="AS115" s="402">
        <f>AS122</f>
        <v/>
      </c>
      <c r="AT115" s="402">
        <f>AT122</f>
        <v/>
      </c>
      <c r="AU115" s="402">
        <f>AU122</f>
        <v/>
      </c>
      <c r="AV115" s="402">
        <f>AV122</f>
        <v/>
      </c>
      <c r="AW115" s="402">
        <f>AW122</f>
        <v/>
      </c>
      <c r="AX115" s="402">
        <f>AX122</f>
        <v/>
      </c>
      <c r="AY115" s="402">
        <f>AY122</f>
        <v/>
      </c>
      <c r="AZ115" s="402">
        <f>AZ122</f>
        <v/>
      </c>
      <c r="BA115" s="402">
        <f>BA122</f>
        <v/>
      </c>
      <c r="BB115" s="402">
        <f>BB122</f>
        <v/>
      </c>
      <c r="BC115" s="402">
        <f>BC122</f>
        <v/>
      </c>
      <c r="BD115" s="402">
        <f>BD122</f>
        <v/>
      </c>
      <c r="BE115" s="402">
        <f>BE122</f>
        <v/>
      </c>
      <c r="BF115" s="402">
        <f>BF122</f>
        <v/>
      </c>
      <c r="BG115" s="402">
        <f>BG122</f>
        <v/>
      </c>
      <c r="BH115" s="402">
        <f>BH122</f>
        <v/>
      </c>
      <c r="BI115" s="402">
        <f>BI122</f>
        <v/>
      </c>
      <c r="BJ115" s="402">
        <f>BJ122</f>
        <v/>
      </c>
      <c r="BK115" s="402">
        <f>BK122</f>
        <v/>
      </c>
      <c r="BL115" s="402">
        <f>BL122</f>
        <v/>
      </c>
      <c r="BM115" s="402">
        <f>BM122</f>
        <v/>
      </c>
      <c r="BN115" s="402">
        <f>BN122</f>
        <v/>
      </c>
      <c r="BO115" s="402">
        <f>BO122</f>
        <v/>
      </c>
      <c r="BP115" s="402">
        <f>BP122</f>
        <v/>
      </c>
      <c r="BQ115" s="402">
        <f>BQ122</f>
        <v/>
      </c>
      <c r="BR115" s="402">
        <f>BR122</f>
        <v/>
      </c>
      <c r="BS115" s="402">
        <f>BS122</f>
        <v/>
      </c>
      <c r="BT115" s="402">
        <f>BT122</f>
        <v/>
      </c>
      <c r="BU115" s="402">
        <f>BU122</f>
        <v/>
      </c>
      <c r="BV115" s="402">
        <f>BV122</f>
        <v/>
      </c>
      <c r="BW115" s="402">
        <f>BW122</f>
        <v/>
      </c>
      <c r="BX115" s="402">
        <f>BX122</f>
        <v/>
      </c>
      <c r="BY115" s="402">
        <f>BY122</f>
        <v/>
      </c>
      <c r="BZ115" s="402">
        <f>BZ122</f>
        <v/>
      </c>
      <c r="CA115" s="402">
        <f>CA122</f>
        <v/>
      </c>
      <c r="CB115" s="402">
        <f>CB122</f>
        <v/>
      </c>
      <c r="CC115" s="402">
        <f>CC122</f>
        <v/>
      </c>
      <c r="CD115" s="402">
        <f>CD122</f>
        <v/>
      </c>
      <c r="CE115" s="402">
        <f>CE122</f>
        <v/>
      </c>
      <c r="CF115" s="402">
        <f>CF122</f>
        <v/>
      </c>
      <c r="CG115" s="402">
        <f>CG122</f>
        <v/>
      </c>
      <c r="CH115" s="402">
        <f>CH122</f>
        <v/>
      </c>
      <c r="CI115" s="402">
        <f>CI122</f>
        <v/>
      </c>
      <c r="CJ115" s="402">
        <f>CJ122</f>
        <v/>
      </c>
      <c r="CK115" s="402">
        <f>CK122</f>
        <v/>
      </c>
      <c r="CL115" s="402">
        <f>CL122</f>
        <v/>
      </c>
      <c r="CM115" s="402">
        <f>CM122</f>
        <v/>
      </c>
      <c r="CN115" s="402">
        <f>CN122</f>
        <v/>
      </c>
      <c r="CO115" s="402">
        <f>CO122</f>
        <v/>
      </c>
      <c r="CP115" s="402">
        <f>CP122</f>
        <v/>
      </c>
      <c r="CQ115" s="402">
        <f>CQ122</f>
        <v/>
      </c>
      <c r="CR115" s="402">
        <f>CR122</f>
        <v/>
      </c>
      <c r="CS115" s="402">
        <f>CS122</f>
        <v/>
      </c>
      <c r="CT115" s="402">
        <f>CT122</f>
        <v/>
      </c>
      <c r="CU115" s="402">
        <f>CU122</f>
        <v/>
      </c>
      <c r="CV115" s="402">
        <f>CV122</f>
        <v/>
      </c>
      <c r="CW115" s="402">
        <f>CW122</f>
        <v/>
      </c>
      <c r="CX115" s="402">
        <f>CX122</f>
        <v/>
      </c>
      <c r="CY115" s="402">
        <f>CY122</f>
        <v/>
      </c>
      <c r="CZ115" s="402">
        <f>CZ122</f>
        <v/>
      </c>
      <c r="DA115" s="402">
        <f>DA122</f>
        <v/>
      </c>
      <c r="DB115" s="402">
        <f>DB122</f>
        <v/>
      </c>
      <c r="DC115" s="402">
        <f>DC122</f>
        <v/>
      </c>
      <c r="DD115" s="402">
        <f>DD122</f>
        <v/>
      </c>
      <c r="DE115" s="402">
        <f>DE122</f>
        <v/>
      </c>
      <c r="DF115" s="402">
        <f>DF122</f>
        <v/>
      </c>
      <c r="DG115" s="403">
        <f>DG122</f>
        <v/>
      </c>
      <c r="DH115" s="403">
        <f>DH122</f>
        <v/>
      </c>
      <c r="DI115" s="403">
        <f>DI122</f>
        <v/>
      </c>
      <c r="DJ115" s="403">
        <f>DJ122</f>
        <v/>
      </c>
      <c r="DK115" s="403">
        <f>DK122</f>
        <v/>
      </c>
      <c r="DL115" s="403">
        <f>DL122</f>
        <v/>
      </c>
      <c r="DM115" s="403">
        <f>DM122</f>
        <v/>
      </c>
      <c r="DN115" s="403">
        <f>DN122</f>
        <v/>
      </c>
      <c r="DO115" s="403">
        <f>DO122</f>
        <v/>
      </c>
      <c r="DP115" s="403">
        <f>DP122</f>
        <v/>
      </c>
      <c r="DQ115" s="403">
        <f>DQ122</f>
        <v/>
      </c>
      <c r="DR115" s="403">
        <f>DR122</f>
        <v/>
      </c>
      <c r="DS115" s="403">
        <f>DS122</f>
        <v/>
      </c>
      <c r="DT115" s="403">
        <f>DT122</f>
        <v/>
      </c>
      <c r="DU115" s="403">
        <f>DU122</f>
        <v/>
      </c>
      <c r="DV115" s="403">
        <f>DV122</f>
        <v/>
      </c>
      <c r="DW115" s="403">
        <f>DW122</f>
        <v/>
      </c>
      <c r="DX115" s="403">
        <f>DX122</f>
        <v/>
      </c>
      <c r="DY115" s="403">
        <f>DY122</f>
        <v/>
      </c>
      <c r="DZ115" s="403">
        <f>DZ122</f>
        <v/>
      </c>
      <c r="EA115" s="403">
        <f>EA122</f>
        <v/>
      </c>
      <c r="EB115" s="403">
        <f>EB122</f>
        <v/>
      </c>
      <c r="EC115" s="403">
        <f>EC122</f>
        <v/>
      </c>
      <c r="ED115" s="403">
        <f>ED122</f>
        <v/>
      </c>
      <c r="EE115" s="403">
        <f>EE122</f>
        <v/>
      </c>
      <c r="EF115" s="403">
        <f>EF122</f>
        <v/>
      </c>
      <c r="EG115" s="403">
        <f>EG122</f>
        <v/>
      </c>
      <c r="EH115" s="403">
        <f>EH122</f>
        <v/>
      </c>
      <c r="EI115" s="403">
        <f>EI122</f>
        <v/>
      </c>
      <c r="EJ115" s="403">
        <f>EJ122</f>
        <v/>
      </c>
      <c r="EK115" s="403">
        <f>EK122</f>
        <v/>
      </c>
      <c r="EL115" s="403">
        <f>EL122</f>
        <v/>
      </c>
      <c r="EM115" s="403">
        <f>EM122</f>
        <v/>
      </c>
      <c r="EN115" s="403">
        <f>EN122</f>
        <v/>
      </c>
      <c r="EO115" s="403">
        <f>EO122</f>
        <v/>
      </c>
      <c r="EP115" s="403">
        <f>EP122</f>
        <v/>
      </c>
      <c r="EQ115" s="403">
        <f>EQ122</f>
        <v/>
      </c>
      <c r="ER115" s="403">
        <f>ER122</f>
        <v/>
      </c>
      <c r="ES115" s="403">
        <f>ES122</f>
        <v/>
      </c>
      <c r="ET115" s="403">
        <f>ET122</f>
        <v/>
      </c>
      <c r="EU115" s="403">
        <f>EU122</f>
        <v/>
      </c>
      <c r="EV115" s="403">
        <f>EV122</f>
        <v/>
      </c>
      <c r="EW115" s="403">
        <f>EW122</f>
        <v/>
      </c>
      <c r="EX115" s="403">
        <f>EX122</f>
        <v/>
      </c>
      <c r="EY115" s="403">
        <f>EY122</f>
        <v/>
      </c>
      <c r="EZ115" s="403">
        <f>EZ122</f>
        <v/>
      </c>
      <c r="FA115" s="403">
        <f>FA122</f>
        <v/>
      </c>
      <c r="FB115" s="403">
        <f>FB122</f>
        <v/>
      </c>
      <c r="FC115" s="403">
        <f>FC122</f>
        <v/>
      </c>
      <c r="FD115" s="403">
        <f>FD122</f>
        <v/>
      </c>
      <c r="FE115" s="403">
        <f>FE122</f>
        <v/>
      </c>
      <c r="FF115" s="403">
        <f>FF122</f>
        <v/>
      </c>
      <c r="FG115" s="403">
        <f>FG122</f>
        <v/>
      </c>
      <c r="FH115" s="403">
        <f>FH122</f>
        <v/>
      </c>
      <c r="FI115" s="403">
        <f>FI122</f>
        <v/>
      </c>
      <c r="FJ115" s="403">
        <f>FJ122</f>
        <v/>
      </c>
      <c r="FK115" s="403">
        <f>FK122</f>
        <v/>
      </c>
      <c r="FL115" s="403">
        <f>FL122</f>
        <v/>
      </c>
      <c r="FM115" s="403">
        <f>FM122</f>
        <v/>
      </c>
      <c r="FN115" s="403">
        <f>FN122</f>
        <v/>
      </c>
      <c r="FO115" s="403">
        <f>FO122</f>
        <v/>
      </c>
      <c r="FP115" s="403">
        <f>FP122</f>
        <v/>
      </c>
      <c r="FQ115" s="403">
        <f>FQ122</f>
        <v/>
      </c>
      <c r="FR115" s="403">
        <f>FR122</f>
        <v/>
      </c>
      <c r="FS115" s="403">
        <f>FS122</f>
        <v/>
      </c>
      <c r="FT115" s="403">
        <f>FT122</f>
        <v/>
      </c>
      <c r="FU115" s="403">
        <f>FU122</f>
        <v/>
      </c>
      <c r="FV115" s="403">
        <f>FV122</f>
        <v/>
      </c>
      <c r="FW115" s="403">
        <f>FW122</f>
        <v/>
      </c>
      <c r="FX115" s="403">
        <f>FX122</f>
        <v/>
      </c>
      <c r="FY115" s="403">
        <f>FY122</f>
        <v/>
      </c>
      <c r="FZ115" s="403">
        <f>FZ122</f>
        <v/>
      </c>
      <c r="GA115" s="403">
        <f>GA122</f>
        <v/>
      </c>
      <c r="GB115" s="403">
        <f>GB122</f>
        <v/>
      </c>
      <c r="GC115" s="403">
        <f>GC122</f>
        <v/>
      </c>
      <c r="GD115" s="403">
        <f>GD122</f>
        <v/>
      </c>
      <c r="GE115" s="403">
        <f>GE122</f>
        <v/>
      </c>
      <c r="GF115" s="403">
        <f>GF122</f>
        <v/>
      </c>
      <c r="GG115" s="403">
        <f>GG122</f>
        <v/>
      </c>
      <c r="GH115" s="403">
        <f>GH122</f>
        <v/>
      </c>
      <c r="GI115" s="403">
        <f>GI122</f>
        <v/>
      </c>
      <c r="GJ115" s="403">
        <f>GJ122</f>
        <v/>
      </c>
      <c r="GK115" s="403">
        <f>GK122</f>
        <v/>
      </c>
      <c r="GL115" s="403">
        <f>GL122</f>
        <v/>
      </c>
      <c r="GM115" s="403">
        <f>GM122</f>
        <v/>
      </c>
      <c r="GN115" s="403">
        <f>GN122</f>
        <v/>
      </c>
      <c r="GO115" s="403">
        <f>GO122</f>
        <v/>
      </c>
      <c r="GP115" s="403">
        <f>GP122</f>
        <v/>
      </c>
      <c r="GQ115" s="403">
        <f>GQ122</f>
        <v/>
      </c>
      <c r="GR115" s="403">
        <f>GR122</f>
        <v/>
      </c>
      <c r="GS115" s="403">
        <f>GS122</f>
        <v/>
      </c>
      <c r="GT115" s="403">
        <f>GT122</f>
        <v/>
      </c>
      <c r="GU115" s="403">
        <f>GU122</f>
        <v/>
      </c>
      <c r="GV115" s="403">
        <f>GV122</f>
        <v/>
      </c>
      <c r="GW115" s="403">
        <f>GW122</f>
        <v/>
      </c>
      <c r="GX115" s="403">
        <f>GX122</f>
        <v/>
      </c>
    </row>
    <row r="116"/>
    <row r="117">
      <c r="A117" t="n">
        <v>17</v>
      </c>
      <c r="B117" t="n">
        <v>0</v>
      </c>
      <c r="C117">
        <f>ROW(SmtRes!A68)</f>
        <v/>
      </c>
      <c r="D117">
        <f>ROW(EtalonRes!A65)</f>
        <v/>
      </c>
      <c r="E117" t="inlineStr">
        <is>
          <t>1</t>
        </is>
      </c>
      <c r="F117" t="inlineStr">
        <is>
          <t>65-10-1</t>
        </is>
      </c>
      <c r="G117" t="inlineStr">
        <is>
          <t>Очистка канализационной сети внутренней</t>
        </is>
      </c>
      <c r="H117" t="inlineStr">
        <is>
          <t>100 м трубопровода</t>
        </is>
      </c>
      <c r="I117">
        <f>ROUND(ROUND(110/100,4),7)</f>
        <v/>
      </c>
      <c r="J117" t="n">
        <v>0</v>
      </c>
      <c r="K117">
        <f>ROUND(ROUND(110/100,4),7)</f>
        <v/>
      </c>
      <c r="O117">
        <f>ROUND(CP117,0)</f>
        <v/>
      </c>
      <c r="P117">
        <f>ROUND(CQ117*I117,0)</f>
        <v/>
      </c>
      <c r="Q117">
        <f>(ROUND((ROUND(((ET117)*I117),0)*BB117),0)+ROUND((ROUND(((AE117-(EU117))*I117),0)*BS117),0))</f>
        <v/>
      </c>
      <c r="R117">
        <f>(ROUND((ROUND(((EU117)*I117),0)*BS117),0)+ROUND((ROUND(((AE117-(EU117))*I117),0)*BS117),0))</f>
        <v/>
      </c>
      <c r="S117">
        <f>ROUND(CT117*I117,0)</f>
        <v/>
      </c>
      <c r="T117">
        <f>ROUND(CU117*I117,0)</f>
        <v/>
      </c>
      <c r="U117">
        <f>ROUND(CV117*I117,7)</f>
        <v/>
      </c>
      <c r="V117">
        <f>ROUND(CW117*I117,7)</f>
        <v/>
      </c>
      <c r="W117">
        <f>ROUND(CX117*I117,0)</f>
        <v/>
      </c>
      <c r="X117">
        <f>ROUND(CY117,0)</f>
        <v/>
      </c>
      <c r="Y117">
        <f>ROUND(CZ117,0)</f>
        <v/>
      </c>
      <c r="AA117" t="n">
        <v>78869116</v>
      </c>
      <c r="AB117">
        <f>ROUND((AC117+AD117+AF117),2)</f>
        <v/>
      </c>
      <c r="AC117">
        <f>ROUND((ES117),2)</f>
        <v/>
      </c>
      <c r="AD117">
        <f>ROUND((((ET117)-(EU117))+AE117),2)</f>
        <v/>
      </c>
      <c r="AE117">
        <f>ROUND((EU117),2)</f>
        <v/>
      </c>
      <c r="AF117">
        <f>ROUND((EV117),2)</f>
        <v/>
      </c>
      <c r="AG117">
        <f>ROUND((AP117),2)</f>
        <v/>
      </c>
      <c r="AH117">
        <f>(EW117)</f>
        <v/>
      </c>
      <c r="AI117">
        <f>(EX117)</f>
        <v/>
      </c>
      <c r="AJ117">
        <f>(AS117)</f>
        <v/>
      </c>
      <c r="AK117" t="n">
        <v>403.3</v>
      </c>
      <c r="AL117" t="n">
        <v>139.36</v>
      </c>
      <c r="AM117" t="n">
        <v>0.87</v>
      </c>
      <c r="AN117" t="n">
        <v>0</v>
      </c>
      <c r="AO117" t="n">
        <v>263.07</v>
      </c>
      <c r="AP117" t="n">
        <v>0</v>
      </c>
      <c r="AQ117" t="n">
        <v>32.2</v>
      </c>
      <c r="AR117" t="n">
        <v>0</v>
      </c>
      <c r="AS117" t="n">
        <v>0</v>
      </c>
      <c r="AT117" t="n">
        <v>103</v>
      </c>
      <c r="AU117" t="n">
        <v>52</v>
      </c>
      <c r="AV117" t="n">
        <v>1</v>
      </c>
      <c r="AW117" t="n">
        <v>1</v>
      </c>
      <c r="AZ117" t="n">
        <v>1</v>
      </c>
      <c r="BA117" t="n">
        <v>52.25</v>
      </c>
      <c r="BB117" t="n">
        <v>25.03</v>
      </c>
      <c r="BC117" t="n">
        <v>11.85</v>
      </c>
      <c r="BD117" t="inlineStr"/>
      <c r="BE117" t="inlineStr"/>
      <c r="BF117" t="inlineStr"/>
      <c r="BG117" t="inlineStr"/>
      <c r="BH117" t="n">
        <v>0</v>
      </c>
      <c r="BI117" t="n">
        <v>1</v>
      </c>
      <c r="BJ117" t="inlineStr">
        <is>
          <t>ТЕРр Московской обл., 65-10-1, приказ Минстроя России №675/пр от 28.02.2017 № 263/пр</t>
        </is>
      </c>
      <c r="BM117" t="n">
        <v>65007</v>
      </c>
      <c r="BN117" t="n">
        <v>0</v>
      </c>
      <c r="BO117" t="inlineStr">
        <is>
          <t>65-10-1</t>
        </is>
      </c>
      <c r="BP117" t="n">
        <v>1</v>
      </c>
      <c r="BQ117" t="n">
        <v>6</v>
      </c>
      <c r="BR117" t="n">
        <v>0</v>
      </c>
      <c r="BS117" t="n">
        <v>52.25</v>
      </c>
      <c r="BT117" t="n">
        <v>1</v>
      </c>
      <c r="BU117" t="n">
        <v>1</v>
      </c>
      <c r="BV117" t="n">
        <v>1</v>
      </c>
      <c r="BW117" t="n">
        <v>1</v>
      </c>
      <c r="BX117" t="n">
        <v>1</v>
      </c>
      <c r="BY117" t="inlineStr"/>
      <c r="BZ117" t="n">
        <v>103</v>
      </c>
      <c r="CA117" t="n">
        <v>52</v>
      </c>
      <c r="CB117" t="inlineStr"/>
      <c r="CE117" t="n">
        <v>12</v>
      </c>
      <c r="CF117" t="n">
        <v>0</v>
      </c>
      <c r="CG117" t="n">
        <v>0</v>
      </c>
      <c r="CM117" t="n">
        <v>0</v>
      </c>
      <c r="CN117" t="inlineStr"/>
      <c r="CO117" t="n">
        <v>0</v>
      </c>
      <c r="CP117">
        <f>(P117+Q117+S117)</f>
        <v/>
      </c>
      <c r="CQ117">
        <f>AC117*BC117</f>
        <v/>
      </c>
      <c r="CR117">
        <f>(ROUND((ROUND(((ET117)*1),0)*BB117),0)+ROUND((ROUND(((AE117-(EU117))*1),0)*BS117),0))</f>
        <v/>
      </c>
      <c r="CS117">
        <f>(ROUND((ROUND(((EU117)*1),0)*BS117),0)+ROUND((ROUND(((AE117-(EU117))*1),0)*BS117),0))</f>
        <v/>
      </c>
      <c r="CT117">
        <f>AF117*BA117</f>
        <v/>
      </c>
      <c r="CU117">
        <f>AG117</f>
        <v/>
      </c>
      <c r="CV117">
        <f>AH117</f>
        <v/>
      </c>
      <c r="CW117">
        <f>AI117</f>
        <v/>
      </c>
      <c r="CX117">
        <f>AJ117</f>
        <v/>
      </c>
      <c r="CY117">
        <f>(((S117+R117)*AT117)/100)</f>
        <v/>
      </c>
      <c r="CZ117">
        <f>(((S117+R117)*AU117)/100)</f>
        <v/>
      </c>
      <c r="DC117" t="inlineStr"/>
      <c r="DD117" t="inlineStr"/>
      <c r="DE117" t="inlineStr"/>
      <c r="DF117" t="inlineStr"/>
      <c r="DG117" t="inlineStr"/>
      <c r="DH117" t="inlineStr"/>
      <c r="DI117" t="inlineStr"/>
      <c r="DJ117" t="inlineStr"/>
      <c r="DK117" t="inlineStr"/>
      <c r="DL117" t="inlineStr"/>
      <c r="DM117" t="inlineStr"/>
      <c r="DN117" t="n">
        <v>0</v>
      </c>
      <c r="DO117" t="n">
        <v>0</v>
      </c>
      <c r="DP117" t="n">
        <v>1</v>
      </c>
      <c r="DQ117" t="n">
        <v>1</v>
      </c>
      <c r="DU117" t="n">
        <v>1013</v>
      </c>
      <c r="DV117" t="inlineStr">
        <is>
          <t>100 м трубопровода</t>
        </is>
      </c>
      <c r="DW117" t="inlineStr">
        <is>
          <t>100 м трубопровода</t>
        </is>
      </c>
      <c r="DX117" t="n">
        <v>1</v>
      </c>
      <c r="DZ117" t="inlineStr"/>
      <c r="EA117" t="inlineStr"/>
      <c r="EB117" t="inlineStr"/>
      <c r="EC117" t="inlineStr"/>
      <c r="EE117" t="n">
        <v>78726000</v>
      </c>
      <c r="EF117" t="n">
        <v>6</v>
      </c>
      <c r="EG117" t="inlineStr">
        <is>
          <t>Ремонтно-строительные работы</t>
        </is>
      </c>
      <c r="EH117" t="n">
        <v>99</v>
      </c>
      <c r="EI117" t="inlineStr">
        <is>
          <t>Внутренние санитарно-технические работы</t>
        </is>
      </c>
      <c r="EJ117" t="n">
        <v>1</v>
      </c>
      <c r="EK117" t="n">
        <v>65007</v>
      </c>
      <c r="EL117" t="inlineStr">
        <is>
          <t>Внутренние санитарнотехнические работы: смена труб, санприборов, запорной арматуры и другое</t>
        </is>
      </c>
      <c r="EM117" t="inlineStr">
        <is>
          <t>рФЕР-65</t>
        </is>
      </c>
      <c r="EO117" t="inlineStr"/>
      <c r="EQ117" t="n">
        <v>0</v>
      </c>
      <c r="ER117" t="n">
        <v>403.3</v>
      </c>
      <c r="ES117" t="n">
        <v>139.36</v>
      </c>
      <c r="ET117" t="n">
        <v>0.87</v>
      </c>
      <c r="EU117" t="n">
        <v>0</v>
      </c>
      <c r="EV117" t="n">
        <v>263.07</v>
      </c>
      <c r="EW117" t="n">
        <v>32.2</v>
      </c>
      <c r="EX117" t="n">
        <v>0</v>
      </c>
      <c r="EY117" t="n">
        <v>0</v>
      </c>
      <c r="FQ117" t="n">
        <v>0</v>
      </c>
      <c r="FR117" t="n">
        <v>0</v>
      </c>
      <c r="FS117" t="n">
        <v>0</v>
      </c>
      <c r="FX117" t="n">
        <v>103</v>
      </c>
      <c r="FY117" t="n">
        <v>52</v>
      </c>
      <c r="GA117" t="inlineStr"/>
      <c r="GD117" t="n">
        <v>1</v>
      </c>
      <c r="GF117" t="n">
        <v>-66904957</v>
      </c>
      <c r="GG117" t="n">
        <v>2</v>
      </c>
      <c r="GH117" t="n">
        <v>1</v>
      </c>
      <c r="GI117" t="n">
        <v>2</v>
      </c>
      <c r="GJ117" t="n">
        <v>0</v>
      </c>
      <c r="GK117" t="n">
        <v>0</v>
      </c>
      <c r="GL117">
        <f>ROUND(IF(AND(BH117=3,BI117=3,FS117&lt;&gt;0),P117,0),0)</f>
        <v/>
      </c>
      <c r="GM117">
        <f>ROUND(O117+X117+Y117,0)+GX117</f>
        <v/>
      </c>
      <c r="GN117">
        <f>IF(OR(BI117=0,BI117=1),GM117-GX117,0)</f>
        <v/>
      </c>
      <c r="GO117">
        <f>IF(BI117=2,GM117-GX117,0)</f>
        <v/>
      </c>
      <c r="GP117">
        <f>IF(BI117=4,GM117-GX117,0)</f>
        <v/>
      </c>
      <c r="GR117" t="n">
        <v>0</v>
      </c>
      <c r="GS117" t="n">
        <v>3</v>
      </c>
      <c r="GT117" t="n">
        <v>0</v>
      </c>
      <c r="GU117" t="inlineStr"/>
      <c r="GV117">
        <f>ROUND((GT117),2)</f>
        <v/>
      </c>
      <c r="GW117" t="n">
        <v>1</v>
      </c>
      <c r="GX117">
        <f>ROUND(HC117*I117,0)</f>
        <v/>
      </c>
      <c r="HA117" t="n">
        <v>0</v>
      </c>
      <c r="HB117" t="n">
        <v>0</v>
      </c>
      <c r="HC117">
        <f>GV117*GW117</f>
        <v/>
      </c>
      <c r="HE117" t="inlineStr"/>
      <c r="HF117" t="inlineStr"/>
      <c r="HM117" t="inlineStr"/>
      <c r="HN117" t="inlineStr">
        <is>
          <t>Пр/812-099.2-1</t>
        </is>
      </c>
      <c r="HO117" t="inlineStr">
        <is>
          <t>Пр/774-099.2</t>
        </is>
      </c>
      <c r="HP117" t="inlineStr">
        <is>
          <t>Внутренние санитарнотехнические работы: смена труб, санприборов, запорной арматуры и другое</t>
        </is>
      </c>
      <c r="HQ117" t="inlineStr">
        <is>
          <t>Внутренние санитарнотехнические работы: смена труб, санприборов, запорной арматуры и другое</t>
        </is>
      </c>
      <c r="HS117" t="n">
        <v>0</v>
      </c>
      <c r="IK117" t="n">
        <v>0</v>
      </c>
    </row>
    <row r="118">
      <c r="A118" t="n">
        <v>17</v>
      </c>
      <c r="B118" t="n">
        <v>0</v>
      </c>
      <c r="C118">
        <f>ROW(SmtRes!A71)</f>
        <v/>
      </c>
      <c r="D118">
        <f>ROW(EtalonRes!A67)</f>
        <v/>
      </c>
      <c r="E118" t="inlineStr">
        <is>
          <t>2</t>
        </is>
      </c>
      <c r="F118" t="inlineStr">
        <is>
          <t>67-5-2</t>
        </is>
      </c>
      <c r="G118" t="inlineStr">
        <is>
          <t>Смена ламп люминесцентных</t>
        </is>
      </c>
      <c r="H118" t="inlineStr">
        <is>
          <t>100 шт.</t>
        </is>
      </c>
      <c r="I118">
        <f>ROUND(ROUND(4/100,4),7)</f>
        <v/>
      </c>
      <c r="J118" t="n">
        <v>0</v>
      </c>
      <c r="K118">
        <f>ROUND(ROUND(4/100,4),7)</f>
        <v/>
      </c>
      <c r="O118">
        <f>ROUND(CP118,0)</f>
        <v/>
      </c>
      <c r="P118">
        <f>ROUND(CQ118*I118,0)</f>
        <v/>
      </c>
      <c r="Q118">
        <f>(ROUND((ROUND(((ET118)*I118),0)*BB118),0)+ROUND((ROUND(((AE118-(EU118))*I118),0)*BS118),0))</f>
        <v/>
      </c>
      <c r="R118">
        <f>(ROUND((ROUND(((EU118)*I118),0)*BS118),0)+ROUND((ROUND(((AE118-(EU118))*I118),0)*BS118),0))</f>
        <v/>
      </c>
      <c r="S118">
        <f>ROUND(CT118*I118,0)</f>
        <v/>
      </c>
      <c r="T118">
        <f>ROUND(CU118*I118,0)</f>
        <v/>
      </c>
      <c r="U118">
        <f>ROUND(CV118*I118,7)</f>
        <v/>
      </c>
      <c r="V118">
        <f>ROUND(CW118*I118,7)</f>
        <v/>
      </c>
      <c r="W118">
        <f>ROUND(CX118*I118,0)</f>
        <v/>
      </c>
      <c r="X118">
        <f>ROUND(CY118,0)</f>
        <v/>
      </c>
      <c r="Y118">
        <f>ROUND(CZ118,0)</f>
        <v/>
      </c>
      <c r="AA118" t="n">
        <v>78869116</v>
      </c>
      <c r="AB118">
        <f>ROUND((AC118+AD118+AF118),2)</f>
        <v/>
      </c>
      <c r="AC118">
        <f>ROUND((ES118),2)</f>
        <v/>
      </c>
      <c r="AD118">
        <f>ROUND((((ET118)-(EU118))+AE118),2)</f>
        <v/>
      </c>
      <c r="AE118">
        <f>ROUND((EU118),2)</f>
        <v/>
      </c>
      <c r="AF118">
        <f>ROUND((EV118),2)</f>
        <v/>
      </c>
      <c r="AG118">
        <f>ROUND((AP118),2)</f>
        <v/>
      </c>
      <c r="AH118">
        <f>(EW118)</f>
        <v/>
      </c>
      <c r="AI118">
        <f>(EX118)</f>
        <v/>
      </c>
      <c r="AJ118">
        <f>(AS118)</f>
        <v/>
      </c>
      <c r="AK118" t="n">
        <v>970.5700000000001</v>
      </c>
      <c r="AL118" t="n">
        <v>852</v>
      </c>
      <c r="AM118" t="n">
        <v>0</v>
      </c>
      <c r="AN118" t="n">
        <v>0</v>
      </c>
      <c r="AO118" t="n">
        <v>118.57</v>
      </c>
      <c r="AP118" t="n">
        <v>0</v>
      </c>
      <c r="AQ118" t="n">
        <v>13.9</v>
      </c>
      <c r="AR118" t="n">
        <v>0</v>
      </c>
      <c r="AS118" t="n">
        <v>0</v>
      </c>
      <c r="AT118" t="n">
        <v>91</v>
      </c>
      <c r="AU118" t="n">
        <v>48</v>
      </c>
      <c r="AV118" t="n">
        <v>1</v>
      </c>
      <c r="AW118" t="n">
        <v>1</v>
      </c>
      <c r="AZ118" t="n">
        <v>1</v>
      </c>
      <c r="BA118" t="n">
        <v>52.25</v>
      </c>
      <c r="BB118" t="n">
        <v>1</v>
      </c>
      <c r="BC118" t="n">
        <v>4.14</v>
      </c>
      <c r="BD118" t="inlineStr"/>
      <c r="BE118" t="inlineStr"/>
      <c r="BF118" t="inlineStr"/>
      <c r="BG118" t="inlineStr"/>
      <c r="BH118" t="n">
        <v>0</v>
      </c>
      <c r="BI118" t="n">
        <v>1</v>
      </c>
      <c r="BJ118" t="inlineStr">
        <is>
          <t>ТЕРр Московской обл., 67-5-2, приказ Минстроя России №675/пр от 28.02.2017 № 263/пр</t>
        </is>
      </c>
      <c r="BM118" t="n">
        <v>67001</v>
      </c>
      <c r="BN118" t="n">
        <v>0</v>
      </c>
      <c r="BO118" t="inlineStr">
        <is>
          <t>67-5-2</t>
        </is>
      </c>
      <c r="BP118" t="n">
        <v>1</v>
      </c>
      <c r="BQ118" t="n">
        <v>6</v>
      </c>
      <c r="BR118" t="n">
        <v>0</v>
      </c>
      <c r="BS118" t="n">
        <v>52.25</v>
      </c>
      <c r="BT118" t="n">
        <v>1</v>
      </c>
      <c r="BU118" t="n">
        <v>1</v>
      </c>
      <c r="BV118" t="n">
        <v>1</v>
      </c>
      <c r="BW118" t="n">
        <v>1</v>
      </c>
      <c r="BX118" t="n">
        <v>1</v>
      </c>
      <c r="BY118" t="inlineStr"/>
      <c r="BZ118" t="n">
        <v>91</v>
      </c>
      <c r="CA118" t="n">
        <v>48</v>
      </c>
      <c r="CB118" t="inlineStr"/>
      <c r="CE118" t="n">
        <v>12</v>
      </c>
      <c r="CF118" t="n">
        <v>0</v>
      </c>
      <c r="CG118" t="n">
        <v>0</v>
      </c>
      <c r="CM118" t="n">
        <v>0</v>
      </c>
      <c r="CN118" t="inlineStr"/>
      <c r="CO118" t="n">
        <v>0</v>
      </c>
      <c r="CP118">
        <f>(P118+Q118+S118)</f>
        <v/>
      </c>
      <c r="CQ118">
        <f>AC118*BC118</f>
        <v/>
      </c>
      <c r="CR118">
        <f>(ROUND((ROUND(((ET118)*1),0)*BB118),0)+ROUND((ROUND(((AE118-(EU118))*1),0)*BS118),0))</f>
        <v/>
      </c>
      <c r="CS118">
        <f>(ROUND((ROUND(((EU118)*1),0)*BS118),0)+ROUND((ROUND(((AE118-(EU118))*1),0)*BS118),0))</f>
        <v/>
      </c>
      <c r="CT118">
        <f>AF118*BA118</f>
        <v/>
      </c>
      <c r="CU118">
        <f>AG118</f>
        <v/>
      </c>
      <c r="CV118">
        <f>AH118</f>
        <v/>
      </c>
      <c r="CW118">
        <f>AI118</f>
        <v/>
      </c>
      <c r="CX118">
        <f>AJ118</f>
        <v/>
      </c>
      <c r="CY118">
        <f>(((S118+R118)*AT118)/100)</f>
        <v/>
      </c>
      <c r="CZ118">
        <f>(((S118+R118)*AU118)/100)</f>
        <v/>
      </c>
      <c r="DC118" t="inlineStr"/>
      <c r="DD118" t="inlineStr"/>
      <c r="DE118" t="inlineStr"/>
      <c r="DF118" t="inlineStr"/>
      <c r="DG118" t="inlineStr"/>
      <c r="DH118" t="inlineStr"/>
      <c r="DI118" t="inlineStr"/>
      <c r="DJ118" t="inlineStr"/>
      <c r="DK118" t="inlineStr"/>
      <c r="DL118" t="inlineStr"/>
      <c r="DM118" t="inlineStr"/>
      <c r="DN118" t="n">
        <v>0</v>
      </c>
      <c r="DO118" t="n">
        <v>0</v>
      </c>
      <c r="DP118" t="n">
        <v>1</v>
      </c>
      <c r="DQ118" t="n">
        <v>1</v>
      </c>
      <c r="DU118" t="n">
        <v>1010</v>
      </c>
      <c r="DV118" t="inlineStr">
        <is>
          <t>100 шт.</t>
        </is>
      </c>
      <c r="DW118" t="inlineStr">
        <is>
          <t>100 шт.</t>
        </is>
      </c>
      <c r="DX118" t="n">
        <v>100</v>
      </c>
      <c r="DZ118" t="inlineStr"/>
      <c r="EA118" t="inlineStr"/>
      <c r="EB118" t="inlineStr"/>
      <c r="EC118" t="inlineStr"/>
      <c r="EE118" t="n">
        <v>78726030</v>
      </c>
      <c r="EF118" t="n">
        <v>6</v>
      </c>
      <c r="EG118" t="inlineStr">
        <is>
          <t>Ремонтно-строительные работы</t>
        </is>
      </c>
      <c r="EH118" t="n">
        <v>101</v>
      </c>
      <c r="EI118" t="inlineStr">
        <is>
          <t>Электромонтажные работы</t>
        </is>
      </c>
      <c r="EJ118" t="n">
        <v>1</v>
      </c>
      <c r="EK118" t="n">
        <v>67001</v>
      </c>
      <c r="EL118" t="inlineStr">
        <is>
          <t>Электромонтажные работы</t>
        </is>
      </c>
      <c r="EM118" t="inlineStr">
        <is>
          <t>рФЕР-67</t>
        </is>
      </c>
      <c r="EO118" t="inlineStr"/>
      <c r="EQ118" t="n">
        <v>0</v>
      </c>
      <c r="ER118" t="n">
        <v>970.5700000000001</v>
      </c>
      <c r="ES118" t="n">
        <v>852</v>
      </c>
      <c r="ET118" t="n">
        <v>0</v>
      </c>
      <c r="EU118" t="n">
        <v>0</v>
      </c>
      <c r="EV118" t="n">
        <v>118.57</v>
      </c>
      <c r="EW118" t="n">
        <v>13.9</v>
      </c>
      <c r="EX118" t="n">
        <v>0</v>
      </c>
      <c r="EY118" t="n">
        <v>0</v>
      </c>
      <c r="FQ118" t="n">
        <v>0</v>
      </c>
      <c r="FR118" t="n">
        <v>0</v>
      </c>
      <c r="FS118" t="n">
        <v>0</v>
      </c>
      <c r="FX118" t="n">
        <v>91</v>
      </c>
      <c r="FY118" t="n">
        <v>48</v>
      </c>
      <c r="GA118" t="inlineStr"/>
      <c r="GD118" t="n">
        <v>1</v>
      </c>
      <c r="GF118" t="n">
        <v>1400342257</v>
      </c>
      <c r="GG118" t="n">
        <v>2</v>
      </c>
      <c r="GH118" t="n">
        <v>1</v>
      </c>
      <c r="GI118" t="n">
        <v>2</v>
      </c>
      <c r="GJ118" t="n">
        <v>0</v>
      </c>
      <c r="GK118" t="n">
        <v>0</v>
      </c>
      <c r="GL118">
        <f>ROUND(IF(AND(BH118=3,BI118=3,FS118&lt;&gt;0),P118,0),0)</f>
        <v/>
      </c>
      <c r="GM118">
        <f>ROUND(O118+X118+Y118,0)+GX118</f>
        <v/>
      </c>
      <c r="GN118">
        <f>IF(OR(BI118=0,BI118=1),GM118-GX118,0)</f>
        <v/>
      </c>
      <c r="GO118">
        <f>IF(BI118=2,GM118-GX118,0)</f>
        <v/>
      </c>
      <c r="GP118">
        <f>IF(BI118=4,GM118-GX118,0)</f>
        <v/>
      </c>
      <c r="GR118" t="n">
        <v>0</v>
      </c>
      <c r="GS118" t="n">
        <v>3</v>
      </c>
      <c r="GT118" t="n">
        <v>0</v>
      </c>
      <c r="GU118" t="inlineStr"/>
      <c r="GV118">
        <f>ROUND((GT118),2)</f>
        <v/>
      </c>
      <c r="GW118" t="n">
        <v>1</v>
      </c>
      <c r="GX118">
        <f>ROUND(HC118*I118,0)</f>
        <v/>
      </c>
      <c r="HA118" t="n">
        <v>0</v>
      </c>
      <c r="HB118" t="n">
        <v>0</v>
      </c>
      <c r="HC118">
        <f>GV118*GW118</f>
        <v/>
      </c>
      <c r="HE118" t="inlineStr"/>
      <c r="HF118" t="inlineStr"/>
      <c r="HM118" t="inlineStr"/>
      <c r="HN118" t="inlineStr">
        <is>
          <t>Пр/812-101.0-1</t>
        </is>
      </c>
      <c r="HO118" t="inlineStr">
        <is>
          <t>Пр/774-101.0</t>
        </is>
      </c>
      <c r="HP118" t="inlineStr">
        <is>
          <t>Электромонтажные работы</t>
        </is>
      </c>
      <c r="HQ118" t="inlineStr">
        <is>
          <t>Электромонтажные работы</t>
        </is>
      </c>
      <c r="HS118" t="n">
        <v>0</v>
      </c>
      <c r="IK118" t="n">
        <v>0</v>
      </c>
    </row>
    <row r="119">
      <c r="A119" t="n">
        <v>18</v>
      </c>
      <c r="B119" t="n">
        <v>0</v>
      </c>
      <c r="C119" t="n">
        <v>71</v>
      </c>
      <c r="E119" t="inlineStr">
        <is>
          <t>2,1</t>
        </is>
      </c>
      <c r="F119" t="inlineStr">
        <is>
          <t>509-6744</t>
        </is>
      </c>
      <c r="G119" t="inlineStr">
        <is>
          <t>Лампы люминесцентные компактные энергосберегающие с цоколем Е27 мощностью 55 Вт</t>
        </is>
      </c>
      <c r="H119" t="inlineStr">
        <is>
          <t>шт.</t>
        </is>
      </c>
      <c r="I119">
        <f>I118*J119</f>
        <v/>
      </c>
      <c r="J119" t="n">
        <v>100</v>
      </c>
      <c r="K119" t="n">
        <v>100</v>
      </c>
      <c r="O119">
        <f>ROUND(CP119,0)</f>
        <v/>
      </c>
      <c r="P119">
        <f>ROUND(CQ119*I119,0)</f>
        <v/>
      </c>
      <c r="Q119">
        <f>(ROUND((ROUND(((ET119)*I119),0)*BB119),0)+ROUND((ROUND(((AE119-(EU119))*I119),0)*BS119),0))</f>
        <v/>
      </c>
      <c r="R119">
        <f>(ROUND((ROUND(((EU119)*I119),0)*BS119),0)+ROUND((ROUND(((AE119-(EU119))*I119),0)*BS119),0))</f>
        <v/>
      </c>
      <c r="S119">
        <f>ROUND(CT119*I119,0)</f>
        <v/>
      </c>
      <c r="T119">
        <f>ROUND(CU119*I119,0)</f>
        <v/>
      </c>
      <c r="U119">
        <f>ROUND(CV119*I119,7)</f>
        <v/>
      </c>
      <c r="V119">
        <f>ROUND(CW119*I119,7)</f>
        <v/>
      </c>
      <c r="W119">
        <f>ROUND(CX119*I119,0)</f>
        <v/>
      </c>
      <c r="X119">
        <f>ROUND(CY119,0)</f>
        <v/>
      </c>
      <c r="Y119">
        <f>ROUND(CZ119,0)</f>
        <v/>
      </c>
      <c r="AA119" t="n">
        <v>78869116</v>
      </c>
      <c r="AB119">
        <f>ROUND((AC119+AD119+AF119),2)</f>
        <v/>
      </c>
      <c r="AC119">
        <f>ROUND((ES119),2)</f>
        <v/>
      </c>
      <c r="AD119">
        <f>ROUND((((ET119)-(EU119))+AE119),2)</f>
        <v/>
      </c>
      <c r="AE119">
        <f>ROUND((EU119),2)</f>
        <v/>
      </c>
      <c r="AF119">
        <f>ROUND((EV119),2)</f>
        <v/>
      </c>
      <c r="AG119">
        <f>ROUND((AP119),2)</f>
        <v/>
      </c>
      <c r="AH119">
        <f>(EW119)</f>
        <v/>
      </c>
      <c r="AI119">
        <f>(EX119)</f>
        <v/>
      </c>
      <c r="AJ119">
        <f>(AS119)</f>
        <v/>
      </c>
      <c r="AK119" t="n">
        <v>140.69</v>
      </c>
      <c r="AL119" t="n">
        <v>140.69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  <c r="AS119" t="n">
        <v>0.02</v>
      </c>
      <c r="AT119" t="n">
        <v>91</v>
      </c>
      <c r="AU119" t="n">
        <v>48</v>
      </c>
      <c r="AV119" t="n">
        <v>1</v>
      </c>
      <c r="AW119" t="n">
        <v>1</v>
      </c>
      <c r="AZ119" t="n">
        <v>1</v>
      </c>
      <c r="BA119" t="n">
        <v>1</v>
      </c>
      <c r="BB119" t="n">
        <v>1</v>
      </c>
      <c r="BC119" t="n">
        <v>1.69</v>
      </c>
      <c r="BD119" t="inlineStr"/>
      <c r="BE119" t="inlineStr"/>
      <c r="BF119" t="inlineStr"/>
      <c r="BG119" t="inlineStr"/>
      <c r="BH119" t="n">
        <v>3</v>
      </c>
      <c r="BI119" t="n">
        <v>1</v>
      </c>
      <c r="BJ119" t="inlineStr">
        <is>
          <t>ТССЦ Московской обл., 509-6744, приказ Минстроя России №675/пр от 28.02.2017 № 258/пр</t>
        </is>
      </c>
      <c r="BM119" t="n">
        <v>67001</v>
      </c>
      <c r="BN119" t="n">
        <v>0</v>
      </c>
      <c r="BO119" t="inlineStr">
        <is>
          <t>509-6744</t>
        </is>
      </c>
      <c r="BP119" t="n">
        <v>1</v>
      </c>
      <c r="BQ119" t="n">
        <v>6</v>
      </c>
      <c r="BR119" t="n">
        <v>0</v>
      </c>
      <c r="BS119" t="n">
        <v>1</v>
      </c>
      <c r="BT119" t="n">
        <v>1</v>
      </c>
      <c r="BU119" t="n">
        <v>1</v>
      </c>
      <c r="BV119" t="n">
        <v>1</v>
      </c>
      <c r="BW119" t="n">
        <v>1</v>
      </c>
      <c r="BX119" t="n">
        <v>1</v>
      </c>
      <c r="BY119" t="inlineStr"/>
      <c r="BZ119" t="n">
        <v>91</v>
      </c>
      <c r="CA119" t="n">
        <v>48</v>
      </c>
      <c r="CB119" t="inlineStr"/>
      <c r="CE119" t="n">
        <v>12</v>
      </c>
      <c r="CF119" t="n">
        <v>0</v>
      </c>
      <c r="CG119" t="n">
        <v>0</v>
      </c>
      <c r="CM119" t="n">
        <v>0</v>
      </c>
      <c r="CN119" t="inlineStr"/>
      <c r="CO119" t="n">
        <v>0</v>
      </c>
      <c r="CP119">
        <f>(P119+Q119+S119)</f>
        <v/>
      </c>
      <c r="CQ119">
        <f>AC119*BC119</f>
        <v/>
      </c>
      <c r="CR119">
        <f>(ROUND((ROUND(((ET119)*1),0)*BB119),0)+ROUND((ROUND(((AE119-(EU119))*1),0)*BS119),0))</f>
        <v/>
      </c>
      <c r="CS119">
        <f>(ROUND((ROUND(((EU119)*1),0)*BS119),0)+ROUND((ROUND(((AE119-(EU119))*1),0)*BS119),0))</f>
        <v/>
      </c>
      <c r="CT119">
        <f>AF119*BA119</f>
        <v/>
      </c>
      <c r="CU119">
        <f>AG119</f>
        <v/>
      </c>
      <c r="CV119">
        <f>AH119</f>
        <v/>
      </c>
      <c r="CW119">
        <f>AI119</f>
        <v/>
      </c>
      <c r="CX119">
        <f>AJ119</f>
        <v/>
      </c>
      <c r="CY119">
        <f>(((S119+R119)*AT119)/100)</f>
        <v/>
      </c>
      <c r="CZ119">
        <f>(((S119+R119)*AU119)/100)</f>
        <v/>
      </c>
      <c r="DC119" t="inlineStr"/>
      <c r="DD119" t="inlineStr"/>
      <c r="DE119" t="inlineStr"/>
      <c r="DF119" t="inlineStr"/>
      <c r="DG119" t="inlineStr"/>
      <c r="DH119" t="inlineStr"/>
      <c r="DI119" t="inlineStr"/>
      <c r="DJ119" t="inlineStr"/>
      <c r="DK119" t="inlineStr"/>
      <c r="DL119" t="inlineStr"/>
      <c r="DM119" t="inlineStr"/>
      <c r="DN119" t="n">
        <v>0</v>
      </c>
      <c r="DO119" t="n">
        <v>0</v>
      </c>
      <c r="DP119" t="n">
        <v>1</v>
      </c>
      <c r="DQ119" t="n">
        <v>1</v>
      </c>
      <c r="DU119" t="n">
        <v>1010</v>
      </c>
      <c r="DV119" t="inlineStr">
        <is>
          <t>шт.</t>
        </is>
      </c>
      <c r="DW119" t="inlineStr">
        <is>
          <t>шт.</t>
        </is>
      </c>
      <c r="DX119" t="n">
        <v>1</v>
      </c>
      <c r="DZ119" t="inlineStr"/>
      <c r="EA119" t="inlineStr"/>
      <c r="EB119" t="inlineStr"/>
      <c r="EC119" t="inlineStr"/>
      <c r="EE119" t="n">
        <v>78726030</v>
      </c>
      <c r="EF119" t="n">
        <v>6</v>
      </c>
      <c r="EG119" t="inlineStr">
        <is>
          <t>Ремонтно-строительные работы</t>
        </is>
      </c>
      <c r="EH119" t="n">
        <v>101</v>
      </c>
      <c r="EI119" t="inlineStr">
        <is>
          <t>Электромонтажные работы</t>
        </is>
      </c>
      <c r="EJ119" t="n">
        <v>1</v>
      </c>
      <c r="EK119" t="n">
        <v>67001</v>
      </c>
      <c r="EL119" t="inlineStr">
        <is>
          <t>Электромонтажные работы</t>
        </is>
      </c>
      <c r="EM119" t="inlineStr">
        <is>
          <t>рФЕР-67</t>
        </is>
      </c>
      <c r="EO119" t="inlineStr"/>
      <c r="EQ119" t="n">
        <v>0</v>
      </c>
      <c r="ER119" t="n">
        <v>140.69</v>
      </c>
      <c r="ES119" t="n">
        <v>140.69</v>
      </c>
      <c r="ET119" t="n">
        <v>0</v>
      </c>
      <c r="EU119" t="n">
        <v>0</v>
      </c>
      <c r="EV119" t="n">
        <v>0</v>
      </c>
      <c r="EW119" t="n">
        <v>0</v>
      </c>
      <c r="EX119" t="n">
        <v>0</v>
      </c>
      <c r="FQ119" t="n">
        <v>0</v>
      </c>
      <c r="FR119" t="n">
        <v>0</v>
      </c>
      <c r="FS119" t="n">
        <v>0</v>
      </c>
      <c r="FX119" t="n">
        <v>91</v>
      </c>
      <c r="FY119" t="n">
        <v>48</v>
      </c>
      <c r="GA119" t="inlineStr"/>
      <c r="GD119" t="n">
        <v>1</v>
      </c>
      <c r="GF119" t="n">
        <v>-228955380</v>
      </c>
      <c r="GG119" t="n">
        <v>2</v>
      </c>
      <c r="GH119" t="n">
        <v>1</v>
      </c>
      <c r="GI119" t="n">
        <v>2</v>
      </c>
      <c r="GJ119" t="n">
        <v>0</v>
      </c>
      <c r="GK119" t="n">
        <v>0</v>
      </c>
      <c r="GL119">
        <f>ROUND(IF(AND(BH119=3,BI119=3,FS119&lt;&gt;0),P119,0),0)</f>
        <v/>
      </c>
      <c r="GM119">
        <f>ROUND(O119+X119+Y119,0)+GX119</f>
        <v/>
      </c>
      <c r="GN119">
        <f>IF(OR(BI119=0,BI119=1),GM119-GX119,0)</f>
        <v/>
      </c>
      <c r="GO119">
        <f>IF(BI119=2,GM119-GX119,0)</f>
        <v/>
      </c>
      <c r="GP119">
        <f>IF(BI119=4,GM119-GX119,0)</f>
        <v/>
      </c>
      <c r="GR119" t="n">
        <v>0</v>
      </c>
      <c r="GS119" t="n">
        <v>3</v>
      </c>
      <c r="GT119" t="n">
        <v>0</v>
      </c>
      <c r="GU119" t="inlineStr"/>
      <c r="GV119">
        <f>ROUND((GT119),2)</f>
        <v/>
      </c>
      <c r="GW119" t="n">
        <v>1</v>
      </c>
      <c r="GX119">
        <f>ROUND(HC119*I119,0)</f>
        <v/>
      </c>
      <c r="HA119" t="n">
        <v>0</v>
      </c>
      <c r="HB119" t="n">
        <v>0</v>
      </c>
      <c r="HC119">
        <f>GV119*GW119</f>
        <v/>
      </c>
      <c r="HE119" t="inlineStr"/>
      <c r="HF119" t="inlineStr"/>
      <c r="HM119" t="inlineStr"/>
      <c r="HN119" t="inlineStr">
        <is>
          <t>Пр/812-101.0-1</t>
        </is>
      </c>
      <c r="HO119" t="inlineStr">
        <is>
          <t>Пр/774-101.0</t>
        </is>
      </c>
      <c r="HP119" t="inlineStr">
        <is>
          <t>Электромонтажные работы</t>
        </is>
      </c>
      <c r="HQ119" t="inlineStr">
        <is>
          <t>Электромонтажные работы</t>
        </is>
      </c>
      <c r="HS119" t="n">
        <v>0</v>
      </c>
      <c r="IK119" t="n">
        <v>0</v>
      </c>
    </row>
    <row r="120">
      <c r="A120" t="n">
        <v>17</v>
      </c>
      <c r="B120" t="n">
        <v>0</v>
      </c>
      <c r="C120">
        <f>ROW(SmtRes!A77)</f>
        <v/>
      </c>
      <c r="D120">
        <f>ROW(EtalonRes!A73)</f>
        <v/>
      </c>
      <c r="E120" t="inlineStr">
        <is>
          <t>3</t>
        </is>
      </c>
      <c r="F120" t="inlineStr">
        <is>
          <t>16-07-005-1</t>
        </is>
      </c>
      <c r="G12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0" t="inlineStr">
        <is>
          <t>100 м трубопровода</t>
        </is>
      </c>
      <c r="I120">
        <f>ROUND(ROUND(30/100,4),7)</f>
        <v/>
      </c>
      <c r="J120" t="n">
        <v>0</v>
      </c>
      <c r="K120">
        <f>ROUND(ROUND(30/100,4),7)</f>
        <v/>
      </c>
      <c r="O120">
        <f>ROUND(CP120,0)</f>
        <v/>
      </c>
      <c r="P120">
        <f>ROUND(CQ120*I120,0)</f>
        <v/>
      </c>
      <c r="Q120">
        <f>(ROUND((ROUND(((ET120)*I120),0)*BB120),0)+ROUND((ROUND(((AE120-(EU120))*I120),0)*BS120),0))</f>
        <v/>
      </c>
      <c r="R120">
        <f>(ROUND((ROUND(((EU120)*I120),0)*BS120),0)+ROUND((ROUND(((AE120-(EU120))*I120),0)*BS120),0))</f>
        <v/>
      </c>
      <c r="S120">
        <f>ROUND(CT120*I120,0)</f>
        <v/>
      </c>
      <c r="T120">
        <f>ROUND(CU120*I120,0)</f>
        <v/>
      </c>
      <c r="U120">
        <f>ROUND(CV120*I120,7)</f>
        <v/>
      </c>
      <c r="V120">
        <f>ROUND(CW120*I120,7)</f>
        <v/>
      </c>
      <c r="W120">
        <f>ROUND(CX120*I120,0)</f>
        <v/>
      </c>
      <c r="X120">
        <f>ROUND(CY120,0)</f>
        <v/>
      </c>
      <c r="Y120">
        <f>ROUND(CZ120,0)</f>
        <v/>
      </c>
      <c r="AA120" t="n">
        <v>78869116</v>
      </c>
      <c r="AB120">
        <f>ROUND((AC120+AD120+AF120),2)</f>
        <v/>
      </c>
      <c r="AC120">
        <f>ROUND((ES120),2)</f>
        <v/>
      </c>
      <c r="AD120">
        <f>ROUND((((ET120)-(EU120))+AE120),2)</f>
        <v/>
      </c>
      <c r="AE120">
        <f>ROUND((EU120),2)</f>
        <v/>
      </c>
      <c r="AF120">
        <f>ROUND((EV120),2)</f>
        <v/>
      </c>
      <c r="AG120">
        <f>ROUND((AP120),2)</f>
        <v/>
      </c>
      <c r="AH120">
        <f>(EW120)</f>
        <v/>
      </c>
      <c r="AI120">
        <f>(EX120)</f>
        <v/>
      </c>
      <c r="AJ120">
        <f>(AS120)</f>
        <v/>
      </c>
      <c r="AK120" t="n">
        <v>107.11</v>
      </c>
      <c r="AL120" t="n">
        <v>4.28</v>
      </c>
      <c r="AM120" t="n">
        <v>44.51</v>
      </c>
      <c r="AN120" t="n">
        <v>0</v>
      </c>
      <c r="AO120" t="n">
        <v>58.32</v>
      </c>
      <c r="AP120" t="n">
        <v>0</v>
      </c>
      <c r="AQ120" t="n">
        <v>5.01</v>
      </c>
      <c r="AR120" t="n">
        <v>0</v>
      </c>
      <c r="AS120" t="n">
        <v>0</v>
      </c>
      <c r="AT120" t="n">
        <v>121</v>
      </c>
      <c r="AU120" t="n">
        <v>72</v>
      </c>
      <c r="AV120" t="n">
        <v>1</v>
      </c>
      <c r="AW120" t="n">
        <v>1</v>
      </c>
      <c r="AZ120" t="n">
        <v>1</v>
      </c>
      <c r="BA120" t="n">
        <v>52.25</v>
      </c>
      <c r="BB120" t="n">
        <v>5.97</v>
      </c>
      <c r="BC120" t="n">
        <v>11.38</v>
      </c>
      <c r="BD120" t="inlineStr"/>
      <c r="BE120" t="inlineStr"/>
      <c r="BF120" t="inlineStr"/>
      <c r="BG120" t="inlineStr"/>
      <c r="BH120" t="n">
        <v>0</v>
      </c>
      <c r="BI120" t="n">
        <v>1</v>
      </c>
      <c r="BJ120" t="inlineStr">
        <is>
          <t>ТЕР Московской обл., 16-07-005-1, приказ Минстроя России №675/пр от 28.02.2017 № 260/пр</t>
        </is>
      </c>
      <c r="BM120" t="n">
        <v>16001</v>
      </c>
      <c r="BN120" t="n">
        <v>0</v>
      </c>
      <c r="BO120" t="inlineStr">
        <is>
          <t>16-07-005-1</t>
        </is>
      </c>
      <c r="BP120" t="n">
        <v>1</v>
      </c>
      <c r="BQ120" t="n">
        <v>2</v>
      </c>
      <c r="BR120" t="n">
        <v>0</v>
      </c>
      <c r="BS120" t="n">
        <v>52.25</v>
      </c>
      <c r="BT120" t="n">
        <v>1</v>
      </c>
      <c r="BU120" t="n">
        <v>1</v>
      </c>
      <c r="BV120" t="n">
        <v>1</v>
      </c>
      <c r="BW120" t="n">
        <v>1</v>
      </c>
      <c r="BX120" t="n">
        <v>1</v>
      </c>
      <c r="BY120" t="inlineStr"/>
      <c r="BZ120" t="n">
        <v>121</v>
      </c>
      <c r="CA120" t="n">
        <v>72</v>
      </c>
      <c r="CB120" t="inlineStr"/>
      <c r="CE120" t="n">
        <v>12</v>
      </c>
      <c r="CF120" t="n">
        <v>0</v>
      </c>
      <c r="CG120" t="n">
        <v>0</v>
      </c>
      <c r="CM120" t="n">
        <v>0</v>
      </c>
      <c r="CN120" t="inlineStr"/>
      <c r="CO120" t="n">
        <v>0</v>
      </c>
      <c r="CP120">
        <f>(P120+Q120+S120)</f>
        <v/>
      </c>
      <c r="CQ120">
        <f>AC120*BC120</f>
        <v/>
      </c>
      <c r="CR120">
        <f>(ROUND((ROUND(((ET120)*1),0)*BB120),0)+ROUND((ROUND(((AE120-(EU120))*1),0)*BS120),0))</f>
        <v/>
      </c>
      <c r="CS120">
        <f>(ROUND((ROUND(((EU120)*1),0)*BS120),0)+ROUND((ROUND(((AE120-(EU120))*1),0)*BS120),0))</f>
        <v/>
      </c>
      <c r="CT120">
        <f>AF120*BA120</f>
        <v/>
      </c>
      <c r="CU120">
        <f>AG120</f>
        <v/>
      </c>
      <c r="CV120">
        <f>AH120</f>
        <v/>
      </c>
      <c r="CW120">
        <f>AI120</f>
        <v/>
      </c>
      <c r="CX120">
        <f>AJ120</f>
        <v/>
      </c>
      <c r="CY120">
        <f>(((S120+R120)*AT120)/100)</f>
        <v/>
      </c>
      <c r="CZ120">
        <f>(((S120+R120)*AU120)/100)</f>
        <v/>
      </c>
      <c r="DC120" t="inlineStr"/>
      <c r="DD120" t="inlineStr"/>
      <c r="DE120" t="inlineStr"/>
      <c r="DF120" t="inlineStr"/>
      <c r="DG120" t="inlineStr"/>
      <c r="DH120" t="inlineStr"/>
      <c r="DI120" t="inlineStr"/>
      <c r="DJ120" t="inlineStr"/>
      <c r="DK120" t="inlineStr"/>
      <c r="DL120" t="inlineStr"/>
      <c r="DM120" t="inlineStr"/>
      <c r="DN120" t="n">
        <v>0</v>
      </c>
      <c r="DO120" t="n">
        <v>0</v>
      </c>
      <c r="DP120" t="n">
        <v>1</v>
      </c>
      <c r="DQ120" t="n">
        <v>1</v>
      </c>
      <c r="DU120" t="n">
        <v>1013</v>
      </c>
      <c r="DV120" t="inlineStr">
        <is>
          <t>100 м трубопровода</t>
        </is>
      </c>
      <c r="DW120" t="inlineStr">
        <is>
          <t>100 м трубопровода</t>
        </is>
      </c>
      <c r="DX120" t="n">
        <v>1</v>
      </c>
      <c r="DZ120" t="inlineStr"/>
      <c r="EA120" t="inlineStr"/>
      <c r="EB120" t="inlineStr"/>
      <c r="EC120" t="inlineStr"/>
      <c r="EE120" t="n">
        <v>78725882</v>
      </c>
      <c r="EF120" t="n">
        <v>2</v>
      </c>
      <c r="EG120" t="inlineStr">
        <is>
          <t>Общестроительные работы</t>
        </is>
      </c>
      <c r="EH120" t="n">
        <v>16</v>
      </c>
      <c r="EI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0" t="n">
        <v>1</v>
      </c>
      <c r="EK120" t="n">
        <v>16001</v>
      </c>
      <c r="EL120" t="inlineStr">
        <is>
          <t>Трубопроводы внутренние</t>
        </is>
      </c>
      <c r="EM120" t="inlineStr">
        <is>
          <t>ФЕР-16</t>
        </is>
      </c>
      <c r="EO120" t="inlineStr"/>
      <c r="EQ120" t="n">
        <v>0</v>
      </c>
      <c r="ER120" t="n">
        <v>107.11</v>
      </c>
      <c r="ES120" t="n">
        <v>4.28</v>
      </c>
      <c r="ET120" t="n">
        <v>44.51</v>
      </c>
      <c r="EU120" t="n">
        <v>0</v>
      </c>
      <c r="EV120" t="n">
        <v>58.32</v>
      </c>
      <c r="EW120" t="n">
        <v>5.01</v>
      </c>
      <c r="EX120" t="n">
        <v>0</v>
      </c>
      <c r="EY120" t="n">
        <v>0</v>
      </c>
      <c r="FQ120" t="n">
        <v>0</v>
      </c>
      <c r="FR120" t="n">
        <v>0</v>
      </c>
      <c r="FS120" t="n">
        <v>0</v>
      </c>
      <c r="FX120" t="n">
        <v>121</v>
      </c>
      <c r="FY120" t="n">
        <v>72</v>
      </c>
      <c r="GA120" t="inlineStr"/>
      <c r="GD120" t="n">
        <v>1</v>
      </c>
      <c r="GF120" t="n">
        <v>635989612</v>
      </c>
      <c r="GG120" t="n">
        <v>2</v>
      </c>
      <c r="GH120" t="n">
        <v>1</v>
      </c>
      <c r="GI120" t="n">
        <v>2</v>
      </c>
      <c r="GJ120" t="n">
        <v>0</v>
      </c>
      <c r="GK120" t="n">
        <v>0</v>
      </c>
      <c r="GL120">
        <f>ROUND(IF(AND(BH120=3,BI120=3,FS120&lt;&gt;0),P120,0),0)</f>
        <v/>
      </c>
      <c r="GM120">
        <f>ROUND(O120+X120+Y120,0)+GX120</f>
        <v/>
      </c>
      <c r="GN120">
        <f>IF(OR(BI120=0,BI120=1),GM120-GX120,0)</f>
        <v/>
      </c>
      <c r="GO120">
        <f>IF(BI120=2,GM120-GX120,0)</f>
        <v/>
      </c>
      <c r="GP120">
        <f>IF(BI120=4,GM120-GX120,0)</f>
        <v/>
      </c>
      <c r="GR120" t="n">
        <v>0</v>
      </c>
      <c r="GS120" t="n">
        <v>3</v>
      </c>
      <c r="GT120" t="n">
        <v>0</v>
      </c>
      <c r="GU120" t="inlineStr"/>
      <c r="GV120">
        <f>ROUND((GT120),2)</f>
        <v/>
      </c>
      <c r="GW120" t="n">
        <v>1</v>
      </c>
      <c r="GX120">
        <f>ROUND(HC120*I120,0)</f>
        <v/>
      </c>
      <c r="HA120" t="n">
        <v>0</v>
      </c>
      <c r="HB120" t="n">
        <v>0</v>
      </c>
      <c r="HC120">
        <f>GV120*GW120</f>
        <v/>
      </c>
      <c r="HE120" t="inlineStr"/>
      <c r="HF120" t="inlineStr"/>
      <c r="HM120" t="inlineStr"/>
      <c r="HN120" t="inlineStr">
        <is>
          <t>Пр/812-016.0-1</t>
        </is>
      </c>
      <c r="HO120" t="inlineStr">
        <is>
          <t>Пр/774-016.0</t>
        </is>
      </c>
      <c r="HP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0" t="n">
        <v>0</v>
      </c>
      <c r="IK120" t="n">
        <v>0</v>
      </c>
    </row>
    <row r="121"/>
    <row r="122">
      <c r="A122" s="402" t="n">
        <v>51</v>
      </c>
      <c r="B122" s="402">
        <f>B113</f>
        <v/>
      </c>
      <c r="C122" s="402">
        <f>A113</f>
        <v/>
      </c>
      <c r="D122" s="402">
        <f>ROW(A113)</f>
        <v/>
      </c>
      <c r="E122" s="402" t="n"/>
      <c r="F122" s="402">
        <f>IF(F113&lt;&gt;"",F113,"")</f>
        <v/>
      </c>
      <c r="G122" s="402">
        <f>IF(G113&lt;&gt;"",G113,"")</f>
        <v/>
      </c>
      <c r="H122" s="402" t="n">
        <v>0</v>
      </c>
      <c r="I122" s="402" t="n"/>
      <c r="J122" s="402" t="n"/>
      <c r="K122" s="402" t="n"/>
      <c r="L122" s="402" t="n"/>
      <c r="M122" s="402" t="n"/>
      <c r="N122" s="402" t="n"/>
      <c r="O122" s="402" t="n">
        <v>0</v>
      </c>
      <c r="P122" s="402" t="n">
        <v>0</v>
      </c>
      <c r="Q122" s="402" t="n">
        <v>0</v>
      </c>
      <c r="R122" s="402" t="n">
        <v>0</v>
      </c>
      <c r="S122" s="402" t="n">
        <v>0</v>
      </c>
      <c r="T122" s="402" t="n">
        <v>0</v>
      </c>
      <c r="U122" s="402" t="n">
        <v>0</v>
      </c>
      <c r="V122" s="402" t="n">
        <v>0</v>
      </c>
      <c r="W122" s="402" t="n">
        <v>0</v>
      </c>
      <c r="X122" s="402" t="n">
        <v>0</v>
      </c>
      <c r="Y122" s="402" t="n">
        <v>0</v>
      </c>
      <c r="Z122" s="402" t="n"/>
      <c r="AA122" s="402" t="n"/>
      <c r="AB122" s="402" t="n"/>
      <c r="AC122" s="402" t="n"/>
      <c r="AD122" s="402" t="n"/>
      <c r="AE122" s="402" t="n"/>
      <c r="AF122" s="402" t="n"/>
      <c r="AG122" s="402" t="n"/>
      <c r="AH122" s="402" t="n"/>
      <c r="AI122" s="402" t="n"/>
      <c r="AJ122" s="402" t="n"/>
      <c r="AK122" s="402" t="n"/>
      <c r="AL122" s="402" t="n"/>
      <c r="AM122" s="402" t="n"/>
      <c r="AN122" s="402" t="n"/>
      <c r="AO122" s="402">
        <f>ROUND(BX122,0)</f>
        <v/>
      </c>
      <c r="AP122" s="402">
        <f>ROUND(BY122,0)</f>
        <v/>
      </c>
      <c r="AQ122" s="402">
        <f>ROUND(BZ122,0)</f>
        <v/>
      </c>
      <c r="AR122" s="402">
        <f>ROUND(CA122,0)</f>
        <v/>
      </c>
      <c r="AS122" s="402">
        <f>ROUND(CB122,0)</f>
        <v/>
      </c>
      <c r="AT122" s="402">
        <f>ROUND(CC122,0)</f>
        <v/>
      </c>
      <c r="AU122" s="402">
        <f>ROUND(CD122,0)</f>
        <v/>
      </c>
      <c r="AV122" s="402">
        <f>ROUND(CE122,0)</f>
        <v/>
      </c>
      <c r="AW122" s="402">
        <f>ROUND(CF122,0)</f>
        <v/>
      </c>
      <c r="AX122" s="402">
        <f>ROUND(CG122,0)</f>
        <v/>
      </c>
      <c r="AY122" s="402">
        <f>ROUND(CH122,0)</f>
        <v/>
      </c>
      <c r="AZ122" s="402">
        <f>ROUND(CI122,0)</f>
        <v/>
      </c>
      <c r="BA122" s="402">
        <f>ROUND(CJ122,0)</f>
        <v/>
      </c>
      <c r="BB122" s="402">
        <f>ROUND(CK122,0)</f>
        <v/>
      </c>
      <c r="BC122" s="402">
        <f>ROUND(CL122,0)</f>
        <v/>
      </c>
      <c r="BD122" s="402">
        <f>ROUND(CM122,0)</f>
        <v/>
      </c>
      <c r="BE122" s="402" t="n"/>
      <c r="BF122" s="402" t="n"/>
      <c r="BG122" s="402" t="n"/>
      <c r="BH122" s="402" t="n"/>
      <c r="BI122" s="402" t="n"/>
      <c r="BJ122" s="402" t="n"/>
      <c r="BK122" s="402" t="n"/>
      <c r="BL122" s="402" t="n"/>
      <c r="BM122" s="402" t="n"/>
      <c r="BN122" s="402" t="n"/>
      <c r="BO122" s="402" t="n"/>
      <c r="BP122" s="402" t="n"/>
      <c r="BQ122" s="402" t="n"/>
      <c r="BR122" s="402" t="n"/>
      <c r="BS122" s="402" t="n"/>
      <c r="BT122" s="402" t="n"/>
      <c r="BU122" s="402" t="n"/>
      <c r="BV122" s="402" t="n"/>
      <c r="BW122" s="402" t="n"/>
      <c r="BX122" s="402" t="n"/>
      <c r="BY122" s="402" t="n"/>
      <c r="BZ122" s="402" t="n"/>
      <c r="CA122" s="402" t="n"/>
      <c r="CB122" s="402" t="n"/>
      <c r="CC122" s="402" t="n"/>
      <c r="CD122" s="402" t="n"/>
      <c r="CE122" s="402" t="n"/>
      <c r="CF122" s="402" t="n"/>
      <c r="CG122" s="402" t="n"/>
      <c r="CH122" s="402" t="n"/>
      <c r="CI122" s="402" t="n"/>
      <c r="CJ122" s="402" t="n"/>
      <c r="CK122" s="402" t="n"/>
      <c r="CL122" s="402" t="n"/>
      <c r="CM122" s="402" t="n"/>
      <c r="CN122" s="402" t="n"/>
      <c r="CO122" s="402" t="n"/>
      <c r="CP122" s="402" t="n"/>
      <c r="CQ122" s="402" t="n"/>
      <c r="CR122" s="402" t="n"/>
      <c r="CS122" s="402" t="n"/>
      <c r="CT122" s="402" t="n"/>
      <c r="CU122" s="402" t="n"/>
      <c r="CV122" s="402" t="n"/>
      <c r="CW122" s="402" t="n"/>
      <c r="CX122" s="402" t="n"/>
      <c r="CY122" s="402" t="n"/>
      <c r="CZ122" s="402" t="n"/>
      <c r="DA122" s="402" t="n"/>
      <c r="DB122" s="402" t="n"/>
      <c r="DC122" s="402" t="n"/>
      <c r="DD122" s="402" t="n"/>
      <c r="DE122" s="402" t="n"/>
      <c r="DF122" s="402" t="n"/>
      <c r="DG122" s="403" t="n"/>
      <c r="DH122" s="403" t="n"/>
      <c r="DI122" s="403" t="n"/>
      <c r="DJ122" s="403" t="n"/>
      <c r="DK122" s="403" t="n"/>
      <c r="DL122" s="403" t="n"/>
      <c r="DM122" s="403" t="n"/>
      <c r="DN122" s="403" t="n"/>
      <c r="DO122" s="403" t="n"/>
      <c r="DP122" s="403" t="n"/>
      <c r="DQ122" s="403" t="n"/>
      <c r="DR122" s="403" t="n"/>
      <c r="DS122" s="403" t="n"/>
      <c r="DT122" s="403" t="n"/>
      <c r="DU122" s="403" t="n"/>
      <c r="DV122" s="403" t="n"/>
      <c r="DW122" s="403" t="n"/>
      <c r="DX122" s="403" t="n"/>
      <c r="DY122" s="403" t="n"/>
      <c r="DZ122" s="403" t="n"/>
      <c r="EA122" s="403" t="n"/>
      <c r="EB122" s="403" t="n"/>
      <c r="EC122" s="403" t="n"/>
      <c r="ED122" s="403" t="n"/>
      <c r="EE122" s="403" t="n"/>
      <c r="EF122" s="403" t="n"/>
      <c r="EG122" s="403" t="n"/>
      <c r="EH122" s="403" t="n"/>
      <c r="EI122" s="403" t="n"/>
      <c r="EJ122" s="403" t="n"/>
      <c r="EK122" s="403" t="n"/>
      <c r="EL122" s="403" t="n"/>
      <c r="EM122" s="403" t="n"/>
      <c r="EN122" s="403" t="n"/>
      <c r="EO122" s="403" t="n"/>
      <c r="EP122" s="403" t="n"/>
      <c r="EQ122" s="403" t="n"/>
      <c r="ER122" s="403" t="n"/>
      <c r="ES122" s="403" t="n"/>
      <c r="ET122" s="403" t="n"/>
      <c r="EU122" s="403" t="n"/>
      <c r="EV122" s="403" t="n"/>
      <c r="EW122" s="403" t="n"/>
      <c r="EX122" s="403" t="n"/>
      <c r="EY122" s="403" t="n"/>
      <c r="EZ122" s="403" t="n"/>
      <c r="FA122" s="403" t="n"/>
      <c r="FB122" s="403" t="n"/>
      <c r="FC122" s="403" t="n"/>
      <c r="FD122" s="403" t="n"/>
      <c r="FE122" s="403" t="n"/>
      <c r="FF122" s="403" t="n"/>
      <c r="FG122" s="403" t="n"/>
      <c r="FH122" s="403" t="n"/>
      <c r="FI122" s="403" t="n"/>
      <c r="FJ122" s="403" t="n"/>
      <c r="FK122" s="403" t="n"/>
      <c r="FL122" s="403" t="n"/>
      <c r="FM122" s="403" t="n"/>
      <c r="FN122" s="403" t="n"/>
      <c r="FO122" s="403" t="n"/>
      <c r="FP122" s="403" t="n"/>
      <c r="FQ122" s="403" t="n"/>
      <c r="FR122" s="403" t="n"/>
      <c r="FS122" s="403" t="n"/>
      <c r="FT122" s="403" t="n"/>
      <c r="FU122" s="403" t="n"/>
      <c r="FV122" s="403" t="n"/>
      <c r="FW122" s="403" t="n"/>
      <c r="FX122" s="403" t="n"/>
      <c r="FY122" s="403" t="n"/>
      <c r="FZ122" s="403" t="n"/>
      <c r="GA122" s="403" t="n"/>
      <c r="GB122" s="403" t="n"/>
      <c r="GC122" s="403" t="n"/>
      <c r="GD122" s="403" t="n"/>
      <c r="GE122" s="403" t="n"/>
      <c r="GF122" s="403" t="n"/>
      <c r="GG122" s="403" t="n"/>
      <c r="GH122" s="403" t="n"/>
      <c r="GI122" s="403" t="n"/>
      <c r="GJ122" s="403" t="n"/>
      <c r="GK122" s="403" t="n"/>
      <c r="GL122" s="403" t="n"/>
      <c r="GM122" s="403" t="n"/>
      <c r="GN122" s="403" t="n"/>
      <c r="GO122" s="403" t="n"/>
      <c r="GP122" s="403" t="n"/>
      <c r="GQ122" s="403" t="n"/>
      <c r="GR122" s="403" t="n"/>
      <c r="GS122" s="403" t="n"/>
      <c r="GT122" s="403" t="n"/>
      <c r="GU122" s="403" t="n"/>
      <c r="GV122" s="403" t="n"/>
      <c r="GW122" s="403" t="n"/>
      <c r="GX122" s="403" t="n">
        <v>0</v>
      </c>
    </row>
    <row r="123"/>
    <row r="124">
      <c r="A124" s="404" t="n">
        <v>50</v>
      </c>
      <c r="B124" s="404" t="n">
        <v>0</v>
      </c>
      <c r="C124" s="404" t="n">
        <v>0</v>
      </c>
      <c r="D124" s="404" t="n">
        <v>1</v>
      </c>
      <c r="E124" s="404" t="n">
        <v>201</v>
      </c>
      <c r="F124" s="404">
        <f>ROUND(Source!O122,O124)</f>
        <v/>
      </c>
      <c r="G124" s="404" t="inlineStr">
        <is>
          <t>ПЗ</t>
        </is>
      </c>
      <c r="H124" s="404" t="inlineStr">
        <is>
          <t>Прямые затраты</t>
        </is>
      </c>
      <c r="I124" s="404" t="n"/>
      <c r="J124" s="404" t="n"/>
      <c r="K124" s="404" t="n">
        <v>201</v>
      </c>
      <c r="L124" s="404" t="n">
        <v>1</v>
      </c>
      <c r="M124" s="404" t="n">
        <v>3</v>
      </c>
      <c r="N124" s="404" t="inlineStr"/>
      <c r="O124" s="404" t="n">
        <v>0</v>
      </c>
      <c r="P124" s="404" t="n"/>
      <c r="Q124" s="404" t="n"/>
      <c r="R124" s="404" t="n"/>
      <c r="S124" s="404" t="n"/>
      <c r="T124" s="404" t="n"/>
      <c r="U124" s="404" t="n"/>
      <c r="V124" s="404" t="n"/>
      <c r="W124" s="404" t="n">
        <v>0</v>
      </c>
      <c r="X124" s="404" t="n">
        <v>1</v>
      </c>
      <c r="Y124" s="404" t="n">
        <v>0</v>
      </c>
      <c r="Z124" s="404" t="n"/>
      <c r="AA124" s="404" t="n"/>
      <c r="AB124" s="404" t="n"/>
    </row>
    <row r="125">
      <c r="A125" s="404" t="n">
        <v>50</v>
      </c>
      <c r="B125" s="404" t="n">
        <v>0</v>
      </c>
      <c r="C125" s="404" t="n">
        <v>0</v>
      </c>
      <c r="D125" s="404" t="n">
        <v>1</v>
      </c>
      <c r="E125" s="404" t="n">
        <v>202</v>
      </c>
      <c r="F125" s="404">
        <f>ROUND(Source!P122,O125)</f>
        <v/>
      </c>
      <c r="G125" s="404" t="inlineStr">
        <is>
          <t>СтМатОб</t>
        </is>
      </c>
      <c r="H125" s="404" t="inlineStr">
        <is>
          <t>Стоимость материальных ресурсов (всего)</t>
        </is>
      </c>
      <c r="I125" s="404" t="n"/>
      <c r="J125" s="404" t="n"/>
      <c r="K125" s="404" t="n">
        <v>202</v>
      </c>
      <c r="L125" s="404" t="n">
        <v>2</v>
      </c>
      <c r="M125" s="404" t="n">
        <v>3</v>
      </c>
      <c r="N125" s="404" t="inlineStr"/>
      <c r="O125" s="404" t="n">
        <v>0</v>
      </c>
      <c r="P125" s="404" t="n"/>
      <c r="Q125" s="404" t="n"/>
      <c r="R125" s="404" t="n"/>
      <c r="S125" s="404" t="n"/>
      <c r="T125" s="404" t="n"/>
      <c r="U125" s="404" t="n"/>
      <c r="V125" s="404" t="n"/>
      <c r="W125" s="404" t="n">
        <v>0</v>
      </c>
      <c r="X125" s="404" t="n">
        <v>1</v>
      </c>
      <c r="Y125" s="404" t="n">
        <v>0</v>
      </c>
      <c r="Z125" s="404" t="n"/>
      <c r="AA125" s="404" t="n"/>
      <c r="AB125" s="404" t="n"/>
    </row>
    <row r="126">
      <c r="A126" s="404" t="n">
        <v>50</v>
      </c>
      <c r="B126" s="404" t="n">
        <v>0</v>
      </c>
      <c r="C126" s="404" t="n">
        <v>0</v>
      </c>
      <c r="D126" s="404" t="n">
        <v>1</v>
      </c>
      <c r="E126" s="404" t="n">
        <v>222</v>
      </c>
      <c r="F126" s="404">
        <f>ROUND(Source!AO122,O126)</f>
        <v/>
      </c>
      <c r="G126" s="404" t="inlineStr">
        <is>
          <t>СтМатОбЗак</t>
        </is>
      </c>
      <c r="H126" s="404" t="inlineStr">
        <is>
          <t>Стоимость материалов и оборудования заказчика</t>
        </is>
      </c>
      <c r="I126" s="404" t="n"/>
      <c r="J126" s="404" t="n"/>
      <c r="K126" s="404" t="n">
        <v>222</v>
      </c>
      <c r="L126" s="404" t="n">
        <v>3</v>
      </c>
      <c r="M126" s="404" t="n">
        <v>3</v>
      </c>
      <c r="N126" s="404" t="inlineStr"/>
      <c r="O126" s="404" t="n">
        <v>0</v>
      </c>
      <c r="P126" s="404" t="n"/>
      <c r="Q126" s="404" t="n"/>
      <c r="R126" s="404" t="n"/>
      <c r="S126" s="404" t="n"/>
      <c r="T126" s="404" t="n"/>
      <c r="U126" s="404" t="n"/>
      <c r="V126" s="404" t="n"/>
      <c r="W126" s="404" t="n">
        <v>0</v>
      </c>
      <c r="X126" s="404" t="n">
        <v>1</v>
      </c>
      <c r="Y126" s="404" t="n">
        <v>0</v>
      </c>
      <c r="Z126" s="404" t="n"/>
      <c r="AA126" s="404" t="n"/>
      <c r="AB126" s="404" t="n"/>
    </row>
    <row r="127">
      <c r="A127" s="404" t="n">
        <v>50</v>
      </c>
      <c r="B127" s="404" t="n">
        <v>0</v>
      </c>
      <c r="C127" s="404" t="n">
        <v>0</v>
      </c>
      <c r="D127" s="404" t="n">
        <v>1</v>
      </c>
      <c r="E127" s="404" t="n">
        <v>225</v>
      </c>
      <c r="F127" s="404">
        <f>ROUND(Source!AV122,O127)</f>
        <v/>
      </c>
      <c r="G127" s="404" t="inlineStr">
        <is>
          <t>СтМатОбПод</t>
        </is>
      </c>
      <c r="H127" s="404" t="inlineStr">
        <is>
          <t>Стоимость материалов и оборудования подрядчика</t>
        </is>
      </c>
      <c r="I127" s="404" t="n"/>
      <c r="J127" s="404" t="n"/>
      <c r="K127" s="404" t="n">
        <v>225</v>
      </c>
      <c r="L127" s="404" t="n">
        <v>4</v>
      </c>
      <c r="M127" s="404" t="n">
        <v>3</v>
      </c>
      <c r="N127" s="404" t="inlineStr"/>
      <c r="O127" s="404" t="n">
        <v>0</v>
      </c>
      <c r="P127" s="404" t="n"/>
      <c r="Q127" s="404" t="n"/>
      <c r="R127" s="404" t="n"/>
      <c r="S127" s="404" t="n"/>
      <c r="T127" s="404" t="n"/>
      <c r="U127" s="404" t="n"/>
      <c r="V127" s="404" t="n"/>
      <c r="W127" s="404" t="n">
        <v>0</v>
      </c>
      <c r="X127" s="404" t="n">
        <v>1</v>
      </c>
      <c r="Y127" s="404" t="n">
        <v>0</v>
      </c>
      <c r="Z127" s="404" t="n"/>
      <c r="AA127" s="404" t="n"/>
      <c r="AB127" s="404" t="n"/>
    </row>
    <row r="128">
      <c r="A128" s="404" t="n">
        <v>50</v>
      </c>
      <c r="B128" s="404" t="n">
        <v>0</v>
      </c>
      <c r="C128" s="404" t="n">
        <v>0</v>
      </c>
      <c r="D128" s="404" t="n">
        <v>1</v>
      </c>
      <c r="E128" s="404" t="n">
        <v>226</v>
      </c>
      <c r="F128" s="404">
        <f>ROUND(Source!AW122,O128)</f>
        <v/>
      </c>
      <c r="G128" s="404" t="inlineStr">
        <is>
          <t>СтМат</t>
        </is>
      </c>
      <c r="H128" s="404" t="inlineStr">
        <is>
          <t>Стоимость материалов (всего)</t>
        </is>
      </c>
      <c r="I128" s="404" t="n"/>
      <c r="J128" s="404" t="n"/>
      <c r="K128" s="404" t="n">
        <v>226</v>
      </c>
      <c r="L128" s="404" t="n">
        <v>5</v>
      </c>
      <c r="M128" s="404" t="n">
        <v>3</v>
      </c>
      <c r="N128" s="404" t="inlineStr"/>
      <c r="O128" s="404" t="n">
        <v>0</v>
      </c>
      <c r="P128" s="404" t="n"/>
      <c r="Q128" s="404" t="n"/>
      <c r="R128" s="404" t="n"/>
      <c r="S128" s="404" t="n"/>
      <c r="T128" s="404" t="n"/>
      <c r="U128" s="404" t="n"/>
      <c r="V128" s="404" t="n"/>
      <c r="W128" s="404" t="n">
        <v>0</v>
      </c>
      <c r="X128" s="404" t="n">
        <v>1</v>
      </c>
      <c r="Y128" s="404" t="n">
        <v>0</v>
      </c>
      <c r="Z128" s="404" t="n"/>
      <c r="AA128" s="404" t="n"/>
      <c r="AB128" s="404" t="n"/>
    </row>
    <row r="129">
      <c r="A129" s="404" t="n">
        <v>50</v>
      </c>
      <c r="B129" s="404" t="n">
        <v>0</v>
      </c>
      <c r="C129" s="404" t="n">
        <v>0</v>
      </c>
      <c r="D129" s="404" t="n">
        <v>1</v>
      </c>
      <c r="E129" s="404" t="n">
        <v>227</v>
      </c>
      <c r="F129" s="404">
        <f>ROUND(Source!AX122,O129)</f>
        <v/>
      </c>
      <c r="G129" s="404" t="inlineStr">
        <is>
          <t>СтМатЗак</t>
        </is>
      </c>
      <c r="H129" s="404" t="inlineStr">
        <is>
          <t>Стоимость материалов заказчика</t>
        </is>
      </c>
      <c r="I129" s="404" t="n"/>
      <c r="J129" s="404" t="n"/>
      <c r="K129" s="404" t="n">
        <v>227</v>
      </c>
      <c r="L129" s="404" t="n">
        <v>6</v>
      </c>
      <c r="M129" s="404" t="n">
        <v>3</v>
      </c>
      <c r="N129" s="404" t="inlineStr"/>
      <c r="O129" s="404" t="n">
        <v>0</v>
      </c>
      <c r="P129" s="404" t="n"/>
      <c r="Q129" s="404" t="n"/>
      <c r="R129" s="404" t="n"/>
      <c r="S129" s="404" t="n"/>
      <c r="T129" s="404" t="n"/>
      <c r="U129" s="404" t="n"/>
      <c r="V129" s="404" t="n"/>
      <c r="W129" s="404" t="n">
        <v>0</v>
      </c>
      <c r="X129" s="404" t="n">
        <v>1</v>
      </c>
      <c r="Y129" s="404" t="n">
        <v>0</v>
      </c>
      <c r="Z129" s="404" t="n"/>
      <c r="AA129" s="404" t="n"/>
      <c r="AB129" s="404" t="n"/>
    </row>
    <row r="130">
      <c r="A130" s="404" t="n">
        <v>50</v>
      </c>
      <c r="B130" s="404" t="n">
        <v>0</v>
      </c>
      <c r="C130" s="404" t="n">
        <v>0</v>
      </c>
      <c r="D130" s="404" t="n">
        <v>1</v>
      </c>
      <c r="E130" s="404" t="n">
        <v>228</v>
      </c>
      <c r="F130" s="404">
        <f>ROUND(Source!AY122,O130)</f>
        <v/>
      </c>
      <c r="G130" s="404" t="inlineStr">
        <is>
          <t>СтМатПод</t>
        </is>
      </c>
      <c r="H130" s="404" t="inlineStr">
        <is>
          <t>Стоимость материалов подрядчика</t>
        </is>
      </c>
      <c r="I130" s="404" t="n"/>
      <c r="J130" s="404" t="n"/>
      <c r="K130" s="404" t="n">
        <v>228</v>
      </c>
      <c r="L130" s="404" t="n">
        <v>7</v>
      </c>
      <c r="M130" s="404" t="n">
        <v>3</v>
      </c>
      <c r="N130" s="404" t="inlineStr"/>
      <c r="O130" s="404" t="n">
        <v>0</v>
      </c>
      <c r="P130" s="404" t="n"/>
      <c r="Q130" s="404" t="n"/>
      <c r="R130" s="404" t="n"/>
      <c r="S130" s="404" t="n"/>
      <c r="T130" s="404" t="n"/>
      <c r="U130" s="404" t="n"/>
      <c r="V130" s="404" t="n"/>
      <c r="W130" s="404" t="n">
        <v>0</v>
      </c>
      <c r="X130" s="404" t="n">
        <v>1</v>
      </c>
      <c r="Y130" s="404" t="n">
        <v>0</v>
      </c>
      <c r="Z130" s="404" t="n"/>
      <c r="AA130" s="404" t="n"/>
      <c r="AB130" s="404" t="n"/>
    </row>
    <row r="131">
      <c r="A131" s="404" t="n">
        <v>50</v>
      </c>
      <c r="B131" s="404" t="n">
        <v>0</v>
      </c>
      <c r="C131" s="404" t="n">
        <v>0</v>
      </c>
      <c r="D131" s="404" t="n">
        <v>1</v>
      </c>
      <c r="E131" s="404" t="n">
        <v>216</v>
      </c>
      <c r="F131" s="404">
        <f>ROUND(Source!AP122,O131)</f>
        <v/>
      </c>
      <c r="G131" s="404" t="inlineStr">
        <is>
          <t>Оборуд</t>
        </is>
      </c>
      <c r="H131" s="404" t="inlineStr">
        <is>
          <t>Стоимость оборудования (всего)</t>
        </is>
      </c>
      <c r="I131" s="404" t="n"/>
      <c r="J131" s="404" t="n"/>
      <c r="K131" s="404" t="n">
        <v>216</v>
      </c>
      <c r="L131" s="404" t="n">
        <v>8</v>
      </c>
      <c r="M131" s="404" t="n">
        <v>3</v>
      </c>
      <c r="N131" s="404" t="inlineStr"/>
      <c r="O131" s="404" t="n">
        <v>0</v>
      </c>
      <c r="P131" s="404" t="n"/>
      <c r="Q131" s="404" t="n"/>
      <c r="R131" s="404" t="n"/>
      <c r="S131" s="404" t="n"/>
      <c r="T131" s="404" t="n"/>
      <c r="U131" s="404" t="n"/>
      <c r="V131" s="404" t="n"/>
      <c r="W131" s="404" t="n">
        <v>0</v>
      </c>
      <c r="X131" s="404" t="n">
        <v>1</v>
      </c>
      <c r="Y131" s="404" t="n">
        <v>0</v>
      </c>
      <c r="Z131" s="404" t="n"/>
      <c r="AA131" s="404" t="n"/>
      <c r="AB131" s="404" t="n"/>
    </row>
    <row r="132">
      <c r="A132" s="404" t="n">
        <v>50</v>
      </c>
      <c r="B132" s="404" t="n">
        <v>0</v>
      </c>
      <c r="C132" s="404" t="n">
        <v>0</v>
      </c>
      <c r="D132" s="404" t="n">
        <v>1</v>
      </c>
      <c r="E132" s="404" t="n">
        <v>223</v>
      </c>
      <c r="F132" s="404">
        <f>ROUND(Source!AQ122,O132)</f>
        <v/>
      </c>
      <c r="G132" s="404" t="inlineStr">
        <is>
          <t>ОборудЗак</t>
        </is>
      </c>
      <c r="H132" s="404" t="inlineStr">
        <is>
          <t>Стоимость оборудования заказчика</t>
        </is>
      </c>
      <c r="I132" s="404" t="n"/>
      <c r="J132" s="404" t="n"/>
      <c r="K132" s="404" t="n">
        <v>223</v>
      </c>
      <c r="L132" s="404" t="n">
        <v>9</v>
      </c>
      <c r="M132" s="404" t="n">
        <v>3</v>
      </c>
      <c r="N132" s="404" t="inlineStr"/>
      <c r="O132" s="404" t="n">
        <v>0</v>
      </c>
      <c r="P132" s="404" t="n"/>
      <c r="Q132" s="404" t="n"/>
      <c r="R132" s="404" t="n"/>
      <c r="S132" s="404" t="n"/>
      <c r="T132" s="404" t="n"/>
      <c r="U132" s="404" t="n"/>
      <c r="V132" s="404" t="n"/>
      <c r="W132" s="404" t="n">
        <v>0</v>
      </c>
      <c r="X132" s="404" t="n">
        <v>1</v>
      </c>
      <c r="Y132" s="404" t="n">
        <v>0</v>
      </c>
      <c r="Z132" s="404" t="n"/>
      <c r="AA132" s="404" t="n"/>
      <c r="AB132" s="404" t="n"/>
    </row>
    <row r="133">
      <c r="A133" s="404" t="n">
        <v>50</v>
      </c>
      <c r="B133" s="404" t="n">
        <v>0</v>
      </c>
      <c r="C133" s="404" t="n">
        <v>0</v>
      </c>
      <c r="D133" s="404" t="n">
        <v>1</v>
      </c>
      <c r="E133" s="404" t="n">
        <v>229</v>
      </c>
      <c r="F133" s="404">
        <f>ROUND(Source!AZ122,O133)</f>
        <v/>
      </c>
      <c r="G133" s="404" t="inlineStr">
        <is>
          <t>ОборудПод</t>
        </is>
      </c>
      <c r="H133" s="404" t="inlineStr">
        <is>
          <t>Стоимость оборудования подрядчика</t>
        </is>
      </c>
      <c r="I133" s="404" t="n"/>
      <c r="J133" s="404" t="n"/>
      <c r="K133" s="404" t="n">
        <v>229</v>
      </c>
      <c r="L133" s="404" t="n">
        <v>10</v>
      </c>
      <c r="M133" s="404" t="n">
        <v>3</v>
      </c>
      <c r="N133" s="404" t="inlineStr"/>
      <c r="O133" s="404" t="n">
        <v>0</v>
      </c>
      <c r="P133" s="404" t="n"/>
      <c r="Q133" s="404" t="n"/>
      <c r="R133" s="404" t="n"/>
      <c r="S133" s="404" t="n"/>
      <c r="T133" s="404" t="n"/>
      <c r="U133" s="404" t="n"/>
      <c r="V133" s="404" t="n"/>
      <c r="W133" s="404" t="n">
        <v>0</v>
      </c>
      <c r="X133" s="404" t="n">
        <v>1</v>
      </c>
      <c r="Y133" s="404" t="n">
        <v>0</v>
      </c>
      <c r="Z133" s="404" t="n"/>
      <c r="AA133" s="404" t="n"/>
      <c r="AB133" s="404" t="n"/>
    </row>
    <row r="134">
      <c r="A134" s="404" t="n">
        <v>50</v>
      </c>
      <c r="B134" s="404" t="n">
        <v>0</v>
      </c>
      <c r="C134" s="404" t="n">
        <v>0</v>
      </c>
      <c r="D134" s="404" t="n">
        <v>1</v>
      </c>
      <c r="E134" s="404" t="n">
        <v>203</v>
      </c>
      <c r="F134" s="404">
        <f>ROUND(Source!Q122,O134)</f>
        <v/>
      </c>
      <c r="G134" s="404" t="inlineStr">
        <is>
          <t>ЭММ</t>
        </is>
      </c>
      <c r="H134" s="404" t="inlineStr">
        <is>
          <t>Эксплуатация машин</t>
        </is>
      </c>
      <c r="I134" s="404" t="n"/>
      <c r="J134" s="404" t="n"/>
      <c r="K134" s="404" t="n">
        <v>203</v>
      </c>
      <c r="L134" s="404" t="n">
        <v>11</v>
      </c>
      <c r="M134" s="404" t="n">
        <v>3</v>
      </c>
      <c r="N134" s="404" t="inlineStr"/>
      <c r="O134" s="404" t="n">
        <v>0</v>
      </c>
      <c r="P134" s="404" t="n"/>
      <c r="Q134" s="404" t="n"/>
      <c r="R134" s="404" t="n"/>
      <c r="S134" s="404" t="n"/>
      <c r="T134" s="404" t="n"/>
      <c r="U134" s="404" t="n"/>
      <c r="V134" s="404" t="n"/>
      <c r="W134" s="404" t="n">
        <v>0</v>
      </c>
      <c r="X134" s="404" t="n">
        <v>1</v>
      </c>
      <c r="Y134" s="404" t="n">
        <v>0</v>
      </c>
      <c r="Z134" s="404" t="n"/>
      <c r="AA134" s="404" t="n"/>
      <c r="AB134" s="404" t="n"/>
    </row>
    <row r="135">
      <c r="A135" s="404" t="n">
        <v>50</v>
      </c>
      <c r="B135" s="404" t="n">
        <v>0</v>
      </c>
      <c r="C135" s="404" t="n">
        <v>0</v>
      </c>
      <c r="D135" s="404" t="n">
        <v>1</v>
      </c>
      <c r="E135" s="404" t="n">
        <v>231</v>
      </c>
      <c r="F135" s="404">
        <f>ROUND(Source!BB122,O135)</f>
        <v/>
      </c>
      <c r="G135" s="404" t="inlineStr">
        <is>
          <t>ЭММсНРиСП</t>
        </is>
      </c>
      <c r="H135" s="404" t="inlineStr">
        <is>
          <t>Эксплуатация машин по ТСН-2001.16</t>
        </is>
      </c>
      <c r="I135" s="404" t="n"/>
      <c r="J135" s="404" t="n"/>
      <c r="K135" s="404" t="n">
        <v>231</v>
      </c>
      <c r="L135" s="404" t="n">
        <v>12</v>
      </c>
      <c r="M135" s="404" t="n">
        <v>3</v>
      </c>
      <c r="N135" s="404" t="inlineStr"/>
      <c r="O135" s="404" t="n">
        <v>0</v>
      </c>
      <c r="P135" s="404" t="n"/>
      <c r="Q135" s="404" t="n"/>
      <c r="R135" s="404" t="n"/>
      <c r="S135" s="404" t="n"/>
      <c r="T135" s="404" t="n"/>
      <c r="U135" s="404" t="n"/>
      <c r="V135" s="404" t="n"/>
      <c r="W135" s="404" t="n">
        <v>0</v>
      </c>
      <c r="X135" s="404" t="n">
        <v>1</v>
      </c>
      <c r="Y135" s="404" t="n">
        <v>0</v>
      </c>
      <c r="Z135" s="404" t="n"/>
      <c r="AA135" s="404" t="n"/>
      <c r="AB135" s="404" t="n"/>
    </row>
    <row r="136">
      <c r="A136" s="404" t="n">
        <v>50</v>
      </c>
      <c r="B136" s="404" t="n">
        <v>0</v>
      </c>
      <c r="C136" s="404" t="n">
        <v>0</v>
      </c>
      <c r="D136" s="404" t="n">
        <v>1</v>
      </c>
      <c r="E136" s="404" t="n">
        <v>204</v>
      </c>
      <c r="F136" s="404">
        <f>ROUND(Source!R122,O136)</f>
        <v/>
      </c>
      <c r="G136" s="404" t="inlineStr">
        <is>
          <t>ЗПМ</t>
        </is>
      </c>
      <c r="H136" s="404" t="inlineStr">
        <is>
          <t>ЗП машинистов</t>
        </is>
      </c>
      <c r="I136" s="404" t="n"/>
      <c r="J136" s="404" t="n"/>
      <c r="K136" s="404" t="n">
        <v>204</v>
      </c>
      <c r="L136" s="404" t="n">
        <v>13</v>
      </c>
      <c r="M136" s="404" t="n">
        <v>3</v>
      </c>
      <c r="N136" s="404" t="inlineStr"/>
      <c r="O136" s="404" t="n">
        <v>0</v>
      </c>
      <c r="P136" s="404" t="n"/>
      <c r="Q136" s="404" t="n"/>
      <c r="R136" s="404" t="n"/>
      <c r="S136" s="404" t="n"/>
      <c r="T136" s="404" t="n"/>
      <c r="U136" s="404" t="n"/>
      <c r="V136" s="404" t="n"/>
      <c r="W136" s="404" t="n">
        <v>0</v>
      </c>
      <c r="X136" s="404" t="n">
        <v>1</v>
      </c>
      <c r="Y136" s="404" t="n">
        <v>0</v>
      </c>
      <c r="Z136" s="404" t="n"/>
      <c r="AA136" s="404" t="n"/>
      <c r="AB136" s="404" t="n"/>
    </row>
    <row r="137">
      <c r="A137" s="404" t="n">
        <v>50</v>
      </c>
      <c r="B137" s="404" t="n">
        <v>0</v>
      </c>
      <c r="C137" s="404" t="n">
        <v>0</v>
      </c>
      <c r="D137" s="404" t="n">
        <v>1</v>
      </c>
      <c r="E137" s="404" t="n">
        <v>205</v>
      </c>
      <c r="F137" s="404">
        <f>ROUND(Source!S122,O137)</f>
        <v/>
      </c>
      <c r="G137" s="404" t="inlineStr">
        <is>
          <t>ОЗП</t>
        </is>
      </c>
      <c r="H137" s="404" t="inlineStr">
        <is>
          <t>Основная ЗП рабочих</t>
        </is>
      </c>
      <c r="I137" s="404" t="n"/>
      <c r="J137" s="404" t="n"/>
      <c r="K137" s="404" t="n">
        <v>205</v>
      </c>
      <c r="L137" s="404" t="n">
        <v>14</v>
      </c>
      <c r="M137" s="404" t="n">
        <v>3</v>
      </c>
      <c r="N137" s="404" t="inlineStr"/>
      <c r="O137" s="404" t="n">
        <v>0</v>
      </c>
      <c r="P137" s="404" t="n"/>
      <c r="Q137" s="404" t="n"/>
      <c r="R137" s="404" t="n"/>
      <c r="S137" s="404" t="n"/>
      <c r="T137" s="404" t="n"/>
      <c r="U137" s="404" t="n"/>
      <c r="V137" s="404" t="n"/>
      <c r="W137" s="404" t="n">
        <v>0</v>
      </c>
      <c r="X137" s="404" t="n">
        <v>1</v>
      </c>
      <c r="Y137" s="404" t="n">
        <v>0</v>
      </c>
      <c r="Z137" s="404" t="n"/>
      <c r="AA137" s="404" t="n"/>
      <c r="AB137" s="404" t="n"/>
    </row>
    <row r="138">
      <c r="A138" s="404" t="n">
        <v>50</v>
      </c>
      <c r="B138" s="404" t="n">
        <v>0</v>
      </c>
      <c r="C138" s="404" t="n">
        <v>0</v>
      </c>
      <c r="D138" s="404" t="n">
        <v>1</v>
      </c>
      <c r="E138" s="404" t="n">
        <v>232</v>
      </c>
      <c r="F138" s="404">
        <f>ROUND(Source!BC122,O138)</f>
        <v/>
      </c>
      <c r="G138" s="404" t="inlineStr">
        <is>
          <t>ОЗПсНРиСП</t>
        </is>
      </c>
      <c r="H138" s="404" t="inlineStr">
        <is>
          <t>Основная ЗП рабочих по ТСН-2001.16</t>
        </is>
      </c>
      <c r="I138" s="404" t="n"/>
      <c r="J138" s="404" t="n"/>
      <c r="K138" s="404" t="n">
        <v>232</v>
      </c>
      <c r="L138" s="404" t="n">
        <v>15</v>
      </c>
      <c r="M138" s="404" t="n">
        <v>3</v>
      </c>
      <c r="N138" s="404" t="inlineStr"/>
      <c r="O138" s="404" t="n">
        <v>0</v>
      </c>
      <c r="P138" s="404" t="n"/>
      <c r="Q138" s="404" t="n"/>
      <c r="R138" s="404" t="n"/>
      <c r="S138" s="404" t="n"/>
      <c r="T138" s="404" t="n"/>
      <c r="U138" s="404" t="n"/>
      <c r="V138" s="404" t="n"/>
      <c r="W138" s="404" t="n">
        <v>0</v>
      </c>
      <c r="X138" s="404" t="n">
        <v>1</v>
      </c>
      <c r="Y138" s="404" t="n">
        <v>0</v>
      </c>
      <c r="Z138" s="404" t="n"/>
      <c r="AA138" s="404" t="n"/>
      <c r="AB138" s="404" t="n"/>
    </row>
    <row r="139">
      <c r="A139" s="404" t="n">
        <v>50</v>
      </c>
      <c r="B139" s="404" t="n">
        <v>0</v>
      </c>
      <c r="C139" s="404" t="n">
        <v>0</v>
      </c>
      <c r="D139" s="404" t="n">
        <v>1</v>
      </c>
      <c r="E139" s="404" t="n">
        <v>214</v>
      </c>
      <c r="F139" s="404">
        <f>ROUND(Source!AS122,O139)</f>
        <v/>
      </c>
      <c r="G139" s="404" t="inlineStr">
        <is>
          <t>Строит</t>
        </is>
      </c>
      <c r="H139" s="404" t="inlineStr">
        <is>
          <t>Строительные работы с НР и СП</t>
        </is>
      </c>
      <c r="I139" s="404" t="n"/>
      <c r="J139" s="404" t="n"/>
      <c r="K139" s="404" t="n">
        <v>214</v>
      </c>
      <c r="L139" s="404" t="n">
        <v>16</v>
      </c>
      <c r="M139" s="404" t="n">
        <v>3</v>
      </c>
      <c r="N139" s="404" t="inlineStr"/>
      <c r="O139" s="404" t="n">
        <v>0</v>
      </c>
      <c r="P139" s="404" t="n"/>
      <c r="Q139" s="404" t="n"/>
      <c r="R139" s="404" t="n"/>
      <c r="S139" s="404" t="n"/>
      <c r="T139" s="404" t="n"/>
      <c r="U139" s="404" t="n"/>
      <c r="V139" s="404" t="n"/>
      <c r="W139" s="404" t="n">
        <v>0</v>
      </c>
      <c r="X139" s="404" t="n">
        <v>1</v>
      </c>
      <c r="Y139" s="404" t="n">
        <v>0</v>
      </c>
      <c r="Z139" s="404" t="n"/>
      <c r="AA139" s="404" t="n"/>
      <c r="AB139" s="404" t="n"/>
    </row>
    <row r="140">
      <c r="A140" s="404" t="n">
        <v>50</v>
      </c>
      <c r="B140" s="404" t="n">
        <v>0</v>
      </c>
      <c r="C140" s="404" t="n">
        <v>0</v>
      </c>
      <c r="D140" s="404" t="n">
        <v>1</v>
      </c>
      <c r="E140" s="404" t="n">
        <v>215</v>
      </c>
      <c r="F140" s="404">
        <f>ROUND(Source!AT122,O140)</f>
        <v/>
      </c>
      <c r="G140" s="404" t="inlineStr">
        <is>
          <t>Монтаж</t>
        </is>
      </c>
      <c r="H140" s="404" t="inlineStr">
        <is>
          <t>Монтажные работы с НР и СП</t>
        </is>
      </c>
      <c r="I140" s="404" t="n"/>
      <c r="J140" s="404" t="n"/>
      <c r="K140" s="404" t="n">
        <v>215</v>
      </c>
      <c r="L140" s="404" t="n">
        <v>17</v>
      </c>
      <c r="M140" s="404" t="n">
        <v>3</v>
      </c>
      <c r="N140" s="404" t="inlineStr"/>
      <c r="O140" s="404" t="n">
        <v>0</v>
      </c>
      <c r="P140" s="404" t="n"/>
      <c r="Q140" s="404" t="n"/>
      <c r="R140" s="404" t="n"/>
      <c r="S140" s="404" t="n"/>
      <c r="T140" s="404" t="n"/>
      <c r="U140" s="404" t="n"/>
      <c r="V140" s="404" t="n"/>
      <c r="W140" s="404" t="n">
        <v>0</v>
      </c>
      <c r="X140" s="404" t="n">
        <v>1</v>
      </c>
      <c r="Y140" s="404" t="n">
        <v>0</v>
      </c>
      <c r="Z140" s="404" t="n"/>
      <c r="AA140" s="404" t="n"/>
      <c r="AB140" s="404" t="n"/>
    </row>
    <row r="141">
      <c r="A141" s="404" t="n">
        <v>50</v>
      </c>
      <c r="B141" s="404" t="n">
        <v>0</v>
      </c>
      <c r="C141" s="404" t="n">
        <v>0</v>
      </c>
      <c r="D141" s="404" t="n">
        <v>1</v>
      </c>
      <c r="E141" s="404" t="n">
        <v>217</v>
      </c>
      <c r="F141" s="404">
        <f>ROUND(Source!AU122,O141)</f>
        <v/>
      </c>
      <c r="G141" s="404" t="inlineStr">
        <is>
          <t>Прочие</t>
        </is>
      </c>
      <c r="H141" s="404" t="inlineStr">
        <is>
          <t>Прочие работы с НР и СП</t>
        </is>
      </c>
      <c r="I141" s="404" t="n"/>
      <c r="J141" s="404" t="n"/>
      <c r="K141" s="404" t="n">
        <v>217</v>
      </c>
      <c r="L141" s="404" t="n">
        <v>18</v>
      </c>
      <c r="M141" s="404" t="n">
        <v>3</v>
      </c>
      <c r="N141" s="404" t="inlineStr"/>
      <c r="O141" s="404" t="n">
        <v>0</v>
      </c>
      <c r="P141" s="404" t="n"/>
      <c r="Q141" s="404" t="n"/>
      <c r="R141" s="404" t="n"/>
      <c r="S141" s="404" t="n"/>
      <c r="T141" s="404" t="n"/>
      <c r="U141" s="404" t="n"/>
      <c r="V141" s="404" t="n"/>
      <c r="W141" s="404" t="n">
        <v>0</v>
      </c>
      <c r="X141" s="404" t="n">
        <v>1</v>
      </c>
      <c r="Y141" s="404" t="n">
        <v>0</v>
      </c>
      <c r="Z141" s="404" t="n"/>
      <c r="AA141" s="404" t="n"/>
      <c r="AB141" s="404" t="n"/>
    </row>
    <row r="142">
      <c r="A142" s="404" t="n">
        <v>50</v>
      </c>
      <c r="B142" s="404" t="n">
        <v>0</v>
      </c>
      <c r="C142" s="404" t="n">
        <v>0</v>
      </c>
      <c r="D142" s="404" t="n">
        <v>1</v>
      </c>
      <c r="E142" s="404" t="n">
        <v>230</v>
      </c>
      <c r="F142" s="404">
        <f>ROUND(Source!BA122,O142)</f>
        <v/>
      </c>
      <c r="G142" s="404" t="inlineStr">
        <is>
          <t>ПрочиеЗатр</t>
        </is>
      </c>
      <c r="H142" s="404" t="inlineStr">
        <is>
          <t>Прочие затраты по ТСН-2001.16</t>
        </is>
      </c>
      <c r="I142" s="404" t="n"/>
      <c r="J142" s="404" t="n"/>
      <c r="K142" s="404" t="n">
        <v>230</v>
      </c>
      <c r="L142" s="404" t="n">
        <v>19</v>
      </c>
      <c r="M142" s="404" t="n">
        <v>3</v>
      </c>
      <c r="N142" s="404" t="inlineStr"/>
      <c r="O142" s="404" t="n">
        <v>0</v>
      </c>
      <c r="P142" s="404" t="n"/>
      <c r="Q142" s="404" t="n"/>
      <c r="R142" s="404" t="n"/>
      <c r="S142" s="404" t="n"/>
      <c r="T142" s="404" t="n"/>
      <c r="U142" s="404" t="n"/>
      <c r="V142" s="404" t="n"/>
      <c r="W142" s="404" t="n">
        <v>0</v>
      </c>
      <c r="X142" s="404" t="n">
        <v>1</v>
      </c>
      <c r="Y142" s="404" t="n">
        <v>0</v>
      </c>
      <c r="Z142" s="404" t="n"/>
      <c r="AA142" s="404" t="n"/>
      <c r="AB142" s="404" t="n"/>
    </row>
    <row r="143">
      <c r="A143" s="404" t="n">
        <v>50</v>
      </c>
      <c r="B143" s="404" t="n">
        <v>0</v>
      </c>
      <c r="C143" s="404" t="n">
        <v>0</v>
      </c>
      <c r="D143" s="404" t="n">
        <v>1</v>
      </c>
      <c r="E143" s="404" t="n">
        <v>206</v>
      </c>
      <c r="F143" s="404">
        <f>ROUND(Source!T122,O143)</f>
        <v/>
      </c>
      <c r="G143" s="404" t="inlineStr">
        <is>
          <t>ВозврМат</t>
        </is>
      </c>
      <c r="H143" s="404" t="inlineStr">
        <is>
          <t>Возврат материалов</t>
        </is>
      </c>
      <c r="I143" s="404" t="n"/>
      <c r="J143" s="404" t="n"/>
      <c r="K143" s="404" t="n">
        <v>206</v>
      </c>
      <c r="L143" s="404" t="n">
        <v>20</v>
      </c>
      <c r="M143" s="404" t="n">
        <v>3</v>
      </c>
      <c r="N143" s="404" t="inlineStr"/>
      <c r="O143" s="404" t="n">
        <v>0</v>
      </c>
      <c r="P143" s="404" t="n"/>
      <c r="Q143" s="404" t="n"/>
      <c r="R143" s="404" t="n"/>
      <c r="S143" s="404" t="n"/>
      <c r="T143" s="404" t="n"/>
      <c r="U143" s="404" t="n"/>
      <c r="V143" s="404" t="n"/>
      <c r="W143" s="404" t="n">
        <v>0</v>
      </c>
      <c r="X143" s="404" t="n">
        <v>1</v>
      </c>
      <c r="Y143" s="404" t="n">
        <v>0</v>
      </c>
      <c r="Z143" s="404" t="n"/>
      <c r="AA143" s="404" t="n"/>
      <c r="AB143" s="404" t="n"/>
    </row>
    <row r="144">
      <c r="A144" s="404" t="n">
        <v>50</v>
      </c>
      <c r="B144" s="404" t="n">
        <v>0</v>
      </c>
      <c r="C144" s="404" t="n">
        <v>0</v>
      </c>
      <c r="D144" s="404" t="n">
        <v>1</v>
      </c>
      <c r="E144" s="404" t="n">
        <v>207</v>
      </c>
      <c r="F144" s="404">
        <f>ROUND(Source!U122,O144)</f>
        <v/>
      </c>
      <c r="G144" s="404" t="inlineStr">
        <is>
          <t>ТрудСтр</t>
        </is>
      </c>
      <c r="H144" s="404" t="inlineStr">
        <is>
          <t>Трудозатраты строителей</t>
        </is>
      </c>
      <c r="I144" s="404" t="n"/>
      <c r="J144" s="404" t="n"/>
      <c r="K144" s="404" t="n">
        <v>207</v>
      </c>
      <c r="L144" s="404" t="n">
        <v>21</v>
      </c>
      <c r="M144" s="404" t="n">
        <v>3</v>
      </c>
      <c r="N144" s="404" t="inlineStr"/>
      <c r="O144" s="404" t="n">
        <v>7</v>
      </c>
      <c r="P144" s="404" t="n"/>
      <c r="Q144" s="404" t="n"/>
      <c r="R144" s="404" t="n"/>
      <c r="S144" s="404" t="n"/>
      <c r="T144" s="404" t="n"/>
      <c r="U144" s="404" t="n"/>
      <c r="V144" s="404" t="n"/>
      <c r="W144" s="404" t="n">
        <v>0</v>
      </c>
      <c r="X144" s="404" t="n">
        <v>1</v>
      </c>
      <c r="Y144" s="404" t="n">
        <v>0</v>
      </c>
      <c r="Z144" s="404" t="n"/>
      <c r="AA144" s="404" t="n"/>
      <c r="AB144" s="404" t="n"/>
    </row>
    <row r="145">
      <c r="A145" s="404" t="n">
        <v>50</v>
      </c>
      <c r="B145" s="404" t="n">
        <v>0</v>
      </c>
      <c r="C145" s="404" t="n">
        <v>0</v>
      </c>
      <c r="D145" s="404" t="n">
        <v>1</v>
      </c>
      <c r="E145" s="404" t="n">
        <v>208</v>
      </c>
      <c r="F145" s="404">
        <f>ROUND(Source!V122,O145)</f>
        <v/>
      </c>
      <c r="G145" s="404" t="inlineStr">
        <is>
          <t>ТрудМаш</t>
        </is>
      </c>
      <c r="H145" s="404" t="inlineStr">
        <is>
          <t>Трудозатраты машинистов</t>
        </is>
      </c>
      <c r="I145" s="404" t="n"/>
      <c r="J145" s="404" t="n"/>
      <c r="K145" s="404" t="n">
        <v>208</v>
      </c>
      <c r="L145" s="404" t="n">
        <v>22</v>
      </c>
      <c r="M145" s="404" t="n">
        <v>3</v>
      </c>
      <c r="N145" s="404" t="inlineStr"/>
      <c r="O145" s="404" t="n">
        <v>7</v>
      </c>
      <c r="P145" s="404" t="n"/>
      <c r="Q145" s="404" t="n"/>
      <c r="R145" s="404" t="n"/>
      <c r="S145" s="404" t="n"/>
      <c r="T145" s="404" t="n"/>
      <c r="U145" s="404" t="n"/>
      <c r="V145" s="404" t="n"/>
      <c r="W145" s="404" t="n">
        <v>0</v>
      </c>
      <c r="X145" s="404" t="n">
        <v>1</v>
      </c>
      <c r="Y145" s="404" t="n">
        <v>0</v>
      </c>
      <c r="Z145" s="404" t="n"/>
      <c r="AA145" s="404" t="n"/>
      <c r="AB145" s="404" t="n"/>
    </row>
    <row r="146">
      <c r="A146" s="404" t="n">
        <v>50</v>
      </c>
      <c r="B146" s="404" t="n">
        <v>0</v>
      </c>
      <c r="C146" s="404" t="n">
        <v>0</v>
      </c>
      <c r="D146" s="404" t="n">
        <v>1</v>
      </c>
      <c r="E146" s="404" t="n">
        <v>209</v>
      </c>
      <c r="F146" s="404">
        <f>ROUND(Source!W122,O146)</f>
        <v/>
      </c>
      <c r="G146" s="404" t="inlineStr">
        <is>
          <t>ТранспМат</t>
        </is>
      </c>
      <c r="H146" s="404" t="inlineStr">
        <is>
          <t>Транспорт материалов</t>
        </is>
      </c>
      <c r="I146" s="404" t="n"/>
      <c r="J146" s="404" t="n"/>
      <c r="K146" s="404" t="n">
        <v>209</v>
      </c>
      <c r="L146" s="404" t="n">
        <v>23</v>
      </c>
      <c r="M146" s="404" t="n">
        <v>3</v>
      </c>
      <c r="N146" s="404" t="inlineStr"/>
      <c r="O146" s="404" t="n">
        <v>0</v>
      </c>
      <c r="P146" s="404" t="n"/>
      <c r="Q146" s="404" t="n"/>
      <c r="R146" s="404" t="n"/>
      <c r="S146" s="404" t="n"/>
      <c r="T146" s="404" t="n"/>
      <c r="U146" s="404" t="n"/>
      <c r="V146" s="404" t="n"/>
      <c r="W146" s="404" t="n">
        <v>0</v>
      </c>
      <c r="X146" s="404" t="n">
        <v>1</v>
      </c>
      <c r="Y146" s="404" t="n">
        <v>0</v>
      </c>
      <c r="Z146" s="404" t="n"/>
      <c r="AA146" s="404" t="n"/>
      <c r="AB146" s="404" t="n"/>
    </row>
    <row r="147">
      <c r="A147" s="404" t="n">
        <v>50</v>
      </c>
      <c r="B147" s="404" t="n">
        <v>0</v>
      </c>
      <c r="C147" s="404" t="n">
        <v>0</v>
      </c>
      <c r="D147" s="404" t="n">
        <v>1</v>
      </c>
      <c r="E147" s="404" t="n">
        <v>233</v>
      </c>
      <c r="F147" s="404">
        <f>ROUND(Source!BD122,O147)</f>
        <v/>
      </c>
      <c r="G147" s="404" t="inlineStr">
        <is>
          <t>Перевозка</t>
        </is>
      </c>
      <c r="H147" s="404" t="inlineStr">
        <is>
          <t>Перевозка грузов</t>
        </is>
      </c>
      <c r="I147" s="404" t="n"/>
      <c r="J147" s="404" t="n"/>
      <c r="K147" s="404" t="n">
        <v>233</v>
      </c>
      <c r="L147" s="404" t="n">
        <v>24</v>
      </c>
      <c r="M147" s="404" t="n">
        <v>3</v>
      </c>
      <c r="N147" s="404" t="inlineStr"/>
      <c r="O147" s="404" t="n">
        <v>0</v>
      </c>
      <c r="P147" s="404" t="n"/>
      <c r="Q147" s="404" t="n"/>
      <c r="R147" s="404" t="n"/>
      <c r="S147" s="404" t="n"/>
      <c r="T147" s="404" t="n"/>
      <c r="U147" s="404" t="n"/>
      <c r="V147" s="404" t="n"/>
      <c r="W147" s="404" t="n">
        <v>0</v>
      </c>
      <c r="X147" s="404" t="n">
        <v>1</v>
      </c>
      <c r="Y147" s="404" t="n">
        <v>0</v>
      </c>
      <c r="Z147" s="404" t="n"/>
      <c r="AA147" s="404" t="n"/>
      <c r="AB147" s="404" t="n"/>
    </row>
    <row r="148">
      <c r="A148" s="404" t="n">
        <v>50</v>
      </c>
      <c r="B148" s="404" t="n">
        <v>0</v>
      </c>
      <c r="C148" s="404" t="n">
        <v>0</v>
      </c>
      <c r="D148" s="404" t="n">
        <v>1</v>
      </c>
      <c r="E148" s="404" t="n">
        <v>210</v>
      </c>
      <c r="F148" s="404">
        <f>ROUND(Source!X122,O148)</f>
        <v/>
      </c>
      <c r="G148" s="404" t="inlineStr">
        <is>
          <t>НР</t>
        </is>
      </c>
      <c r="H148" s="404" t="inlineStr">
        <is>
          <t>Накладные расходы</t>
        </is>
      </c>
      <c r="I148" s="404" t="n"/>
      <c r="J148" s="404" t="n"/>
      <c r="K148" s="404" t="n">
        <v>210</v>
      </c>
      <c r="L148" s="404" t="n">
        <v>25</v>
      </c>
      <c r="M148" s="404" t="n">
        <v>3</v>
      </c>
      <c r="N148" s="404" t="inlineStr"/>
      <c r="O148" s="404" t="n">
        <v>0</v>
      </c>
      <c r="P148" s="404" t="n"/>
      <c r="Q148" s="404" t="n"/>
      <c r="R148" s="404" t="n"/>
      <c r="S148" s="404" t="n"/>
      <c r="T148" s="404" t="n"/>
      <c r="U148" s="404" t="n"/>
      <c r="V148" s="404" t="n"/>
      <c r="W148" s="404" t="n">
        <v>0</v>
      </c>
      <c r="X148" s="404" t="n">
        <v>1</v>
      </c>
      <c r="Y148" s="404" t="n">
        <v>0</v>
      </c>
      <c r="Z148" s="404" t="n"/>
      <c r="AA148" s="404" t="n"/>
      <c r="AB148" s="404" t="n"/>
    </row>
    <row r="149">
      <c r="A149" s="404" t="n">
        <v>50</v>
      </c>
      <c r="B149" s="404" t="n">
        <v>0</v>
      </c>
      <c r="C149" s="404" t="n">
        <v>0</v>
      </c>
      <c r="D149" s="404" t="n">
        <v>1</v>
      </c>
      <c r="E149" s="404" t="n">
        <v>211</v>
      </c>
      <c r="F149" s="404">
        <f>ROUND(Source!Y122,O149)</f>
        <v/>
      </c>
      <c r="G149" s="404" t="inlineStr">
        <is>
          <t>СмПриб</t>
        </is>
      </c>
      <c r="H149" s="404" t="inlineStr">
        <is>
          <t>Сметная прибыль</t>
        </is>
      </c>
      <c r="I149" s="404" t="n"/>
      <c r="J149" s="404" t="n"/>
      <c r="K149" s="404" t="n">
        <v>211</v>
      </c>
      <c r="L149" s="404" t="n">
        <v>26</v>
      </c>
      <c r="M149" s="404" t="n">
        <v>3</v>
      </c>
      <c r="N149" s="404" t="inlineStr"/>
      <c r="O149" s="404" t="n">
        <v>0</v>
      </c>
      <c r="P149" s="404" t="n"/>
      <c r="Q149" s="404" t="n"/>
      <c r="R149" s="404" t="n"/>
      <c r="S149" s="404" t="n"/>
      <c r="T149" s="404" t="n"/>
      <c r="U149" s="404" t="n"/>
      <c r="V149" s="404" t="n"/>
      <c r="W149" s="404" t="n">
        <v>0</v>
      </c>
      <c r="X149" s="404" t="n">
        <v>1</v>
      </c>
      <c r="Y149" s="404" t="n">
        <v>0</v>
      </c>
      <c r="Z149" s="404" t="n"/>
      <c r="AA149" s="404" t="n"/>
      <c r="AB149" s="404" t="n"/>
    </row>
    <row r="150">
      <c r="A150" s="404" t="n">
        <v>50</v>
      </c>
      <c r="B150" s="404" t="n">
        <v>0</v>
      </c>
      <c r="C150" s="404" t="n">
        <v>0</v>
      </c>
      <c r="D150" s="404" t="n">
        <v>1</v>
      </c>
      <c r="E150" s="404" t="n">
        <v>224</v>
      </c>
      <c r="F150" s="404">
        <f>ROUND(Source!AR122,O150)</f>
        <v/>
      </c>
      <c r="G150" s="404" t="inlineStr">
        <is>
          <t>Всего</t>
        </is>
      </c>
      <c r="H150" s="404" t="inlineStr">
        <is>
          <t>Всего с НР и СП</t>
        </is>
      </c>
      <c r="I150" s="404" t="n"/>
      <c r="J150" s="404" t="n"/>
      <c r="K150" s="404" t="n">
        <v>224</v>
      </c>
      <c r="L150" s="404" t="n">
        <v>27</v>
      </c>
      <c r="M150" s="404" t="n">
        <v>3</v>
      </c>
      <c r="N150" s="404" t="inlineStr"/>
      <c r="O150" s="404" t="n">
        <v>0</v>
      </c>
      <c r="P150" s="404" t="n"/>
      <c r="Q150" s="404" t="n"/>
      <c r="R150" s="404" t="n"/>
      <c r="S150" s="404" t="n"/>
      <c r="T150" s="404" t="n"/>
      <c r="U150" s="404" t="n"/>
      <c r="V150" s="404" t="n"/>
      <c r="W150" s="404" t="n">
        <v>0</v>
      </c>
      <c r="X150" s="404" t="n">
        <v>1</v>
      </c>
      <c r="Y150" s="404" t="n">
        <v>0</v>
      </c>
      <c r="Z150" s="404" t="n"/>
      <c r="AA150" s="404" t="n"/>
      <c r="AB150" s="404" t="n"/>
    </row>
    <row r="151">
      <c r="A151" s="404" t="n">
        <v>50</v>
      </c>
      <c r="B151" s="404" t="n">
        <v>0</v>
      </c>
      <c r="C151" s="404" t="n">
        <v>0</v>
      </c>
      <c r="D151" s="404" t="n">
        <v>2</v>
      </c>
      <c r="E151" s="404" t="n">
        <v>0</v>
      </c>
      <c r="F151" s="404">
        <f>ROUND(F150,O151)</f>
        <v/>
      </c>
      <c r="G151" s="404" t="inlineStr">
        <is>
          <t>и1</t>
        </is>
      </c>
      <c r="H151" s="404" t="inlineStr">
        <is>
          <t>Итого</t>
        </is>
      </c>
      <c r="I151" s="404" t="n"/>
      <c r="J151" s="404" t="n"/>
      <c r="K151" s="404" t="n">
        <v>212</v>
      </c>
      <c r="L151" s="404" t="n">
        <v>28</v>
      </c>
      <c r="M151" s="404" t="n">
        <v>0</v>
      </c>
      <c r="N151" s="404" t="inlineStr"/>
      <c r="O151" s="404" t="n">
        <v>0</v>
      </c>
      <c r="P151" s="404" t="n"/>
      <c r="Q151" s="404" t="n"/>
      <c r="R151" s="404" t="n"/>
      <c r="S151" s="404" t="n"/>
      <c r="T151" s="404" t="n"/>
      <c r="U151" s="404" t="n"/>
      <c r="V151" s="404" t="n"/>
      <c r="W151" s="404" t="n">
        <v>0</v>
      </c>
      <c r="X151" s="404" t="n">
        <v>1</v>
      </c>
      <c r="Y151" s="404" t="n">
        <v>0</v>
      </c>
      <c r="Z151" s="404" t="n"/>
      <c r="AA151" s="404" t="n"/>
      <c r="AB151" s="404" t="n"/>
    </row>
    <row r="152">
      <c r="A152" s="404" t="n">
        <v>50</v>
      </c>
      <c r="B152" s="404" t="n">
        <v>0</v>
      </c>
      <c r="C152" s="404" t="n">
        <v>0</v>
      </c>
      <c r="D152" s="404" t="n">
        <v>2</v>
      </c>
      <c r="E152" s="404" t="n">
        <v>0</v>
      </c>
      <c r="F152" s="404">
        <f>ROUND(F151*0.22,O152)</f>
        <v/>
      </c>
      <c r="G152" s="404" t="inlineStr">
        <is>
          <t>и2</t>
        </is>
      </c>
      <c r="H152" s="404" t="inlineStr">
        <is>
          <t>НДС 22%</t>
        </is>
      </c>
      <c r="I152" s="404" t="n"/>
      <c r="J152" s="404" t="n"/>
      <c r="K152" s="404" t="n">
        <v>212</v>
      </c>
      <c r="L152" s="404" t="n">
        <v>29</v>
      </c>
      <c r="M152" s="404" t="n">
        <v>0</v>
      </c>
      <c r="N152" s="404" t="inlineStr"/>
      <c r="O152" s="404" t="n">
        <v>0</v>
      </c>
      <c r="P152" s="404" t="n"/>
      <c r="Q152" s="404" t="n"/>
      <c r="R152" s="404" t="n"/>
      <c r="S152" s="404" t="n"/>
      <c r="T152" s="404" t="n"/>
      <c r="U152" s="404" t="n"/>
      <c r="V152" s="404" t="n"/>
      <c r="W152" s="404" t="n">
        <v>0</v>
      </c>
      <c r="X152" s="404" t="n">
        <v>1</v>
      </c>
      <c r="Y152" s="404" t="n">
        <v>0</v>
      </c>
      <c r="Z152" s="404" t="n"/>
      <c r="AA152" s="404" t="n"/>
      <c r="AB152" s="404" t="n"/>
    </row>
    <row r="153">
      <c r="A153" s="404" t="n">
        <v>50</v>
      </c>
      <c r="B153" s="404" t="n">
        <v>0</v>
      </c>
      <c r="C153" s="404" t="n">
        <v>0</v>
      </c>
      <c r="D153" s="404" t="n">
        <v>2</v>
      </c>
      <c r="E153" s="404" t="n">
        <v>213</v>
      </c>
      <c r="F153" s="404">
        <f>ROUND(F151+F152,O153)</f>
        <v/>
      </c>
      <c r="G153" s="404" t="inlineStr">
        <is>
          <t>и3</t>
        </is>
      </c>
      <c r="H153" s="404" t="inlineStr">
        <is>
          <t>Всего</t>
        </is>
      </c>
      <c r="I153" s="404" t="n"/>
      <c r="J153" s="404" t="n"/>
      <c r="K153" s="404" t="n">
        <v>212</v>
      </c>
      <c r="L153" s="404" t="n">
        <v>30</v>
      </c>
      <c r="M153" s="404" t="n">
        <v>0</v>
      </c>
      <c r="N153" s="404" t="inlineStr"/>
      <c r="O153" s="404" t="n">
        <v>0</v>
      </c>
      <c r="P153" s="404" t="n"/>
      <c r="Q153" s="404" t="n"/>
      <c r="R153" s="404" t="n"/>
      <c r="S153" s="404" t="n"/>
      <c r="T153" s="404" t="n"/>
      <c r="U153" s="404" t="n"/>
      <c r="V153" s="404" t="n"/>
      <c r="W153" s="404" t="n">
        <v>0</v>
      </c>
      <c r="X153" s="404" t="n">
        <v>1</v>
      </c>
      <c r="Y153" s="404" t="n">
        <v>0</v>
      </c>
      <c r="Z153" s="404" t="n"/>
      <c r="AA153" s="404" t="n"/>
      <c r="AB153" s="404" t="n"/>
    </row>
    <row r="154"/>
    <row r="155">
      <c r="A155" s="401" t="n">
        <v>3</v>
      </c>
      <c r="B155" s="401" t="n">
        <v>0</v>
      </c>
      <c r="C155" s="401" t="n"/>
      <c r="D155" s="401">
        <f>ROW(A162)</f>
        <v/>
      </c>
      <c r="E155" s="401" t="n"/>
      <c r="F155" s="401" t="inlineStr">
        <is>
          <t>Новая локальная смета</t>
        </is>
      </c>
      <c r="G155" s="401" t="inlineStr">
        <is>
          <t>Текстильщиков 4</t>
        </is>
      </c>
      <c r="H155" s="401" t="inlineStr"/>
      <c r="I155" s="401" t="n">
        <v>0</v>
      </c>
      <c r="J155" s="401" t="inlineStr"/>
      <c r="K155" s="401" t="n">
        <v>0</v>
      </c>
      <c r="L155" s="401" t="inlineStr">
        <is>
          <t>Новая локальная смета</t>
        </is>
      </c>
      <c r="M155" s="401" t="inlineStr"/>
      <c r="N155" s="401" t="n"/>
      <c r="O155" s="401" t="n"/>
      <c r="P155" s="401" t="n"/>
      <c r="Q155" s="401" t="n"/>
      <c r="R155" s="401" t="n"/>
      <c r="S155" s="401" t="n">
        <v>0</v>
      </c>
      <c r="T155" s="401" t="n"/>
      <c r="U155" s="401" t="inlineStr"/>
      <c r="V155" s="401" t="n">
        <v>0</v>
      </c>
      <c r="W155" s="401" t="n"/>
      <c r="X155" s="401" t="n"/>
      <c r="Y155" s="401" t="n"/>
      <c r="Z155" s="401" t="n"/>
      <c r="AA155" s="401" t="n"/>
      <c r="AB155" s="401" t="inlineStr"/>
      <c r="AC155" s="401" t="inlineStr"/>
      <c r="AD155" s="401" t="inlineStr"/>
      <c r="AE155" s="401" t="inlineStr"/>
      <c r="AF155" s="401" t="inlineStr"/>
      <c r="AG155" s="401" t="inlineStr"/>
      <c r="AH155" s="401" t="n"/>
      <c r="AI155" s="401" t="n"/>
      <c r="AJ155" s="401" t="n"/>
      <c r="AK155" s="401" t="n"/>
      <c r="AL155" s="401" t="n"/>
      <c r="AM155" s="401" t="n"/>
      <c r="AN155" s="401" t="n"/>
      <c r="AO155" s="401" t="n"/>
      <c r="AP155" s="401" t="inlineStr"/>
      <c r="AQ155" s="401" t="inlineStr"/>
      <c r="AR155" s="401" t="inlineStr"/>
      <c r="AS155" s="401" t="n"/>
      <c r="AT155" s="401" t="n"/>
      <c r="AU155" s="401" t="n"/>
      <c r="AV155" s="401" t="n"/>
      <c r="AW155" s="401" t="n"/>
      <c r="AX155" s="401" t="n"/>
      <c r="AY155" s="401" t="n"/>
      <c r="AZ155" s="401" t="inlineStr"/>
      <c r="BA155" s="401" t="n"/>
      <c r="BB155" s="401" t="inlineStr"/>
      <c r="BC155" s="401" t="inlineStr"/>
      <c r="BD155" s="401" t="inlineStr"/>
      <c r="BE155" s="401" t="inlineStr"/>
      <c r="BF155" s="401" t="inlineStr"/>
      <c r="BG155" s="401" t="inlineStr"/>
      <c r="BH155" s="401" t="inlineStr"/>
      <c r="BI155" s="401" t="inlineStr"/>
      <c r="BJ155" s="401" t="inlineStr"/>
      <c r="BK155" s="401" t="inlineStr"/>
      <c r="BL155" s="401" t="inlineStr"/>
      <c r="BM155" s="401" t="inlineStr"/>
      <c r="BN155" s="401" t="inlineStr"/>
      <c r="BO155" s="401" t="inlineStr"/>
      <c r="BP155" s="401" t="inlineStr"/>
      <c r="BQ155" s="401" t="n"/>
      <c r="BR155" s="401" t="n"/>
      <c r="BS155" s="401" t="n"/>
      <c r="BT155" s="401" t="n"/>
      <c r="BU155" s="401" t="n"/>
      <c r="BV155" s="401" t="n"/>
      <c r="BW155" s="401" t="n"/>
      <c r="BX155" s="401" t="n">
        <v>0</v>
      </c>
      <c r="BY155" s="401" t="n"/>
      <c r="BZ155" s="401" t="n"/>
      <c r="CA155" s="401" t="n"/>
      <c r="CB155" s="401" t="n"/>
      <c r="CC155" s="401" t="n"/>
      <c r="CD155" s="401" t="n"/>
      <c r="CE155" s="401" t="n"/>
      <c r="CF155" s="401" t="n">
        <v>0</v>
      </c>
      <c r="CG155" s="401" t="n">
        <v>0</v>
      </c>
      <c r="CH155" s="401" t="n"/>
      <c r="CI155" s="401" t="inlineStr"/>
      <c r="CJ155" s="401" t="inlineStr"/>
      <c r="CK155" t="inlineStr"/>
      <c r="CL155" t="inlineStr"/>
      <c r="CM155" t="inlineStr"/>
      <c r="CN155" t="inlineStr"/>
      <c r="CO155" t="inlineStr"/>
      <c r="CP155" t="inlineStr"/>
      <c r="CQ155" t="inlineStr"/>
    </row>
    <row r="156"/>
    <row r="157">
      <c r="A157" s="402" t="n">
        <v>52</v>
      </c>
      <c r="B157" s="402">
        <f>B162</f>
        <v/>
      </c>
      <c r="C157" s="402">
        <f>C162</f>
        <v/>
      </c>
      <c r="D157" s="402">
        <f>D162</f>
        <v/>
      </c>
      <c r="E157" s="402">
        <f>E162</f>
        <v/>
      </c>
      <c r="F157" s="402">
        <f>F162</f>
        <v/>
      </c>
      <c r="G157" s="402">
        <f>G162</f>
        <v/>
      </c>
      <c r="H157" s="402" t="n"/>
      <c r="I157" s="402" t="n"/>
      <c r="J157" s="402" t="n"/>
      <c r="K157" s="402" t="n"/>
      <c r="L157" s="402" t="n"/>
      <c r="M157" s="402" t="n"/>
      <c r="N157" s="402" t="n"/>
      <c r="O157" s="402">
        <f>O162</f>
        <v/>
      </c>
      <c r="P157" s="402">
        <f>P162</f>
        <v/>
      </c>
      <c r="Q157" s="402">
        <f>Q162</f>
        <v/>
      </c>
      <c r="R157" s="402">
        <f>R162</f>
        <v/>
      </c>
      <c r="S157" s="402">
        <f>S162</f>
        <v/>
      </c>
      <c r="T157" s="402">
        <f>T162</f>
        <v/>
      </c>
      <c r="U157" s="402">
        <f>U162</f>
        <v/>
      </c>
      <c r="V157" s="402">
        <f>V162</f>
        <v/>
      </c>
      <c r="W157" s="402">
        <f>W162</f>
        <v/>
      </c>
      <c r="X157" s="402">
        <f>X162</f>
        <v/>
      </c>
      <c r="Y157" s="402">
        <f>Y162</f>
        <v/>
      </c>
      <c r="Z157" s="402">
        <f>Z162</f>
        <v/>
      </c>
      <c r="AA157" s="402">
        <f>AA162</f>
        <v/>
      </c>
      <c r="AB157" s="402">
        <f>AB162</f>
        <v/>
      </c>
      <c r="AC157" s="402">
        <f>AC162</f>
        <v/>
      </c>
      <c r="AD157" s="402">
        <f>AD162</f>
        <v/>
      </c>
      <c r="AE157" s="402">
        <f>AE162</f>
        <v/>
      </c>
      <c r="AF157" s="402">
        <f>AF162</f>
        <v/>
      </c>
      <c r="AG157" s="402">
        <f>AG162</f>
        <v/>
      </c>
      <c r="AH157" s="402">
        <f>AH162</f>
        <v/>
      </c>
      <c r="AI157" s="402">
        <f>AI162</f>
        <v/>
      </c>
      <c r="AJ157" s="402">
        <f>AJ162</f>
        <v/>
      </c>
      <c r="AK157" s="402">
        <f>AK162</f>
        <v/>
      </c>
      <c r="AL157" s="402">
        <f>AL162</f>
        <v/>
      </c>
      <c r="AM157" s="402">
        <f>AM162</f>
        <v/>
      </c>
      <c r="AN157" s="402">
        <f>AN162</f>
        <v/>
      </c>
      <c r="AO157" s="402">
        <f>AO162</f>
        <v/>
      </c>
      <c r="AP157" s="402">
        <f>AP162</f>
        <v/>
      </c>
      <c r="AQ157" s="402">
        <f>AQ162</f>
        <v/>
      </c>
      <c r="AR157" s="402">
        <f>AR162</f>
        <v/>
      </c>
      <c r="AS157" s="402">
        <f>AS162</f>
        <v/>
      </c>
      <c r="AT157" s="402">
        <f>AT162</f>
        <v/>
      </c>
      <c r="AU157" s="402">
        <f>AU162</f>
        <v/>
      </c>
      <c r="AV157" s="402">
        <f>AV162</f>
        <v/>
      </c>
      <c r="AW157" s="402">
        <f>AW162</f>
        <v/>
      </c>
      <c r="AX157" s="402">
        <f>AX162</f>
        <v/>
      </c>
      <c r="AY157" s="402">
        <f>AY162</f>
        <v/>
      </c>
      <c r="AZ157" s="402">
        <f>AZ162</f>
        <v/>
      </c>
      <c r="BA157" s="402">
        <f>BA162</f>
        <v/>
      </c>
      <c r="BB157" s="402">
        <f>BB162</f>
        <v/>
      </c>
      <c r="BC157" s="402">
        <f>BC162</f>
        <v/>
      </c>
      <c r="BD157" s="402">
        <f>BD162</f>
        <v/>
      </c>
      <c r="BE157" s="402">
        <f>BE162</f>
        <v/>
      </c>
      <c r="BF157" s="402">
        <f>BF162</f>
        <v/>
      </c>
      <c r="BG157" s="402">
        <f>BG162</f>
        <v/>
      </c>
      <c r="BH157" s="402">
        <f>BH162</f>
        <v/>
      </c>
      <c r="BI157" s="402">
        <f>BI162</f>
        <v/>
      </c>
      <c r="BJ157" s="402">
        <f>BJ162</f>
        <v/>
      </c>
      <c r="BK157" s="402">
        <f>BK162</f>
        <v/>
      </c>
      <c r="BL157" s="402">
        <f>BL162</f>
        <v/>
      </c>
      <c r="BM157" s="402">
        <f>BM162</f>
        <v/>
      </c>
      <c r="BN157" s="402">
        <f>BN162</f>
        <v/>
      </c>
      <c r="BO157" s="402">
        <f>BO162</f>
        <v/>
      </c>
      <c r="BP157" s="402">
        <f>BP162</f>
        <v/>
      </c>
      <c r="BQ157" s="402">
        <f>BQ162</f>
        <v/>
      </c>
      <c r="BR157" s="402">
        <f>BR162</f>
        <v/>
      </c>
      <c r="BS157" s="402">
        <f>BS162</f>
        <v/>
      </c>
      <c r="BT157" s="402">
        <f>BT162</f>
        <v/>
      </c>
      <c r="BU157" s="402">
        <f>BU162</f>
        <v/>
      </c>
      <c r="BV157" s="402">
        <f>BV162</f>
        <v/>
      </c>
      <c r="BW157" s="402">
        <f>BW162</f>
        <v/>
      </c>
      <c r="BX157" s="402">
        <f>BX162</f>
        <v/>
      </c>
      <c r="BY157" s="402">
        <f>BY162</f>
        <v/>
      </c>
      <c r="BZ157" s="402">
        <f>BZ162</f>
        <v/>
      </c>
      <c r="CA157" s="402">
        <f>CA162</f>
        <v/>
      </c>
      <c r="CB157" s="402">
        <f>CB162</f>
        <v/>
      </c>
      <c r="CC157" s="402">
        <f>CC162</f>
        <v/>
      </c>
      <c r="CD157" s="402">
        <f>CD162</f>
        <v/>
      </c>
      <c r="CE157" s="402">
        <f>CE162</f>
        <v/>
      </c>
      <c r="CF157" s="402">
        <f>CF162</f>
        <v/>
      </c>
      <c r="CG157" s="402">
        <f>CG162</f>
        <v/>
      </c>
      <c r="CH157" s="402">
        <f>CH162</f>
        <v/>
      </c>
      <c r="CI157" s="402">
        <f>CI162</f>
        <v/>
      </c>
      <c r="CJ157" s="402">
        <f>CJ162</f>
        <v/>
      </c>
      <c r="CK157" s="402">
        <f>CK162</f>
        <v/>
      </c>
      <c r="CL157" s="402">
        <f>CL162</f>
        <v/>
      </c>
      <c r="CM157" s="402">
        <f>CM162</f>
        <v/>
      </c>
      <c r="CN157" s="402">
        <f>CN162</f>
        <v/>
      </c>
      <c r="CO157" s="402">
        <f>CO162</f>
        <v/>
      </c>
      <c r="CP157" s="402">
        <f>CP162</f>
        <v/>
      </c>
      <c r="CQ157" s="402">
        <f>CQ162</f>
        <v/>
      </c>
      <c r="CR157" s="402">
        <f>CR162</f>
        <v/>
      </c>
      <c r="CS157" s="402">
        <f>CS162</f>
        <v/>
      </c>
      <c r="CT157" s="402">
        <f>CT162</f>
        <v/>
      </c>
      <c r="CU157" s="402">
        <f>CU162</f>
        <v/>
      </c>
      <c r="CV157" s="402">
        <f>CV162</f>
        <v/>
      </c>
      <c r="CW157" s="402">
        <f>CW162</f>
        <v/>
      </c>
      <c r="CX157" s="402">
        <f>CX162</f>
        <v/>
      </c>
      <c r="CY157" s="402">
        <f>CY162</f>
        <v/>
      </c>
      <c r="CZ157" s="402">
        <f>CZ162</f>
        <v/>
      </c>
      <c r="DA157" s="402">
        <f>DA162</f>
        <v/>
      </c>
      <c r="DB157" s="402">
        <f>DB162</f>
        <v/>
      </c>
      <c r="DC157" s="402">
        <f>DC162</f>
        <v/>
      </c>
      <c r="DD157" s="402">
        <f>DD162</f>
        <v/>
      </c>
      <c r="DE157" s="402">
        <f>DE162</f>
        <v/>
      </c>
      <c r="DF157" s="402">
        <f>DF162</f>
        <v/>
      </c>
      <c r="DG157" s="403">
        <f>DG162</f>
        <v/>
      </c>
      <c r="DH157" s="403">
        <f>DH162</f>
        <v/>
      </c>
      <c r="DI157" s="403">
        <f>DI162</f>
        <v/>
      </c>
      <c r="DJ157" s="403">
        <f>DJ162</f>
        <v/>
      </c>
      <c r="DK157" s="403">
        <f>DK162</f>
        <v/>
      </c>
      <c r="DL157" s="403">
        <f>DL162</f>
        <v/>
      </c>
      <c r="DM157" s="403">
        <f>DM162</f>
        <v/>
      </c>
      <c r="DN157" s="403">
        <f>DN162</f>
        <v/>
      </c>
      <c r="DO157" s="403">
        <f>DO162</f>
        <v/>
      </c>
      <c r="DP157" s="403">
        <f>DP162</f>
        <v/>
      </c>
      <c r="DQ157" s="403">
        <f>DQ162</f>
        <v/>
      </c>
      <c r="DR157" s="403">
        <f>DR162</f>
        <v/>
      </c>
      <c r="DS157" s="403">
        <f>DS162</f>
        <v/>
      </c>
      <c r="DT157" s="403">
        <f>DT162</f>
        <v/>
      </c>
      <c r="DU157" s="403">
        <f>DU162</f>
        <v/>
      </c>
      <c r="DV157" s="403">
        <f>DV162</f>
        <v/>
      </c>
      <c r="DW157" s="403">
        <f>DW162</f>
        <v/>
      </c>
      <c r="DX157" s="403">
        <f>DX162</f>
        <v/>
      </c>
      <c r="DY157" s="403">
        <f>DY162</f>
        <v/>
      </c>
      <c r="DZ157" s="403">
        <f>DZ162</f>
        <v/>
      </c>
      <c r="EA157" s="403">
        <f>EA162</f>
        <v/>
      </c>
      <c r="EB157" s="403">
        <f>EB162</f>
        <v/>
      </c>
      <c r="EC157" s="403">
        <f>EC162</f>
        <v/>
      </c>
      <c r="ED157" s="403">
        <f>ED162</f>
        <v/>
      </c>
      <c r="EE157" s="403">
        <f>EE162</f>
        <v/>
      </c>
      <c r="EF157" s="403">
        <f>EF162</f>
        <v/>
      </c>
      <c r="EG157" s="403">
        <f>EG162</f>
        <v/>
      </c>
      <c r="EH157" s="403">
        <f>EH162</f>
        <v/>
      </c>
      <c r="EI157" s="403">
        <f>EI162</f>
        <v/>
      </c>
      <c r="EJ157" s="403">
        <f>EJ162</f>
        <v/>
      </c>
      <c r="EK157" s="403">
        <f>EK162</f>
        <v/>
      </c>
      <c r="EL157" s="403">
        <f>EL162</f>
        <v/>
      </c>
      <c r="EM157" s="403">
        <f>EM162</f>
        <v/>
      </c>
      <c r="EN157" s="403">
        <f>EN162</f>
        <v/>
      </c>
      <c r="EO157" s="403">
        <f>EO162</f>
        <v/>
      </c>
      <c r="EP157" s="403">
        <f>EP162</f>
        <v/>
      </c>
      <c r="EQ157" s="403">
        <f>EQ162</f>
        <v/>
      </c>
      <c r="ER157" s="403">
        <f>ER162</f>
        <v/>
      </c>
      <c r="ES157" s="403">
        <f>ES162</f>
        <v/>
      </c>
      <c r="ET157" s="403">
        <f>ET162</f>
        <v/>
      </c>
      <c r="EU157" s="403">
        <f>EU162</f>
        <v/>
      </c>
      <c r="EV157" s="403">
        <f>EV162</f>
        <v/>
      </c>
      <c r="EW157" s="403">
        <f>EW162</f>
        <v/>
      </c>
      <c r="EX157" s="403">
        <f>EX162</f>
        <v/>
      </c>
      <c r="EY157" s="403">
        <f>EY162</f>
        <v/>
      </c>
      <c r="EZ157" s="403">
        <f>EZ162</f>
        <v/>
      </c>
      <c r="FA157" s="403">
        <f>FA162</f>
        <v/>
      </c>
      <c r="FB157" s="403">
        <f>FB162</f>
        <v/>
      </c>
      <c r="FC157" s="403">
        <f>FC162</f>
        <v/>
      </c>
      <c r="FD157" s="403">
        <f>FD162</f>
        <v/>
      </c>
      <c r="FE157" s="403">
        <f>FE162</f>
        <v/>
      </c>
      <c r="FF157" s="403">
        <f>FF162</f>
        <v/>
      </c>
      <c r="FG157" s="403">
        <f>FG162</f>
        <v/>
      </c>
      <c r="FH157" s="403">
        <f>FH162</f>
        <v/>
      </c>
      <c r="FI157" s="403">
        <f>FI162</f>
        <v/>
      </c>
      <c r="FJ157" s="403">
        <f>FJ162</f>
        <v/>
      </c>
      <c r="FK157" s="403">
        <f>FK162</f>
        <v/>
      </c>
      <c r="FL157" s="403">
        <f>FL162</f>
        <v/>
      </c>
      <c r="FM157" s="403">
        <f>FM162</f>
        <v/>
      </c>
      <c r="FN157" s="403">
        <f>FN162</f>
        <v/>
      </c>
      <c r="FO157" s="403">
        <f>FO162</f>
        <v/>
      </c>
      <c r="FP157" s="403">
        <f>FP162</f>
        <v/>
      </c>
      <c r="FQ157" s="403">
        <f>FQ162</f>
        <v/>
      </c>
      <c r="FR157" s="403">
        <f>FR162</f>
        <v/>
      </c>
      <c r="FS157" s="403">
        <f>FS162</f>
        <v/>
      </c>
      <c r="FT157" s="403">
        <f>FT162</f>
        <v/>
      </c>
      <c r="FU157" s="403">
        <f>FU162</f>
        <v/>
      </c>
      <c r="FV157" s="403">
        <f>FV162</f>
        <v/>
      </c>
      <c r="FW157" s="403">
        <f>FW162</f>
        <v/>
      </c>
      <c r="FX157" s="403">
        <f>FX162</f>
        <v/>
      </c>
      <c r="FY157" s="403">
        <f>FY162</f>
        <v/>
      </c>
      <c r="FZ157" s="403">
        <f>FZ162</f>
        <v/>
      </c>
      <c r="GA157" s="403">
        <f>GA162</f>
        <v/>
      </c>
      <c r="GB157" s="403">
        <f>GB162</f>
        <v/>
      </c>
      <c r="GC157" s="403">
        <f>GC162</f>
        <v/>
      </c>
      <c r="GD157" s="403">
        <f>GD162</f>
        <v/>
      </c>
      <c r="GE157" s="403">
        <f>GE162</f>
        <v/>
      </c>
      <c r="GF157" s="403">
        <f>GF162</f>
        <v/>
      </c>
      <c r="GG157" s="403">
        <f>GG162</f>
        <v/>
      </c>
      <c r="GH157" s="403">
        <f>GH162</f>
        <v/>
      </c>
      <c r="GI157" s="403">
        <f>GI162</f>
        <v/>
      </c>
      <c r="GJ157" s="403">
        <f>GJ162</f>
        <v/>
      </c>
      <c r="GK157" s="403">
        <f>GK162</f>
        <v/>
      </c>
      <c r="GL157" s="403">
        <f>GL162</f>
        <v/>
      </c>
      <c r="GM157" s="403">
        <f>GM162</f>
        <v/>
      </c>
      <c r="GN157" s="403">
        <f>GN162</f>
        <v/>
      </c>
      <c r="GO157" s="403">
        <f>GO162</f>
        <v/>
      </c>
      <c r="GP157" s="403">
        <f>GP162</f>
        <v/>
      </c>
      <c r="GQ157" s="403">
        <f>GQ162</f>
        <v/>
      </c>
      <c r="GR157" s="403">
        <f>GR162</f>
        <v/>
      </c>
      <c r="GS157" s="403">
        <f>GS162</f>
        <v/>
      </c>
      <c r="GT157" s="403">
        <f>GT162</f>
        <v/>
      </c>
      <c r="GU157" s="403">
        <f>GU162</f>
        <v/>
      </c>
      <c r="GV157" s="403">
        <f>GV162</f>
        <v/>
      </c>
      <c r="GW157" s="403">
        <f>GW162</f>
        <v/>
      </c>
      <c r="GX157" s="403">
        <f>GX162</f>
        <v/>
      </c>
    </row>
    <row r="158"/>
    <row r="159">
      <c r="A159" t="n">
        <v>17</v>
      </c>
      <c r="B159" t="n">
        <v>0</v>
      </c>
      <c r="C159">
        <f>ROW(SmtRes!A82)</f>
        <v/>
      </c>
      <c r="D159">
        <f>ROW(EtalonRes!A78)</f>
        <v/>
      </c>
      <c r="E159" t="inlineStr">
        <is>
          <t>1</t>
        </is>
      </c>
      <c r="F159" t="inlineStr">
        <is>
          <t>65-10-1</t>
        </is>
      </c>
      <c r="G159" t="inlineStr">
        <is>
          <t>Очистка канализационной сети внутренней</t>
        </is>
      </c>
      <c r="H159" t="inlineStr">
        <is>
          <t>100 м трубопровода</t>
        </is>
      </c>
      <c r="I159">
        <f>ROUND(ROUND(80/100,4),7)</f>
        <v/>
      </c>
      <c r="J159" t="n">
        <v>0</v>
      </c>
      <c r="K159">
        <f>ROUND(ROUND(80/100,4),7)</f>
        <v/>
      </c>
      <c r="O159">
        <f>ROUND(CP159,0)</f>
        <v/>
      </c>
      <c r="P159">
        <f>ROUND(CQ159*I159,0)</f>
        <v/>
      </c>
      <c r="Q159">
        <f>(ROUND((ROUND(((ET159)*I159),0)*BB159),0)+ROUND((ROUND(((AE159-(EU159))*I159),0)*BS159),0))</f>
        <v/>
      </c>
      <c r="R159">
        <f>(ROUND((ROUND(((EU159)*I159),0)*BS159),0)+ROUND((ROUND(((AE159-(EU159))*I159),0)*BS159),0))</f>
        <v/>
      </c>
      <c r="S159">
        <f>ROUND(CT159*I159,0)</f>
        <v/>
      </c>
      <c r="T159">
        <f>ROUND(CU159*I159,0)</f>
        <v/>
      </c>
      <c r="U159">
        <f>ROUND(CV159*I159,7)</f>
        <v/>
      </c>
      <c r="V159">
        <f>ROUND(CW159*I159,7)</f>
        <v/>
      </c>
      <c r="W159">
        <f>ROUND(CX159*I159,0)</f>
        <v/>
      </c>
      <c r="X159">
        <f>ROUND(CY159,0)</f>
        <v/>
      </c>
      <c r="Y159">
        <f>ROUND(CZ159,0)</f>
        <v/>
      </c>
      <c r="AA159" t="n">
        <v>78869116</v>
      </c>
      <c r="AB159">
        <f>ROUND((AC159+AD159+AF159),2)</f>
        <v/>
      </c>
      <c r="AC159">
        <f>ROUND((ES159),2)</f>
        <v/>
      </c>
      <c r="AD159">
        <f>ROUND((((ET159)-(EU159))+AE159),2)</f>
        <v/>
      </c>
      <c r="AE159">
        <f>ROUND((EU159),2)</f>
        <v/>
      </c>
      <c r="AF159">
        <f>ROUND((EV159),2)</f>
        <v/>
      </c>
      <c r="AG159">
        <f>ROUND((AP159),2)</f>
        <v/>
      </c>
      <c r="AH159">
        <f>(EW159)</f>
        <v/>
      </c>
      <c r="AI159">
        <f>(EX159)</f>
        <v/>
      </c>
      <c r="AJ159">
        <f>(AS159)</f>
        <v/>
      </c>
      <c r="AK159" t="n">
        <v>403.3</v>
      </c>
      <c r="AL159" t="n">
        <v>139.36</v>
      </c>
      <c r="AM159" t="n">
        <v>0.87</v>
      </c>
      <c r="AN159" t="n">
        <v>0</v>
      </c>
      <c r="AO159" t="n">
        <v>263.07</v>
      </c>
      <c r="AP159" t="n">
        <v>0</v>
      </c>
      <c r="AQ159" t="n">
        <v>32.2</v>
      </c>
      <c r="AR159" t="n">
        <v>0</v>
      </c>
      <c r="AS159" t="n">
        <v>0</v>
      </c>
      <c r="AT159" t="n">
        <v>103</v>
      </c>
      <c r="AU159" t="n">
        <v>52</v>
      </c>
      <c r="AV159" t="n">
        <v>1</v>
      </c>
      <c r="AW159" t="n">
        <v>1</v>
      </c>
      <c r="AZ159" t="n">
        <v>1</v>
      </c>
      <c r="BA159" t="n">
        <v>52.25</v>
      </c>
      <c r="BB159" t="n">
        <v>25.03</v>
      </c>
      <c r="BC159" t="n">
        <v>11.85</v>
      </c>
      <c r="BD159" t="inlineStr"/>
      <c r="BE159" t="inlineStr"/>
      <c r="BF159" t="inlineStr"/>
      <c r="BG159" t="inlineStr"/>
      <c r="BH159" t="n">
        <v>0</v>
      </c>
      <c r="BI159" t="n">
        <v>1</v>
      </c>
      <c r="BJ159" t="inlineStr">
        <is>
          <t>ТЕРр Московской обл., 65-10-1, приказ Минстроя России №675/пр от 28.02.2017 № 263/пр</t>
        </is>
      </c>
      <c r="BM159" t="n">
        <v>65007</v>
      </c>
      <c r="BN159" t="n">
        <v>0</v>
      </c>
      <c r="BO159" t="inlineStr">
        <is>
          <t>65-10-1</t>
        </is>
      </c>
      <c r="BP159" t="n">
        <v>1</v>
      </c>
      <c r="BQ159" t="n">
        <v>6</v>
      </c>
      <c r="BR159" t="n">
        <v>0</v>
      </c>
      <c r="BS159" t="n">
        <v>52.25</v>
      </c>
      <c r="BT159" t="n">
        <v>1</v>
      </c>
      <c r="BU159" t="n">
        <v>1</v>
      </c>
      <c r="BV159" t="n">
        <v>1</v>
      </c>
      <c r="BW159" t="n">
        <v>1</v>
      </c>
      <c r="BX159" t="n">
        <v>1</v>
      </c>
      <c r="BY159" t="inlineStr"/>
      <c r="BZ159" t="n">
        <v>103</v>
      </c>
      <c r="CA159" t="n">
        <v>52</v>
      </c>
      <c r="CB159" t="inlineStr"/>
      <c r="CE159" t="n">
        <v>12</v>
      </c>
      <c r="CF159" t="n">
        <v>0</v>
      </c>
      <c r="CG159" t="n">
        <v>0</v>
      </c>
      <c r="CM159" t="n">
        <v>0</v>
      </c>
      <c r="CN159" t="inlineStr"/>
      <c r="CO159" t="n">
        <v>0</v>
      </c>
      <c r="CP159">
        <f>(P159+Q159+S159)</f>
        <v/>
      </c>
      <c r="CQ159">
        <f>AC159*BC159</f>
        <v/>
      </c>
      <c r="CR159">
        <f>(ROUND((ROUND(((ET159)*1),0)*BB159),0)+ROUND((ROUND(((AE159-(EU159))*1),0)*BS159),0))</f>
        <v/>
      </c>
      <c r="CS159">
        <f>(ROUND((ROUND(((EU159)*1),0)*BS159),0)+ROUND((ROUND(((AE159-(EU159))*1),0)*BS159),0))</f>
        <v/>
      </c>
      <c r="CT159">
        <f>AF159*BA159</f>
        <v/>
      </c>
      <c r="CU159">
        <f>AG159</f>
        <v/>
      </c>
      <c r="CV159">
        <f>AH159</f>
        <v/>
      </c>
      <c r="CW159">
        <f>AI159</f>
        <v/>
      </c>
      <c r="CX159">
        <f>AJ159</f>
        <v/>
      </c>
      <c r="CY159">
        <f>(((S159+R159)*AT159)/100)</f>
        <v/>
      </c>
      <c r="CZ159">
        <f>(((S159+R159)*AU159)/100)</f>
        <v/>
      </c>
      <c r="DC159" t="inlineStr"/>
      <c r="DD159" t="inlineStr"/>
      <c r="DE159" t="inlineStr"/>
      <c r="DF159" t="inlineStr"/>
      <c r="DG159" t="inlineStr"/>
      <c r="DH159" t="inlineStr"/>
      <c r="DI159" t="inlineStr"/>
      <c r="DJ159" t="inlineStr"/>
      <c r="DK159" t="inlineStr"/>
      <c r="DL159" t="inlineStr"/>
      <c r="DM159" t="inlineStr"/>
      <c r="DN159" t="n">
        <v>0</v>
      </c>
      <c r="DO159" t="n">
        <v>0</v>
      </c>
      <c r="DP159" t="n">
        <v>1</v>
      </c>
      <c r="DQ159" t="n">
        <v>1</v>
      </c>
      <c r="DU159" t="n">
        <v>1013</v>
      </c>
      <c r="DV159" t="inlineStr">
        <is>
          <t>100 м трубопровода</t>
        </is>
      </c>
      <c r="DW159" t="inlineStr">
        <is>
          <t>100 м трубопровода</t>
        </is>
      </c>
      <c r="DX159" t="n">
        <v>1</v>
      </c>
      <c r="DZ159" t="inlineStr"/>
      <c r="EA159" t="inlineStr"/>
      <c r="EB159" t="inlineStr"/>
      <c r="EC159" t="inlineStr"/>
      <c r="EE159" t="n">
        <v>78726000</v>
      </c>
      <c r="EF159" t="n">
        <v>6</v>
      </c>
      <c r="EG159" t="inlineStr">
        <is>
          <t>Ремонтно-строительные работы</t>
        </is>
      </c>
      <c r="EH159" t="n">
        <v>99</v>
      </c>
      <c r="EI159" t="inlineStr">
        <is>
          <t>Внутренние санитарно-технические работы</t>
        </is>
      </c>
      <c r="EJ159" t="n">
        <v>1</v>
      </c>
      <c r="EK159" t="n">
        <v>65007</v>
      </c>
      <c r="EL159" t="inlineStr">
        <is>
          <t>Внутренние санитарнотехнические работы: смена труб, санприборов, запорной арматуры и другое</t>
        </is>
      </c>
      <c r="EM159" t="inlineStr">
        <is>
          <t>рФЕР-65</t>
        </is>
      </c>
      <c r="EO159" t="inlineStr"/>
      <c r="EQ159" t="n">
        <v>0</v>
      </c>
      <c r="ER159" t="n">
        <v>403.3</v>
      </c>
      <c r="ES159" t="n">
        <v>139.36</v>
      </c>
      <c r="ET159" t="n">
        <v>0.87</v>
      </c>
      <c r="EU159" t="n">
        <v>0</v>
      </c>
      <c r="EV159" t="n">
        <v>263.07</v>
      </c>
      <c r="EW159" t="n">
        <v>32.2</v>
      </c>
      <c r="EX159" t="n">
        <v>0</v>
      </c>
      <c r="EY159" t="n">
        <v>0</v>
      </c>
      <c r="FQ159" t="n">
        <v>0</v>
      </c>
      <c r="FR159" t="n">
        <v>0</v>
      </c>
      <c r="FS159" t="n">
        <v>0</v>
      </c>
      <c r="FX159" t="n">
        <v>103</v>
      </c>
      <c r="FY159" t="n">
        <v>52</v>
      </c>
      <c r="GA159" t="inlineStr"/>
      <c r="GD159" t="n">
        <v>1</v>
      </c>
      <c r="GF159" t="n">
        <v>-66904957</v>
      </c>
      <c r="GG159" t="n">
        <v>2</v>
      </c>
      <c r="GH159" t="n">
        <v>1</v>
      </c>
      <c r="GI159" t="n">
        <v>2</v>
      </c>
      <c r="GJ159" t="n">
        <v>0</v>
      </c>
      <c r="GK159" t="n">
        <v>0</v>
      </c>
      <c r="GL159">
        <f>ROUND(IF(AND(BH159=3,BI159=3,FS159&lt;&gt;0),P159,0),0)</f>
        <v/>
      </c>
      <c r="GM159">
        <f>ROUND(O159+X159+Y159,0)+GX159</f>
        <v/>
      </c>
      <c r="GN159">
        <f>IF(OR(BI159=0,BI159=1),GM159-GX159,0)</f>
        <v/>
      </c>
      <c r="GO159">
        <f>IF(BI159=2,GM159-GX159,0)</f>
        <v/>
      </c>
      <c r="GP159">
        <f>IF(BI159=4,GM159-GX159,0)</f>
        <v/>
      </c>
      <c r="GR159" t="n">
        <v>0</v>
      </c>
      <c r="GS159" t="n">
        <v>3</v>
      </c>
      <c r="GT159" t="n">
        <v>0</v>
      </c>
      <c r="GU159" t="inlineStr"/>
      <c r="GV159">
        <f>ROUND((GT159),2)</f>
        <v/>
      </c>
      <c r="GW159" t="n">
        <v>1</v>
      </c>
      <c r="GX159">
        <f>ROUND(HC159*I159,0)</f>
        <v/>
      </c>
      <c r="HA159" t="n">
        <v>0</v>
      </c>
      <c r="HB159" t="n">
        <v>0</v>
      </c>
      <c r="HC159">
        <f>GV159*GW159</f>
        <v/>
      </c>
      <c r="HE159" t="inlineStr"/>
      <c r="HF159" t="inlineStr"/>
      <c r="HM159" t="inlineStr"/>
      <c r="HN159" t="inlineStr">
        <is>
          <t>Пр/812-099.2-1</t>
        </is>
      </c>
      <c r="HO159" t="inlineStr">
        <is>
          <t>Пр/774-099.2</t>
        </is>
      </c>
      <c r="HP159" t="inlineStr">
        <is>
          <t>Внутренние санитарнотехнические работы: смена труб, санприборов, запорной арматуры и другое</t>
        </is>
      </c>
      <c r="HQ159" t="inlineStr">
        <is>
          <t>Внутренние санитарнотехнические работы: смена труб, санприборов, запорной арматуры и другое</t>
        </is>
      </c>
      <c r="HS159" t="n">
        <v>0</v>
      </c>
      <c r="IK159" t="n">
        <v>0</v>
      </c>
    </row>
    <row r="160">
      <c r="A160" t="n">
        <v>17</v>
      </c>
      <c r="B160" t="n">
        <v>0</v>
      </c>
      <c r="C160">
        <f>ROW(SmtRes!A88)</f>
        <v/>
      </c>
      <c r="D160">
        <f>ROW(EtalonRes!A84)</f>
        <v/>
      </c>
      <c r="E160" t="inlineStr">
        <is>
          <t>2</t>
        </is>
      </c>
      <c r="F160" t="inlineStr">
        <is>
          <t>16-07-005-1</t>
        </is>
      </c>
      <c r="G16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60" t="inlineStr">
        <is>
          <t>100 м трубопровода</t>
        </is>
      </c>
      <c r="I160">
        <f>ROUND(ROUND(30/100,4),7)</f>
        <v/>
      </c>
      <c r="J160" t="n">
        <v>0</v>
      </c>
      <c r="K160">
        <f>ROUND(ROUND(30/100,4),7)</f>
        <v/>
      </c>
      <c r="O160">
        <f>ROUND(CP160,0)</f>
        <v/>
      </c>
      <c r="P160">
        <f>ROUND(CQ160*I160,0)</f>
        <v/>
      </c>
      <c r="Q160">
        <f>(ROUND((ROUND(((ET160)*I160),0)*BB160),0)+ROUND((ROUND(((AE160-(EU160))*I160),0)*BS160),0))</f>
        <v/>
      </c>
      <c r="R160">
        <f>(ROUND((ROUND(((EU160)*I160),0)*BS160),0)+ROUND((ROUND(((AE160-(EU160))*I160),0)*BS160),0))</f>
        <v/>
      </c>
      <c r="S160">
        <f>ROUND(CT160*I160,0)</f>
        <v/>
      </c>
      <c r="T160">
        <f>ROUND(CU160*I160,0)</f>
        <v/>
      </c>
      <c r="U160">
        <f>ROUND(CV160*I160,7)</f>
        <v/>
      </c>
      <c r="V160">
        <f>ROUND(CW160*I160,7)</f>
        <v/>
      </c>
      <c r="W160">
        <f>ROUND(CX160*I160,0)</f>
        <v/>
      </c>
      <c r="X160">
        <f>ROUND(CY160,0)</f>
        <v/>
      </c>
      <c r="Y160">
        <f>ROUND(CZ160,0)</f>
        <v/>
      </c>
      <c r="AA160" t="n">
        <v>78869116</v>
      </c>
      <c r="AB160">
        <f>ROUND((AC160+AD160+AF160),2)</f>
        <v/>
      </c>
      <c r="AC160">
        <f>ROUND((ES160),2)</f>
        <v/>
      </c>
      <c r="AD160">
        <f>ROUND((((ET160)-(EU160))+AE160),2)</f>
        <v/>
      </c>
      <c r="AE160">
        <f>ROUND((EU160),2)</f>
        <v/>
      </c>
      <c r="AF160">
        <f>ROUND((EV160),2)</f>
        <v/>
      </c>
      <c r="AG160">
        <f>ROUND((AP160),2)</f>
        <v/>
      </c>
      <c r="AH160">
        <f>(EW160)</f>
        <v/>
      </c>
      <c r="AI160">
        <f>(EX160)</f>
        <v/>
      </c>
      <c r="AJ160">
        <f>(AS160)</f>
        <v/>
      </c>
      <c r="AK160" t="n">
        <v>107.11</v>
      </c>
      <c r="AL160" t="n">
        <v>4.28</v>
      </c>
      <c r="AM160" t="n">
        <v>44.51</v>
      </c>
      <c r="AN160" t="n">
        <v>0</v>
      </c>
      <c r="AO160" t="n">
        <v>58.32</v>
      </c>
      <c r="AP160" t="n">
        <v>0</v>
      </c>
      <c r="AQ160" t="n">
        <v>5.01</v>
      </c>
      <c r="AR160" t="n">
        <v>0</v>
      </c>
      <c r="AS160" t="n">
        <v>0</v>
      </c>
      <c r="AT160" t="n">
        <v>121</v>
      </c>
      <c r="AU160" t="n">
        <v>72</v>
      </c>
      <c r="AV160" t="n">
        <v>1</v>
      </c>
      <c r="AW160" t="n">
        <v>1</v>
      </c>
      <c r="AZ160" t="n">
        <v>1</v>
      </c>
      <c r="BA160" t="n">
        <v>52.25</v>
      </c>
      <c r="BB160" t="n">
        <v>5.97</v>
      </c>
      <c r="BC160" t="n">
        <v>11.38</v>
      </c>
      <c r="BD160" t="inlineStr"/>
      <c r="BE160" t="inlineStr"/>
      <c r="BF160" t="inlineStr"/>
      <c r="BG160" t="inlineStr"/>
      <c r="BH160" t="n">
        <v>0</v>
      </c>
      <c r="BI160" t="n">
        <v>1</v>
      </c>
      <c r="BJ160" t="inlineStr">
        <is>
          <t>ТЕР Московской обл., 16-07-005-1, приказ Минстроя России №675/пр от 28.02.2017 № 260/пр</t>
        </is>
      </c>
      <c r="BM160" t="n">
        <v>16001</v>
      </c>
      <c r="BN160" t="n">
        <v>0</v>
      </c>
      <c r="BO160" t="inlineStr">
        <is>
          <t>16-07-005-1</t>
        </is>
      </c>
      <c r="BP160" t="n">
        <v>1</v>
      </c>
      <c r="BQ160" t="n">
        <v>2</v>
      </c>
      <c r="BR160" t="n">
        <v>0</v>
      </c>
      <c r="BS160" t="n">
        <v>52.25</v>
      </c>
      <c r="BT160" t="n">
        <v>1</v>
      </c>
      <c r="BU160" t="n">
        <v>1</v>
      </c>
      <c r="BV160" t="n">
        <v>1</v>
      </c>
      <c r="BW160" t="n">
        <v>1</v>
      </c>
      <c r="BX160" t="n">
        <v>1</v>
      </c>
      <c r="BY160" t="inlineStr"/>
      <c r="BZ160" t="n">
        <v>121</v>
      </c>
      <c r="CA160" t="n">
        <v>72</v>
      </c>
      <c r="CB160" t="inlineStr"/>
      <c r="CE160" t="n">
        <v>12</v>
      </c>
      <c r="CF160" t="n">
        <v>0</v>
      </c>
      <c r="CG160" t="n">
        <v>0</v>
      </c>
      <c r="CM160" t="n">
        <v>0</v>
      </c>
      <c r="CN160" t="inlineStr"/>
      <c r="CO160" t="n">
        <v>0</v>
      </c>
      <c r="CP160">
        <f>(P160+Q160+S160)</f>
        <v/>
      </c>
      <c r="CQ160">
        <f>AC160*BC160</f>
        <v/>
      </c>
      <c r="CR160">
        <f>(ROUND((ROUND(((ET160)*1),0)*BB160),0)+ROUND((ROUND(((AE160-(EU160))*1),0)*BS160),0))</f>
        <v/>
      </c>
      <c r="CS160">
        <f>(ROUND((ROUND(((EU160)*1),0)*BS160),0)+ROUND((ROUND(((AE160-(EU160))*1),0)*BS160),0))</f>
        <v/>
      </c>
      <c r="CT160">
        <f>AF160*BA160</f>
        <v/>
      </c>
      <c r="CU160">
        <f>AG160</f>
        <v/>
      </c>
      <c r="CV160">
        <f>AH160</f>
        <v/>
      </c>
      <c r="CW160">
        <f>AI160</f>
        <v/>
      </c>
      <c r="CX160">
        <f>AJ160</f>
        <v/>
      </c>
      <c r="CY160">
        <f>(((S160+R160)*AT160)/100)</f>
        <v/>
      </c>
      <c r="CZ160">
        <f>(((S160+R160)*AU160)/100)</f>
        <v/>
      </c>
      <c r="DC160" t="inlineStr"/>
      <c r="DD160" t="inlineStr"/>
      <c r="DE160" t="inlineStr"/>
      <c r="DF160" t="inlineStr"/>
      <c r="DG160" t="inlineStr"/>
      <c r="DH160" t="inlineStr"/>
      <c r="DI160" t="inlineStr"/>
      <c r="DJ160" t="inlineStr"/>
      <c r="DK160" t="inlineStr"/>
      <c r="DL160" t="inlineStr"/>
      <c r="DM160" t="inlineStr"/>
      <c r="DN160" t="n">
        <v>0</v>
      </c>
      <c r="DO160" t="n">
        <v>0</v>
      </c>
      <c r="DP160" t="n">
        <v>1</v>
      </c>
      <c r="DQ160" t="n">
        <v>1</v>
      </c>
      <c r="DU160" t="n">
        <v>1013</v>
      </c>
      <c r="DV160" t="inlineStr">
        <is>
          <t>100 м трубопровода</t>
        </is>
      </c>
      <c r="DW160" t="inlineStr">
        <is>
          <t>100 м трубопровода</t>
        </is>
      </c>
      <c r="DX160" t="n">
        <v>1</v>
      </c>
      <c r="DZ160" t="inlineStr"/>
      <c r="EA160" t="inlineStr"/>
      <c r="EB160" t="inlineStr"/>
      <c r="EC160" t="inlineStr"/>
      <c r="EE160" t="n">
        <v>78725882</v>
      </c>
      <c r="EF160" t="n">
        <v>2</v>
      </c>
      <c r="EG160" t="inlineStr">
        <is>
          <t>Общестроительные работы</t>
        </is>
      </c>
      <c r="EH160" t="n">
        <v>16</v>
      </c>
      <c r="EI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60" t="n">
        <v>1</v>
      </c>
      <c r="EK160" t="n">
        <v>16001</v>
      </c>
      <c r="EL160" t="inlineStr">
        <is>
          <t>Трубопроводы внутренние</t>
        </is>
      </c>
      <c r="EM160" t="inlineStr">
        <is>
          <t>ФЕР-16</t>
        </is>
      </c>
      <c r="EO160" t="inlineStr"/>
      <c r="EQ160" t="n">
        <v>0</v>
      </c>
      <c r="ER160" t="n">
        <v>107.11</v>
      </c>
      <c r="ES160" t="n">
        <v>4.28</v>
      </c>
      <c r="ET160" t="n">
        <v>44.51</v>
      </c>
      <c r="EU160" t="n">
        <v>0</v>
      </c>
      <c r="EV160" t="n">
        <v>58.32</v>
      </c>
      <c r="EW160" t="n">
        <v>5.01</v>
      </c>
      <c r="EX160" t="n">
        <v>0</v>
      </c>
      <c r="EY160" t="n">
        <v>0</v>
      </c>
      <c r="FQ160" t="n">
        <v>0</v>
      </c>
      <c r="FR160" t="n">
        <v>0</v>
      </c>
      <c r="FS160" t="n">
        <v>0</v>
      </c>
      <c r="FX160" t="n">
        <v>121</v>
      </c>
      <c r="FY160" t="n">
        <v>72</v>
      </c>
      <c r="GA160" t="inlineStr"/>
      <c r="GD160" t="n">
        <v>1</v>
      </c>
      <c r="GF160" t="n">
        <v>635989612</v>
      </c>
      <c r="GG160" t="n">
        <v>2</v>
      </c>
      <c r="GH160" t="n">
        <v>1</v>
      </c>
      <c r="GI160" t="n">
        <v>2</v>
      </c>
      <c r="GJ160" t="n">
        <v>0</v>
      </c>
      <c r="GK160" t="n">
        <v>0</v>
      </c>
      <c r="GL160">
        <f>ROUND(IF(AND(BH160=3,BI160=3,FS160&lt;&gt;0),P160,0),0)</f>
        <v/>
      </c>
      <c r="GM160">
        <f>ROUND(O160+X160+Y160,0)+GX160</f>
        <v/>
      </c>
      <c r="GN160">
        <f>IF(OR(BI160=0,BI160=1),GM160-GX160,0)</f>
        <v/>
      </c>
      <c r="GO160">
        <f>IF(BI160=2,GM160-GX160,0)</f>
        <v/>
      </c>
      <c r="GP160">
        <f>IF(BI160=4,GM160-GX160,0)</f>
        <v/>
      </c>
      <c r="GR160" t="n">
        <v>0</v>
      </c>
      <c r="GS160" t="n">
        <v>3</v>
      </c>
      <c r="GT160" t="n">
        <v>0</v>
      </c>
      <c r="GU160" t="inlineStr"/>
      <c r="GV160">
        <f>ROUND((GT160),2)</f>
        <v/>
      </c>
      <c r="GW160" t="n">
        <v>1</v>
      </c>
      <c r="GX160">
        <f>ROUND(HC160*I160,0)</f>
        <v/>
      </c>
      <c r="HA160" t="n">
        <v>0</v>
      </c>
      <c r="HB160" t="n">
        <v>0</v>
      </c>
      <c r="HC160">
        <f>GV160*GW160</f>
        <v/>
      </c>
      <c r="HE160" t="inlineStr"/>
      <c r="HF160" t="inlineStr"/>
      <c r="HM160" t="inlineStr"/>
      <c r="HN160" t="inlineStr">
        <is>
          <t>Пр/812-016.0-1</t>
        </is>
      </c>
      <c r="HO160" t="inlineStr">
        <is>
          <t>Пр/774-016.0</t>
        </is>
      </c>
      <c r="HP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60" t="n">
        <v>0</v>
      </c>
      <c r="IK160" t="n">
        <v>0</v>
      </c>
    </row>
    <row r="161"/>
    <row r="162">
      <c r="A162" s="402" t="n">
        <v>51</v>
      </c>
      <c r="B162" s="402">
        <f>B155</f>
        <v/>
      </c>
      <c r="C162" s="402">
        <f>A155</f>
        <v/>
      </c>
      <c r="D162" s="402">
        <f>ROW(A155)</f>
        <v/>
      </c>
      <c r="E162" s="402" t="n"/>
      <c r="F162" s="402">
        <f>IF(F155&lt;&gt;"",F155,"")</f>
        <v/>
      </c>
      <c r="G162" s="402">
        <f>IF(G155&lt;&gt;"",G155,"")</f>
        <v/>
      </c>
      <c r="H162" s="402" t="n">
        <v>0</v>
      </c>
      <c r="I162" s="402" t="n"/>
      <c r="J162" s="402" t="n"/>
      <c r="K162" s="402" t="n"/>
      <c r="L162" s="402" t="n"/>
      <c r="M162" s="402" t="n"/>
      <c r="N162" s="402" t="n"/>
      <c r="O162" s="402" t="n">
        <v>0</v>
      </c>
      <c r="P162" s="402" t="n">
        <v>0</v>
      </c>
      <c r="Q162" s="402" t="n">
        <v>0</v>
      </c>
      <c r="R162" s="402" t="n">
        <v>0</v>
      </c>
      <c r="S162" s="402" t="n">
        <v>0</v>
      </c>
      <c r="T162" s="402" t="n">
        <v>0</v>
      </c>
      <c r="U162" s="402" t="n">
        <v>0</v>
      </c>
      <c r="V162" s="402" t="n">
        <v>0</v>
      </c>
      <c r="W162" s="402" t="n">
        <v>0</v>
      </c>
      <c r="X162" s="402" t="n">
        <v>0</v>
      </c>
      <c r="Y162" s="402" t="n">
        <v>0</v>
      </c>
      <c r="Z162" s="402" t="n"/>
      <c r="AA162" s="402" t="n"/>
      <c r="AB162" s="402" t="n"/>
      <c r="AC162" s="402" t="n"/>
      <c r="AD162" s="402" t="n"/>
      <c r="AE162" s="402" t="n"/>
      <c r="AF162" s="402" t="n"/>
      <c r="AG162" s="402" t="n"/>
      <c r="AH162" s="402" t="n"/>
      <c r="AI162" s="402" t="n"/>
      <c r="AJ162" s="402" t="n"/>
      <c r="AK162" s="402" t="n"/>
      <c r="AL162" s="402" t="n"/>
      <c r="AM162" s="402" t="n"/>
      <c r="AN162" s="402" t="n"/>
      <c r="AO162" s="402">
        <f>ROUND(BX162,0)</f>
        <v/>
      </c>
      <c r="AP162" s="402">
        <f>ROUND(BY162,0)</f>
        <v/>
      </c>
      <c r="AQ162" s="402">
        <f>ROUND(BZ162,0)</f>
        <v/>
      </c>
      <c r="AR162" s="402">
        <f>ROUND(CA162,0)</f>
        <v/>
      </c>
      <c r="AS162" s="402">
        <f>ROUND(CB162,0)</f>
        <v/>
      </c>
      <c r="AT162" s="402">
        <f>ROUND(CC162,0)</f>
        <v/>
      </c>
      <c r="AU162" s="402">
        <f>ROUND(CD162,0)</f>
        <v/>
      </c>
      <c r="AV162" s="402">
        <f>ROUND(CE162,0)</f>
        <v/>
      </c>
      <c r="AW162" s="402">
        <f>ROUND(CF162,0)</f>
        <v/>
      </c>
      <c r="AX162" s="402">
        <f>ROUND(CG162,0)</f>
        <v/>
      </c>
      <c r="AY162" s="402">
        <f>ROUND(CH162,0)</f>
        <v/>
      </c>
      <c r="AZ162" s="402">
        <f>ROUND(CI162,0)</f>
        <v/>
      </c>
      <c r="BA162" s="402">
        <f>ROUND(CJ162,0)</f>
        <v/>
      </c>
      <c r="BB162" s="402">
        <f>ROUND(CK162,0)</f>
        <v/>
      </c>
      <c r="BC162" s="402">
        <f>ROUND(CL162,0)</f>
        <v/>
      </c>
      <c r="BD162" s="402">
        <f>ROUND(CM162,0)</f>
        <v/>
      </c>
      <c r="BE162" s="402" t="n"/>
      <c r="BF162" s="402" t="n"/>
      <c r="BG162" s="402" t="n"/>
      <c r="BH162" s="402" t="n"/>
      <c r="BI162" s="402" t="n"/>
      <c r="BJ162" s="402" t="n"/>
      <c r="BK162" s="402" t="n"/>
      <c r="BL162" s="402" t="n"/>
      <c r="BM162" s="402" t="n"/>
      <c r="BN162" s="402" t="n"/>
      <c r="BO162" s="402" t="n"/>
      <c r="BP162" s="402" t="n"/>
      <c r="BQ162" s="402" t="n"/>
      <c r="BR162" s="402" t="n"/>
      <c r="BS162" s="402" t="n"/>
      <c r="BT162" s="402" t="n"/>
      <c r="BU162" s="402" t="n"/>
      <c r="BV162" s="402" t="n"/>
      <c r="BW162" s="402" t="n"/>
      <c r="BX162" s="402" t="n"/>
      <c r="BY162" s="402" t="n"/>
      <c r="BZ162" s="402" t="n"/>
      <c r="CA162" s="402" t="n"/>
      <c r="CB162" s="402" t="n"/>
      <c r="CC162" s="402" t="n"/>
      <c r="CD162" s="402" t="n"/>
      <c r="CE162" s="402" t="n"/>
      <c r="CF162" s="402" t="n"/>
      <c r="CG162" s="402" t="n"/>
      <c r="CH162" s="402" t="n"/>
      <c r="CI162" s="402" t="n"/>
      <c r="CJ162" s="402" t="n"/>
      <c r="CK162" s="402" t="n"/>
      <c r="CL162" s="402" t="n"/>
      <c r="CM162" s="402" t="n"/>
      <c r="CN162" s="402" t="n"/>
      <c r="CO162" s="402" t="n"/>
      <c r="CP162" s="402" t="n"/>
      <c r="CQ162" s="402" t="n"/>
      <c r="CR162" s="402" t="n"/>
      <c r="CS162" s="402" t="n"/>
      <c r="CT162" s="402" t="n"/>
      <c r="CU162" s="402" t="n"/>
      <c r="CV162" s="402" t="n"/>
      <c r="CW162" s="402" t="n"/>
      <c r="CX162" s="402" t="n"/>
      <c r="CY162" s="402" t="n"/>
      <c r="CZ162" s="402" t="n"/>
      <c r="DA162" s="402" t="n"/>
      <c r="DB162" s="402" t="n"/>
      <c r="DC162" s="402" t="n"/>
      <c r="DD162" s="402" t="n"/>
      <c r="DE162" s="402" t="n"/>
      <c r="DF162" s="402" t="n"/>
      <c r="DG162" s="403" t="n"/>
      <c r="DH162" s="403" t="n"/>
      <c r="DI162" s="403" t="n"/>
      <c r="DJ162" s="403" t="n"/>
      <c r="DK162" s="403" t="n"/>
      <c r="DL162" s="403" t="n"/>
      <c r="DM162" s="403" t="n"/>
      <c r="DN162" s="403" t="n"/>
      <c r="DO162" s="403" t="n"/>
      <c r="DP162" s="403" t="n"/>
      <c r="DQ162" s="403" t="n"/>
      <c r="DR162" s="403" t="n"/>
      <c r="DS162" s="403" t="n"/>
      <c r="DT162" s="403" t="n"/>
      <c r="DU162" s="403" t="n"/>
      <c r="DV162" s="403" t="n"/>
      <c r="DW162" s="403" t="n"/>
      <c r="DX162" s="403" t="n"/>
      <c r="DY162" s="403" t="n"/>
      <c r="DZ162" s="403" t="n"/>
      <c r="EA162" s="403" t="n"/>
      <c r="EB162" s="403" t="n"/>
      <c r="EC162" s="403" t="n"/>
      <c r="ED162" s="403" t="n"/>
      <c r="EE162" s="403" t="n"/>
      <c r="EF162" s="403" t="n"/>
      <c r="EG162" s="403" t="n"/>
      <c r="EH162" s="403" t="n"/>
      <c r="EI162" s="403" t="n"/>
      <c r="EJ162" s="403" t="n"/>
      <c r="EK162" s="403" t="n"/>
      <c r="EL162" s="403" t="n"/>
      <c r="EM162" s="403" t="n"/>
      <c r="EN162" s="403" t="n"/>
      <c r="EO162" s="403" t="n"/>
      <c r="EP162" s="403" t="n"/>
      <c r="EQ162" s="403" t="n"/>
      <c r="ER162" s="403" t="n"/>
      <c r="ES162" s="403" t="n"/>
      <c r="ET162" s="403" t="n"/>
      <c r="EU162" s="403" t="n"/>
      <c r="EV162" s="403" t="n"/>
      <c r="EW162" s="403" t="n"/>
      <c r="EX162" s="403" t="n"/>
      <c r="EY162" s="403" t="n"/>
      <c r="EZ162" s="403" t="n"/>
      <c r="FA162" s="403" t="n"/>
      <c r="FB162" s="403" t="n"/>
      <c r="FC162" s="403" t="n"/>
      <c r="FD162" s="403" t="n"/>
      <c r="FE162" s="403" t="n"/>
      <c r="FF162" s="403" t="n"/>
      <c r="FG162" s="403" t="n"/>
      <c r="FH162" s="403" t="n"/>
      <c r="FI162" s="403" t="n"/>
      <c r="FJ162" s="403" t="n"/>
      <c r="FK162" s="403" t="n"/>
      <c r="FL162" s="403" t="n"/>
      <c r="FM162" s="403" t="n"/>
      <c r="FN162" s="403" t="n"/>
      <c r="FO162" s="403" t="n"/>
      <c r="FP162" s="403" t="n"/>
      <c r="FQ162" s="403" t="n"/>
      <c r="FR162" s="403" t="n"/>
      <c r="FS162" s="403" t="n"/>
      <c r="FT162" s="403" t="n"/>
      <c r="FU162" s="403" t="n"/>
      <c r="FV162" s="403" t="n"/>
      <c r="FW162" s="403" t="n"/>
      <c r="FX162" s="403" t="n"/>
      <c r="FY162" s="403" t="n"/>
      <c r="FZ162" s="403" t="n"/>
      <c r="GA162" s="403" t="n"/>
      <c r="GB162" s="403" t="n"/>
      <c r="GC162" s="403" t="n"/>
      <c r="GD162" s="403" t="n"/>
      <c r="GE162" s="403" t="n"/>
      <c r="GF162" s="403" t="n"/>
      <c r="GG162" s="403" t="n"/>
      <c r="GH162" s="403" t="n"/>
      <c r="GI162" s="403" t="n"/>
      <c r="GJ162" s="403" t="n"/>
      <c r="GK162" s="403" t="n"/>
      <c r="GL162" s="403" t="n"/>
      <c r="GM162" s="403" t="n"/>
      <c r="GN162" s="403" t="n"/>
      <c r="GO162" s="403" t="n"/>
      <c r="GP162" s="403" t="n"/>
      <c r="GQ162" s="403" t="n"/>
      <c r="GR162" s="403" t="n"/>
      <c r="GS162" s="403" t="n"/>
      <c r="GT162" s="403" t="n"/>
      <c r="GU162" s="403" t="n"/>
      <c r="GV162" s="403" t="n"/>
      <c r="GW162" s="403" t="n"/>
      <c r="GX162" s="403" t="n">
        <v>0</v>
      </c>
    </row>
    <row r="163"/>
    <row r="164">
      <c r="A164" s="404" t="n">
        <v>50</v>
      </c>
      <c r="B164" s="404" t="n">
        <v>0</v>
      </c>
      <c r="C164" s="404" t="n">
        <v>0</v>
      </c>
      <c r="D164" s="404" t="n">
        <v>1</v>
      </c>
      <c r="E164" s="404" t="n">
        <v>201</v>
      </c>
      <c r="F164" s="404">
        <f>ROUND(Source!O162,O164)</f>
        <v/>
      </c>
      <c r="G164" s="404" t="inlineStr">
        <is>
          <t>ПЗ</t>
        </is>
      </c>
      <c r="H164" s="404" t="inlineStr">
        <is>
          <t>Прямые затраты</t>
        </is>
      </c>
      <c r="I164" s="404" t="n"/>
      <c r="J164" s="404" t="n"/>
      <c r="K164" s="404" t="n">
        <v>201</v>
      </c>
      <c r="L164" s="404" t="n">
        <v>1</v>
      </c>
      <c r="M164" s="404" t="n">
        <v>3</v>
      </c>
      <c r="N164" s="404" t="inlineStr"/>
      <c r="O164" s="404" t="n">
        <v>0</v>
      </c>
      <c r="P164" s="404" t="n"/>
      <c r="Q164" s="404" t="n"/>
      <c r="R164" s="404" t="n"/>
      <c r="S164" s="404" t="n"/>
      <c r="T164" s="404" t="n"/>
      <c r="U164" s="404" t="n"/>
      <c r="V164" s="404" t="n"/>
      <c r="W164" s="404" t="n">
        <v>0</v>
      </c>
      <c r="X164" s="404" t="n">
        <v>1</v>
      </c>
      <c r="Y164" s="404" t="n">
        <v>0</v>
      </c>
      <c r="Z164" s="404" t="n"/>
      <c r="AA164" s="404" t="n"/>
      <c r="AB164" s="404" t="n"/>
    </row>
    <row r="165">
      <c r="A165" s="404" t="n">
        <v>50</v>
      </c>
      <c r="B165" s="404" t="n">
        <v>0</v>
      </c>
      <c r="C165" s="404" t="n">
        <v>0</v>
      </c>
      <c r="D165" s="404" t="n">
        <v>1</v>
      </c>
      <c r="E165" s="404" t="n">
        <v>202</v>
      </c>
      <c r="F165" s="404">
        <f>ROUND(Source!P162,O165)</f>
        <v/>
      </c>
      <c r="G165" s="404" t="inlineStr">
        <is>
          <t>СтМатОб</t>
        </is>
      </c>
      <c r="H165" s="404" t="inlineStr">
        <is>
          <t>Стоимость материальных ресурсов (всего)</t>
        </is>
      </c>
      <c r="I165" s="404" t="n"/>
      <c r="J165" s="404" t="n"/>
      <c r="K165" s="404" t="n">
        <v>202</v>
      </c>
      <c r="L165" s="404" t="n">
        <v>2</v>
      </c>
      <c r="M165" s="404" t="n">
        <v>3</v>
      </c>
      <c r="N165" s="404" t="inlineStr"/>
      <c r="O165" s="404" t="n">
        <v>0</v>
      </c>
      <c r="P165" s="404" t="n"/>
      <c r="Q165" s="404" t="n"/>
      <c r="R165" s="404" t="n"/>
      <c r="S165" s="404" t="n"/>
      <c r="T165" s="404" t="n"/>
      <c r="U165" s="404" t="n"/>
      <c r="V165" s="404" t="n"/>
      <c r="W165" s="404" t="n">
        <v>0</v>
      </c>
      <c r="X165" s="404" t="n">
        <v>1</v>
      </c>
      <c r="Y165" s="404" t="n">
        <v>0</v>
      </c>
      <c r="Z165" s="404" t="n"/>
      <c r="AA165" s="404" t="n"/>
      <c r="AB165" s="404" t="n"/>
    </row>
    <row r="166">
      <c r="A166" s="404" t="n">
        <v>50</v>
      </c>
      <c r="B166" s="404" t="n">
        <v>0</v>
      </c>
      <c r="C166" s="404" t="n">
        <v>0</v>
      </c>
      <c r="D166" s="404" t="n">
        <v>1</v>
      </c>
      <c r="E166" s="404" t="n">
        <v>222</v>
      </c>
      <c r="F166" s="404">
        <f>ROUND(Source!AO162,O166)</f>
        <v/>
      </c>
      <c r="G166" s="404" t="inlineStr">
        <is>
          <t>СтМатОбЗак</t>
        </is>
      </c>
      <c r="H166" s="404" t="inlineStr">
        <is>
          <t>Стоимость материалов и оборудования заказчика</t>
        </is>
      </c>
      <c r="I166" s="404" t="n"/>
      <c r="J166" s="404" t="n"/>
      <c r="K166" s="404" t="n">
        <v>222</v>
      </c>
      <c r="L166" s="404" t="n">
        <v>3</v>
      </c>
      <c r="M166" s="404" t="n">
        <v>3</v>
      </c>
      <c r="N166" s="404" t="inlineStr"/>
      <c r="O166" s="404" t="n">
        <v>0</v>
      </c>
      <c r="P166" s="404" t="n"/>
      <c r="Q166" s="404" t="n"/>
      <c r="R166" s="404" t="n"/>
      <c r="S166" s="404" t="n"/>
      <c r="T166" s="404" t="n"/>
      <c r="U166" s="404" t="n"/>
      <c r="V166" s="404" t="n"/>
      <c r="W166" s="404" t="n">
        <v>0</v>
      </c>
      <c r="X166" s="404" t="n">
        <v>1</v>
      </c>
      <c r="Y166" s="404" t="n">
        <v>0</v>
      </c>
      <c r="Z166" s="404" t="n"/>
      <c r="AA166" s="404" t="n"/>
      <c r="AB166" s="404" t="n"/>
    </row>
    <row r="167">
      <c r="A167" s="404" t="n">
        <v>50</v>
      </c>
      <c r="B167" s="404" t="n">
        <v>0</v>
      </c>
      <c r="C167" s="404" t="n">
        <v>0</v>
      </c>
      <c r="D167" s="404" t="n">
        <v>1</v>
      </c>
      <c r="E167" s="404" t="n">
        <v>225</v>
      </c>
      <c r="F167" s="404">
        <f>ROUND(Source!AV162,O167)</f>
        <v/>
      </c>
      <c r="G167" s="404" t="inlineStr">
        <is>
          <t>СтМатОбПод</t>
        </is>
      </c>
      <c r="H167" s="404" t="inlineStr">
        <is>
          <t>Стоимость материалов и оборудования подрядчика</t>
        </is>
      </c>
      <c r="I167" s="404" t="n"/>
      <c r="J167" s="404" t="n"/>
      <c r="K167" s="404" t="n">
        <v>225</v>
      </c>
      <c r="L167" s="404" t="n">
        <v>4</v>
      </c>
      <c r="M167" s="404" t="n">
        <v>3</v>
      </c>
      <c r="N167" s="404" t="inlineStr"/>
      <c r="O167" s="404" t="n">
        <v>0</v>
      </c>
      <c r="P167" s="404" t="n"/>
      <c r="Q167" s="404" t="n"/>
      <c r="R167" s="404" t="n"/>
      <c r="S167" s="404" t="n"/>
      <c r="T167" s="404" t="n"/>
      <c r="U167" s="404" t="n"/>
      <c r="V167" s="404" t="n"/>
      <c r="W167" s="404" t="n">
        <v>0</v>
      </c>
      <c r="X167" s="404" t="n">
        <v>1</v>
      </c>
      <c r="Y167" s="404" t="n">
        <v>0</v>
      </c>
      <c r="Z167" s="404" t="n"/>
      <c r="AA167" s="404" t="n"/>
      <c r="AB167" s="404" t="n"/>
    </row>
    <row r="168">
      <c r="A168" s="404" t="n">
        <v>50</v>
      </c>
      <c r="B168" s="404" t="n">
        <v>0</v>
      </c>
      <c r="C168" s="404" t="n">
        <v>0</v>
      </c>
      <c r="D168" s="404" t="n">
        <v>1</v>
      </c>
      <c r="E168" s="404" t="n">
        <v>226</v>
      </c>
      <c r="F168" s="404">
        <f>ROUND(Source!AW162,O168)</f>
        <v/>
      </c>
      <c r="G168" s="404" t="inlineStr">
        <is>
          <t>СтМат</t>
        </is>
      </c>
      <c r="H168" s="404" t="inlineStr">
        <is>
          <t>Стоимость материалов (всего)</t>
        </is>
      </c>
      <c r="I168" s="404" t="n"/>
      <c r="J168" s="404" t="n"/>
      <c r="K168" s="404" t="n">
        <v>226</v>
      </c>
      <c r="L168" s="404" t="n">
        <v>5</v>
      </c>
      <c r="M168" s="404" t="n">
        <v>3</v>
      </c>
      <c r="N168" s="404" t="inlineStr"/>
      <c r="O168" s="404" t="n">
        <v>0</v>
      </c>
      <c r="P168" s="404" t="n"/>
      <c r="Q168" s="404" t="n"/>
      <c r="R168" s="404" t="n"/>
      <c r="S168" s="404" t="n"/>
      <c r="T168" s="404" t="n"/>
      <c r="U168" s="404" t="n"/>
      <c r="V168" s="404" t="n"/>
      <c r="W168" s="404" t="n">
        <v>0</v>
      </c>
      <c r="X168" s="404" t="n">
        <v>1</v>
      </c>
      <c r="Y168" s="404" t="n">
        <v>0</v>
      </c>
      <c r="Z168" s="404" t="n"/>
      <c r="AA168" s="404" t="n"/>
      <c r="AB168" s="404" t="n"/>
    </row>
    <row r="169">
      <c r="A169" s="404" t="n">
        <v>50</v>
      </c>
      <c r="B169" s="404" t="n">
        <v>0</v>
      </c>
      <c r="C169" s="404" t="n">
        <v>0</v>
      </c>
      <c r="D169" s="404" t="n">
        <v>1</v>
      </c>
      <c r="E169" s="404" t="n">
        <v>227</v>
      </c>
      <c r="F169" s="404">
        <f>ROUND(Source!AX162,O169)</f>
        <v/>
      </c>
      <c r="G169" s="404" t="inlineStr">
        <is>
          <t>СтМатЗак</t>
        </is>
      </c>
      <c r="H169" s="404" t="inlineStr">
        <is>
          <t>Стоимость материалов заказчика</t>
        </is>
      </c>
      <c r="I169" s="404" t="n"/>
      <c r="J169" s="404" t="n"/>
      <c r="K169" s="404" t="n">
        <v>227</v>
      </c>
      <c r="L169" s="404" t="n">
        <v>6</v>
      </c>
      <c r="M169" s="404" t="n">
        <v>3</v>
      </c>
      <c r="N169" s="404" t="inlineStr"/>
      <c r="O169" s="404" t="n">
        <v>0</v>
      </c>
      <c r="P169" s="404" t="n"/>
      <c r="Q169" s="404" t="n"/>
      <c r="R169" s="404" t="n"/>
      <c r="S169" s="404" t="n"/>
      <c r="T169" s="404" t="n"/>
      <c r="U169" s="404" t="n"/>
      <c r="V169" s="404" t="n"/>
      <c r="W169" s="404" t="n">
        <v>0</v>
      </c>
      <c r="X169" s="404" t="n">
        <v>1</v>
      </c>
      <c r="Y169" s="404" t="n">
        <v>0</v>
      </c>
      <c r="Z169" s="404" t="n"/>
      <c r="AA169" s="404" t="n"/>
      <c r="AB169" s="404" t="n"/>
    </row>
    <row r="170">
      <c r="A170" s="404" t="n">
        <v>50</v>
      </c>
      <c r="B170" s="404" t="n">
        <v>0</v>
      </c>
      <c r="C170" s="404" t="n">
        <v>0</v>
      </c>
      <c r="D170" s="404" t="n">
        <v>1</v>
      </c>
      <c r="E170" s="404" t="n">
        <v>228</v>
      </c>
      <c r="F170" s="404">
        <f>ROUND(Source!AY162,O170)</f>
        <v/>
      </c>
      <c r="G170" s="404" t="inlineStr">
        <is>
          <t>СтМатПод</t>
        </is>
      </c>
      <c r="H170" s="404" t="inlineStr">
        <is>
          <t>Стоимость материалов подрядчика</t>
        </is>
      </c>
      <c r="I170" s="404" t="n"/>
      <c r="J170" s="404" t="n"/>
      <c r="K170" s="404" t="n">
        <v>228</v>
      </c>
      <c r="L170" s="404" t="n">
        <v>7</v>
      </c>
      <c r="M170" s="404" t="n">
        <v>3</v>
      </c>
      <c r="N170" s="404" t="inlineStr"/>
      <c r="O170" s="404" t="n">
        <v>0</v>
      </c>
      <c r="P170" s="404" t="n"/>
      <c r="Q170" s="404" t="n"/>
      <c r="R170" s="404" t="n"/>
      <c r="S170" s="404" t="n"/>
      <c r="T170" s="404" t="n"/>
      <c r="U170" s="404" t="n"/>
      <c r="V170" s="404" t="n"/>
      <c r="W170" s="404" t="n">
        <v>0</v>
      </c>
      <c r="X170" s="404" t="n">
        <v>1</v>
      </c>
      <c r="Y170" s="404" t="n">
        <v>0</v>
      </c>
      <c r="Z170" s="404" t="n"/>
      <c r="AA170" s="404" t="n"/>
      <c r="AB170" s="404" t="n"/>
    </row>
    <row r="171">
      <c r="A171" s="404" t="n">
        <v>50</v>
      </c>
      <c r="B171" s="404" t="n">
        <v>0</v>
      </c>
      <c r="C171" s="404" t="n">
        <v>0</v>
      </c>
      <c r="D171" s="404" t="n">
        <v>1</v>
      </c>
      <c r="E171" s="404" t="n">
        <v>216</v>
      </c>
      <c r="F171" s="404">
        <f>ROUND(Source!AP162,O171)</f>
        <v/>
      </c>
      <c r="G171" s="404" t="inlineStr">
        <is>
          <t>Оборуд</t>
        </is>
      </c>
      <c r="H171" s="404" t="inlineStr">
        <is>
          <t>Стоимость оборудования (всего)</t>
        </is>
      </c>
      <c r="I171" s="404" t="n"/>
      <c r="J171" s="404" t="n"/>
      <c r="K171" s="404" t="n">
        <v>216</v>
      </c>
      <c r="L171" s="404" t="n">
        <v>8</v>
      </c>
      <c r="M171" s="404" t="n">
        <v>3</v>
      </c>
      <c r="N171" s="404" t="inlineStr"/>
      <c r="O171" s="404" t="n">
        <v>0</v>
      </c>
      <c r="P171" s="404" t="n"/>
      <c r="Q171" s="404" t="n"/>
      <c r="R171" s="404" t="n"/>
      <c r="S171" s="404" t="n"/>
      <c r="T171" s="404" t="n"/>
      <c r="U171" s="404" t="n"/>
      <c r="V171" s="404" t="n"/>
      <c r="W171" s="404" t="n">
        <v>0</v>
      </c>
      <c r="X171" s="404" t="n">
        <v>1</v>
      </c>
      <c r="Y171" s="404" t="n">
        <v>0</v>
      </c>
      <c r="Z171" s="404" t="n"/>
      <c r="AA171" s="404" t="n"/>
      <c r="AB171" s="404" t="n"/>
    </row>
    <row r="172">
      <c r="A172" s="404" t="n">
        <v>50</v>
      </c>
      <c r="B172" s="404" t="n">
        <v>0</v>
      </c>
      <c r="C172" s="404" t="n">
        <v>0</v>
      </c>
      <c r="D172" s="404" t="n">
        <v>1</v>
      </c>
      <c r="E172" s="404" t="n">
        <v>223</v>
      </c>
      <c r="F172" s="404">
        <f>ROUND(Source!AQ162,O172)</f>
        <v/>
      </c>
      <c r="G172" s="404" t="inlineStr">
        <is>
          <t>ОборудЗак</t>
        </is>
      </c>
      <c r="H172" s="404" t="inlineStr">
        <is>
          <t>Стоимость оборудования заказчика</t>
        </is>
      </c>
      <c r="I172" s="404" t="n"/>
      <c r="J172" s="404" t="n"/>
      <c r="K172" s="404" t="n">
        <v>223</v>
      </c>
      <c r="L172" s="404" t="n">
        <v>9</v>
      </c>
      <c r="M172" s="404" t="n">
        <v>3</v>
      </c>
      <c r="N172" s="404" t="inlineStr"/>
      <c r="O172" s="404" t="n">
        <v>0</v>
      </c>
      <c r="P172" s="404" t="n"/>
      <c r="Q172" s="404" t="n"/>
      <c r="R172" s="404" t="n"/>
      <c r="S172" s="404" t="n"/>
      <c r="T172" s="404" t="n"/>
      <c r="U172" s="404" t="n"/>
      <c r="V172" s="404" t="n"/>
      <c r="W172" s="404" t="n">
        <v>0</v>
      </c>
      <c r="X172" s="404" t="n">
        <v>1</v>
      </c>
      <c r="Y172" s="404" t="n">
        <v>0</v>
      </c>
      <c r="Z172" s="404" t="n"/>
      <c r="AA172" s="404" t="n"/>
      <c r="AB172" s="404" t="n"/>
    </row>
    <row r="173">
      <c r="A173" s="404" t="n">
        <v>50</v>
      </c>
      <c r="B173" s="404" t="n">
        <v>0</v>
      </c>
      <c r="C173" s="404" t="n">
        <v>0</v>
      </c>
      <c r="D173" s="404" t="n">
        <v>1</v>
      </c>
      <c r="E173" s="404" t="n">
        <v>229</v>
      </c>
      <c r="F173" s="404">
        <f>ROUND(Source!AZ162,O173)</f>
        <v/>
      </c>
      <c r="G173" s="404" t="inlineStr">
        <is>
          <t>ОборудПод</t>
        </is>
      </c>
      <c r="H173" s="404" t="inlineStr">
        <is>
          <t>Стоимость оборудования подрядчика</t>
        </is>
      </c>
      <c r="I173" s="404" t="n"/>
      <c r="J173" s="404" t="n"/>
      <c r="K173" s="404" t="n">
        <v>229</v>
      </c>
      <c r="L173" s="404" t="n">
        <v>10</v>
      </c>
      <c r="M173" s="404" t="n">
        <v>3</v>
      </c>
      <c r="N173" s="404" t="inlineStr"/>
      <c r="O173" s="404" t="n">
        <v>0</v>
      </c>
      <c r="P173" s="404" t="n"/>
      <c r="Q173" s="404" t="n"/>
      <c r="R173" s="404" t="n"/>
      <c r="S173" s="404" t="n"/>
      <c r="T173" s="404" t="n"/>
      <c r="U173" s="404" t="n"/>
      <c r="V173" s="404" t="n"/>
      <c r="W173" s="404" t="n">
        <v>0</v>
      </c>
      <c r="X173" s="404" t="n">
        <v>1</v>
      </c>
      <c r="Y173" s="404" t="n">
        <v>0</v>
      </c>
      <c r="Z173" s="404" t="n"/>
      <c r="AA173" s="404" t="n"/>
      <c r="AB173" s="404" t="n"/>
    </row>
    <row r="174">
      <c r="A174" s="404" t="n">
        <v>50</v>
      </c>
      <c r="B174" s="404" t="n">
        <v>0</v>
      </c>
      <c r="C174" s="404" t="n">
        <v>0</v>
      </c>
      <c r="D174" s="404" t="n">
        <v>1</v>
      </c>
      <c r="E174" s="404" t="n">
        <v>203</v>
      </c>
      <c r="F174" s="404">
        <f>ROUND(Source!Q162,O174)</f>
        <v/>
      </c>
      <c r="G174" s="404" t="inlineStr">
        <is>
          <t>ЭММ</t>
        </is>
      </c>
      <c r="H174" s="404" t="inlineStr">
        <is>
          <t>Эксплуатация машин</t>
        </is>
      </c>
      <c r="I174" s="404" t="n"/>
      <c r="J174" s="404" t="n"/>
      <c r="K174" s="404" t="n">
        <v>203</v>
      </c>
      <c r="L174" s="404" t="n">
        <v>11</v>
      </c>
      <c r="M174" s="404" t="n">
        <v>3</v>
      </c>
      <c r="N174" s="404" t="inlineStr"/>
      <c r="O174" s="404" t="n">
        <v>0</v>
      </c>
      <c r="P174" s="404" t="n"/>
      <c r="Q174" s="404" t="n"/>
      <c r="R174" s="404" t="n"/>
      <c r="S174" s="404" t="n"/>
      <c r="T174" s="404" t="n"/>
      <c r="U174" s="404" t="n"/>
      <c r="V174" s="404" t="n"/>
      <c r="W174" s="404" t="n">
        <v>0</v>
      </c>
      <c r="X174" s="404" t="n">
        <v>1</v>
      </c>
      <c r="Y174" s="404" t="n">
        <v>0</v>
      </c>
      <c r="Z174" s="404" t="n"/>
      <c r="AA174" s="404" t="n"/>
      <c r="AB174" s="404" t="n"/>
    </row>
    <row r="175">
      <c r="A175" s="404" t="n">
        <v>50</v>
      </c>
      <c r="B175" s="404" t="n">
        <v>0</v>
      </c>
      <c r="C175" s="404" t="n">
        <v>0</v>
      </c>
      <c r="D175" s="404" t="n">
        <v>1</v>
      </c>
      <c r="E175" s="404" t="n">
        <v>231</v>
      </c>
      <c r="F175" s="404">
        <f>ROUND(Source!BB162,O175)</f>
        <v/>
      </c>
      <c r="G175" s="404" t="inlineStr">
        <is>
          <t>ЭММсНРиСП</t>
        </is>
      </c>
      <c r="H175" s="404" t="inlineStr">
        <is>
          <t>Эксплуатация машин по ТСН-2001.16</t>
        </is>
      </c>
      <c r="I175" s="404" t="n"/>
      <c r="J175" s="404" t="n"/>
      <c r="K175" s="404" t="n">
        <v>231</v>
      </c>
      <c r="L175" s="404" t="n">
        <v>12</v>
      </c>
      <c r="M175" s="404" t="n">
        <v>3</v>
      </c>
      <c r="N175" s="404" t="inlineStr"/>
      <c r="O175" s="404" t="n">
        <v>0</v>
      </c>
      <c r="P175" s="404" t="n"/>
      <c r="Q175" s="404" t="n"/>
      <c r="R175" s="404" t="n"/>
      <c r="S175" s="404" t="n"/>
      <c r="T175" s="404" t="n"/>
      <c r="U175" s="404" t="n"/>
      <c r="V175" s="404" t="n"/>
      <c r="W175" s="404" t="n">
        <v>0</v>
      </c>
      <c r="X175" s="404" t="n">
        <v>1</v>
      </c>
      <c r="Y175" s="404" t="n">
        <v>0</v>
      </c>
      <c r="Z175" s="404" t="n"/>
      <c r="AA175" s="404" t="n"/>
      <c r="AB175" s="404" t="n"/>
    </row>
    <row r="176">
      <c r="A176" s="404" t="n">
        <v>50</v>
      </c>
      <c r="B176" s="404" t="n">
        <v>0</v>
      </c>
      <c r="C176" s="404" t="n">
        <v>0</v>
      </c>
      <c r="D176" s="404" t="n">
        <v>1</v>
      </c>
      <c r="E176" s="404" t="n">
        <v>204</v>
      </c>
      <c r="F176" s="404">
        <f>ROUND(Source!R162,O176)</f>
        <v/>
      </c>
      <c r="G176" s="404" t="inlineStr">
        <is>
          <t>ЗПМ</t>
        </is>
      </c>
      <c r="H176" s="404" t="inlineStr">
        <is>
          <t>ЗП машинистов</t>
        </is>
      </c>
      <c r="I176" s="404" t="n"/>
      <c r="J176" s="404" t="n"/>
      <c r="K176" s="404" t="n">
        <v>204</v>
      </c>
      <c r="L176" s="404" t="n">
        <v>13</v>
      </c>
      <c r="M176" s="404" t="n">
        <v>3</v>
      </c>
      <c r="N176" s="404" t="inlineStr"/>
      <c r="O176" s="404" t="n">
        <v>0</v>
      </c>
      <c r="P176" s="404" t="n"/>
      <c r="Q176" s="404" t="n"/>
      <c r="R176" s="404" t="n"/>
      <c r="S176" s="404" t="n"/>
      <c r="T176" s="404" t="n"/>
      <c r="U176" s="404" t="n"/>
      <c r="V176" s="404" t="n"/>
      <c r="W176" s="404" t="n">
        <v>0</v>
      </c>
      <c r="X176" s="404" t="n">
        <v>1</v>
      </c>
      <c r="Y176" s="404" t="n">
        <v>0</v>
      </c>
      <c r="Z176" s="404" t="n"/>
      <c r="AA176" s="404" t="n"/>
      <c r="AB176" s="404" t="n"/>
    </row>
    <row r="177">
      <c r="A177" s="404" t="n">
        <v>50</v>
      </c>
      <c r="B177" s="404" t="n">
        <v>0</v>
      </c>
      <c r="C177" s="404" t="n">
        <v>0</v>
      </c>
      <c r="D177" s="404" t="n">
        <v>1</v>
      </c>
      <c r="E177" s="404" t="n">
        <v>205</v>
      </c>
      <c r="F177" s="404">
        <f>ROUND(Source!S162,O177)</f>
        <v/>
      </c>
      <c r="G177" s="404" t="inlineStr">
        <is>
          <t>ОЗП</t>
        </is>
      </c>
      <c r="H177" s="404" t="inlineStr">
        <is>
          <t>Основная ЗП рабочих</t>
        </is>
      </c>
      <c r="I177" s="404" t="n"/>
      <c r="J177" s="404" t="n"/>
      <c r="K177" s="404" t="n">
        <v>205</v>
      </c>
      <c r="L177" s="404" t="n">
        <v>14</v>
      </c>
      <c r="M177" s="404" t="n">
        <v>3</v>
      </c>
      <c r="N177" s="404" t="inlineStr"/>
      <c r="O177" s="404" t="n">
        <v>0</v>
      </c>
      <c r="P177" s="404" t="n"/>
      <c r="Q177" s="404" t="n"/>
      <c r="R177" s="404" t="n"/>
      <c r="S177" s="404" t="n"/>
      <c r="T177" s="404" t="n"/>
      <c r="U177" s="404" t="n"/>
      <c r="V177" s="404" t="n"/>
      <c r="W177" s="404" t="n">
        <v>0</v>
      </c>
      <c r="X177" s="404" t="n">
        <v>1</v>
      </c>
      <c r="Y177" s="404" t="n">
        <v>0</v>
      </c>
      <c r="Z177" s="404" t="n"/>
      <c r="AA177" s="404" t="n"/>
      <c r="AB177" s="404" t="n"/>
    </row>
    <row r="178">
      <c r="A178" s="404" t="n">
        <v>50</v>
      </c>
      <c r="B178" s="404" t="n">
        <v>0</v>
      </c>
      <c r="C178" s="404" t="n">
        <v>0</v>
      </c>
      <c r="D178" s="404" t="n">
        <v>1</v>
      </c>
      <c r="E178" s="404" t="n">
        <v>232</v>
      </c>
      <c r="F178" s="404">
        <f>ROUND(Source!BC162,O178)</f>
        <v/>
      </c>
      <c r="G178" s="404" t="inlineStr">
        <is>
          <t>ОЗПсНРиСП</t>
        </is>
      </c>
      <c r="H178" s="404" t="inlineStr">
        <is>
          <t>Основная ЗП рабочих по ТСН-2001.16</t>
        </is>
      </c>
      <c r="I178" s="404" t="n"/>
      <c r="J178" s="404" t="n"/>
      <c r="K178" s="404" t="n">
        <v>232</v>
      </c>
      <c r="L178" s="404" t="n">
        <v>15</v>
      </c>
      <c r="M178" s="404" t="n">
        <v>3</v>
      </c>
      <c r="N178" s="404" t="inlineStr"/>
      <c r="O178" s="404" t="n">
        <v>0</v>
      </c>
      <c r="P178" s="404" t="n"/>
      <c r="Q178" s="404" t="n"/>
      <c r="R178" s="404" t="n"/>
      <c r="S178" s="404" t="n"/>
      <c r="T178" s="404" t="n"/>
      <c r="U178" s="404" t="n"/>
      <c r="V178" s="404" t="n"/>
      <c r="W178" s="404" t="n">
        <v>0</v>
      </c>
      <c r="X178" s="404" t="n">
        <v>1</v>
      </c>
      <c r="Y178" s="404" t="n">
        <v>0</v>
      </c>
      <c r="Z178" s="404" t="n"/>
      <c r="AA178" s="404" t="n"/>
      <c r="AB178" s="404" t="n"/>
    </row>
    <row r="179">
      <c r="A179" s="404" t="n">
        <v>50</v>
      </c>
      <c r="B179" s="404" t="n">
        <v>0</v>
      </c>
      <c r="C179" s="404" t="n">
        <v>0</v>
      </c>
      <c r="D179" s="404" t="n">
        <v>1</v>
      </c>
      <c r="E179" s="404" t="n">
        <v>214</v>
      </c>
      <c r="F179" s="404">
        <f>ROUND(Source!AS162,O179)</f>
        <v/>
      </c>
      <c r="G179" s="404" t="inlineStr">
        <is>
          <t>Строит</t>
        </is>
      </c>
      <c r="H179" s="404" t="inlineStr">
        <is>
          <t>Строительные работы с НР и СП</t>
        </is>
      </c>
      <c r="I179" s="404" t="n"/>
      <c r="J179" s="404" t="n"/>
      <c r="K179" s="404" t="n">
        <v>214</v>
      </c>
      <c r="L179" s="404" t="n">
        <v>16</v>
      </c>
      <c r="M179" s="404" t="n">
        <v>3</v>
      </c>
      <c r="N179" s="404" t="inlineStr"/>
      <c r="O179" s="404" t="n">
        <v>0</v>
      </c>
      <c r="P179" s="404" t="n"/>
      <c r="Q179" s="404" t="n"/>
      <c r="R179" s="404" t="n"/>
      <c r="S179" s="404" t="n"/>
      <c r="T179" s="404" t="n"/>
      <c r="U179" s="404" t="n"/>
      <c r="V179" s="404" t="n"/>
      <c r="W179" s="404" t="n">
        <v>0</v>
      </c>
      <c r="X179" s="404" t="n">
        <v>1</v>
      </c>
      <c r="Y179" s="404" t="n">
        <v>0</v>
      </c>
      <c r="Z179" s="404" t="n"/>
      <c r="AA179" s="404" t="n"/>
      <c r="AB179" s="404" t="n"/>
    </row>
    <row r="180">
      <c r="A180" s="404" t="n">
        <v>50</v>
      </c>
      <c r="B180" s="404" t="n">
        <v>0</v>
      </c>
      <c r="C180" s="404" t="n">
        <v>0</v>
      </c>
      <c r="D180" s="404" t="n">
        <v>1</v>
      </c>
      <c r="E180" s="404" t="n">
        <v>215</v>
      </c>
      <c r="F180" s="404">
        <f>ROUND(Source!AT162,O180)</f>
        <v/>
      </c>
      <c r="G180" s="404" t="inlineStr">
        <is>
          <t>Монтаж</t>
        </is>
      </c>
      <c r="H180" s="404" t="inlineStr">
        <is>
          <t>Монтажные работы с НР и СП</t>
        </is>
      </c>
      <c r="I180" s="404" t="n"/>
      <c r="J180" s="404" t="n"/>
      <c r="K180" s="404" t="n">
        <v>215</v>
      </c>
      <c r="L180" s="404" t="n">
        <v>17</v>
      </c>
      <c r="M180" s="404" t="n">
        <v>3</v>
      </c>
      <c r="N180" s="404" t="inlineStr"/>
      <c r="O180" s="404" t="n">
        <v>0</v>
      </c>
      <c r="P180" s="404" t="n"/>
      <c r="Q180" s="404" t="n"/>
      <c r="R180" s="404" t="n"/>
      <c r="S180" s="404" t="n"/>
      <c r="T180" s="404" t="n"/>
      <c r="U180" s="404" t="n"/>
      <c r="V180" s="404" t="n"/>
      <c r="W180" s="404" t="n">
        <v>0</v>
      </c>
      <c r="X180" s="404" t="n">
        <v>1</v>
      </c>
      <c r="Y180" s="404" t="n">
        <v>0</v>
      </c>
      <c r="Z180" s="404" t="n"/>
      <c r="AA180" s="404" t="n"/>
      <c r="AB180" s="404" t="n"/>
    </row>
    <row r="181">
      <c r="A181" s="404" t="n">
        <v>50</v>
      </c>
      <c r="B181" s="404" t="n">
        <v>0</v>
      </c>
      <c r="C181" s="404" t="n">
        <v>0</v>
      </c>
      <c r="D181" s="404" t="n">
        <v>1</v>
      </c>
      <c r="E181" s="404" t="n">
        <v>217</v>
      </c>
      <c r="F181" s="404">
        <f>ROUND(Source!AU162,O181)</f>
        <v/>
      </c>
      <c r="G181" s="404" t="inlineStr">
        <is>
          <t>Прочие</t>
        </is>
      </c>
      <c r="H181" s="404" t="inlineStr">
        <is>
          <t>Прочие работы с НР и СП</t>
        </is>
      </c>
      <c r="I181" s="404" t="n"/>
      <c r="J181" s="404" t="n"/>
      <c r="K181" s="404" t="n">
        <v>217</v>
      </c>
      <c r="L181" s="404" t="n">
        <v>18</v>
      </c>
      <c r="M181" s="404" t="n">
        <v>3</v>
      </c>
      <c r="N181" s="404" t="inlineStr"/>
      <c r="O181" s="404" t="n">
        <v>0</v>
      </c>
      <c r="P181" s="404" t="n"/>
      <c r="Q181" s="404" t="n"/>
      <c r="R181" s="404" t="n"/>
      <c r="S181" s="404" t="n"/>
      <c r="T181" s="404" t="n"/>
      <c r="U181" s="404" t="n"/>
      <c r="V181" s="404" t="n"/>
      <c r="W181" s="404" t="n">
        <v>0</v>
      </c>
      <c r="X181" s="404" t="n">
        <v>1</v>
      </c>
      <c r="Y181" s="404" t="n">
        <v>0</v>
      </c>
      <c r="Z181" s="404" t="n"/>
      <c r="AA181" s="404" t="n"/>
      <c r="AB181" s="404" t="n"/>
    </row>
    <row r="182">
      <c r="A182" s="404" t="n">
        <v>50</v>
      </c>
      <c r="B182" s="404" t="n">
        <v>0</v>
      </c>
      <c r="C182" s="404" t="n">
        <v>0</v>
      </c>
      <c r="D182" s="404" t="n">
        <v>1</v>
      </c>
      <c r="E182" s="404" t="n">
        <v>230</v>
      </c>
      <c r="F182" s="404">
        <f>ROUND(Source!BA162,O182)</f>
        <v/>
      </c>
      <c r="G182" s="404" t="inlineStr">
        <is>
          <t>ПрочиеЗатр</t>
        </is>
      </c>
      <c r="H182" s="404" t="inlineStr">
        <is>
          <t>Прочие затраты по ТСН-2001.16</t>
        </is>
      </c>
      <c r="I182" s="404" t="n"/>
      <c r="J182" s="404" t="n"/>
      <c r="K182" s="404" t="n">
        <v>230</v>
      </c>
      <c r="L182" s="404" t="n">
        <v>19</v>
      </c>
      <c r="M182" s="404" t="n">
        <v>3</v>
      </c>
      <c r="N182" s="404" t="inlineStr"/>
      <c r="O182" s="404" t="n">
        <v>0</v>
      </c>
      <c r="P182" s="404" t="n"/>
      <c r="Q182" s="404" t="n"/>
      <c r="R182" s="404" t="n"/>
      <c r="S182" s="404" t="n"/>
      <c r="T182" s="404" t="n"/>
      <c r="U182" s="404" t="n"/>
      <c r="V182" s="404" t="n"/>
      <c r="W182" s="404" t="n">
        <v>0</v>
      </c>
      <c r="X182" s="404" t="n">
        <v>1</v>
      </c>
      <c r="Y182" s="404" t="n">
        <v>0</v>
      </c>
      <c r="Z182" s="404" t="n"/>
      <c r="AA182" s="404" t="n"/>
      <c r="AB182" s="404" t="n"/>
    </row>
    <row r="183">
      <c r="A183" s="404" t="n">
        <v>50</v>
      </c>
      <c r="B183" s="404" t="n">
        <v>0</v>
      </c>
      <c r="C183" s="404" t="n">
        <v>0</v>
      </c>
      <c r="D183" s="404" t="n">
        <v>1</v>
      </c>
      <c r="E183" s="404" t="n">
        <v>206</v>
      </c>
      <c r="F183" s="404">
        <f>ROUND(Source!T162,O183)</f>
        <v/>
      </c>
      <c r="G183" s="404" t="inlineStr">
        <is>
          <t>ВозврМат</t>
        </is>
      </c>
      <c r="H183" s="404" t="inlineStr">
        <is>
          <t>Возврат материалов</t>
        </is>
      </c>
      <c r="I183" s="404" t="n"/>
      <c r="J183" s="404" t="n"/>
      <c r="K183" s="404" t="n">
        <v>206</v>
      </c>
      <c r="L183" s="404" t="n">
        <v>20</v>
      </c>
      <c r="M183" s="404" t="n">
        <v>3</v>
      </c>
      <c r="N183" s="404" t="inlineStr"/>
      <c r="O183" s="404" t="n">
        <v>0</v>
      </c>
      <c r="P183" s="404" t="n"/>
      <c r="Q183" s="404" t="n"/>
      <c r="R183" s="404" t="n"/>
      <c r="S183" s="404" t="n"/>
      <c r="T183" s="404" t="n"/>
      <c r="U183" s="404" t="n"/>
      <c r="V183" s="404" t="n"/>
      <c r="W183" s="404" t="n">
        <v>0</v>
      </c>
      <c r="X183" s="404" t="n">
        <v>1</v>
      </c>
      <c r="Y183" s="404" t="n">
        <v>0</v>
      </c>
      <c r="Z183" s="404" t="n"/>
      <c r="AA183" s="404" t="n"/>
      <c r="AB183" s="404" t="n"/>
    </row>
    <row r="184">
      <c r="A184" s="404" t="n">
        <v>50</v>
      </c>
      <c r="B184" s="404" t="n">
        <v>0</v>
      </c>
      <c r="C184" s="404" t="n">
        <v>0</v>
      </c>
      <c r="D184" s="404" t="n">
        <v>1</v>
      </c>
      <c r="E184" s="404" t="n">
        <v>207</v>
      </c>
      <c r="F184" s="404">
        <f>ROUND(Source!U162,O184)</f>
        <v/>
      </c>
      <c r="G184" s="404" t="inlineStr">
        <is>
          <t>ТрудСтр</t>
        </is>
      </c>
      <c r="H184" s="404" t="inlineStr">
        <is>
          <t>Трудозатраты строителей</t>
        </is>
      </c>
      <c r="I184" s="404" t="n"/>
      <c r="J184" s="404" t="n"/>
      <c r="K184" s="404" t="n">
        <v>207</v>
      </c>
      <c r="L184" s="404" t="n">
        <v>21</v>
      </c>
      <c r="M184" s="404" t="n">
        <v>3</v>
      </c>
      <c r="N184" s="404" t="inlineStr"/>
      <c r="O184" s="404" t="n">
        <v>7</v>
      </c>
      <c r="P184" s="404" t="n"/>
      <c r="Q184" s="404" t="n"/>
      <c r="R184" s="404" t="n"/>
      <c r="S184" s="404" t="n"/>
      <c r="T184" s="404" t="n"/>
      <c r="U184" s="404" t="n"/>
      <c r="V184" s="404" t="n"/>
      <c r="W184" s="404" t="n">
        <v>0</v>
      </c>
      <c r="X184" s="404" t="n">
        <v>1</v>
      </c>
      <c r="Y184" s="404" t="n">
        <v>0</v>
      </c>
      <c r="Z184" s="404" t="n"/>
      <c r="AA184" s="404" t="n"/>
      <c r="AB184" s="404" t="n"/>
    </row>
    <row r="185">
      <c r="A185" s="404" t="n">
        <v>50</v>
      </c>
      <c r="B185" s="404" t="n">
        <v>0</v>
      </c>
      <c r="C185" s="404" t="n">
        <v>0</v>
      </c>
      <c r="D185" s="404" t="n">
        <v>1</v>
      </c>
      <c r="E185" s="404" t="n">
        <v>208</v>
      </c>
      <c r="F185" s="404">
        <f>ROUND(Source!V162,O185)</f>
        <v/>
      </c>
      <c r="G185" s="404" t="inlineStr">
        <is>
          <t>ТрудМаш</t>
        </is>
      </c>
      <c r="H185" s="404" t="inlineStr">
        <is>
          <t>Трудозатраты машинистов</t>
        </is>
      </c>
      <c r="I185" s="404" t="n"/>
      <c r="J185" s="404" t="n"/>
      <c r="K185" s="404" t="n">
        <v>208</v>
      </c>
      <c r="L185" s="404" t="n">
        <v>22</v>
      </c>
      <c r="M185" s="404" t="n">
        <v>3</v>
      </c>
      <c r="N185" s="404" t="inlineStr"/>
      <c r="O185" s="404" t="n">
        <v>7</v>
      </c>
      <c r="P185" s="404" t="n"/>
      <c r="Q185" s="404" t="n"/>
      <c r="R185" s="404" t="n"/>
      <c r="S185" s="404" t="n"/>
      <c r="T185" s="404" t="n"/>
      <c r="U185" s="404" t="n"/>
      <c r="V185" s="404" t="n"/>
      <c r="W185" s="404" t="n">
        <v>0</v>
      </c>
      <c r="X185" s="404" t="n">
        <v>1</v>
      </c>
      <c r="Y185" s="404" t="n">
        <v>0</v>
      </c>
      <c r="Z185" s="404" t="n"/>
      <c r="AA185" s="404" t="n"/>
      <c r="AB185" s="404" t="n"/>
    </row>
    <row r="186">
      <c r="A186" s="404" t="n">
        <v>50</v>
      </c>
      <c r="B186" s="404" t="n">
        <v>0</v>
      </c>
      <c r="C186" s="404" t="n">
        <v>0</v>
      </c>
      <c r="D186" s="404" t="n">
        <v>1</v>
      </c>
      <c r="E186" s="404" t="n">
        <v>209</v>
      </c>
      <c r="F186" s="404">
        <f>ROUND(Source!W162,O186)</f>
        <v/>
      </c>
      <c r="G186" s="404" t="inlineStr">
        <is>
          <t>ТранспМат</t>
        </is>
      </c>
      <c r="H186" s="404" t="inlineStr">
        <is>
          <t>Транспорт материалов</t>
        </is>
      </c>
      <c r="I186" s="404" t="n"/>
      <c r="J186" s="404" t="n"/>
      <c r="K186" s="404" t="n">
        <v>209</v>
      </c>
      <c r="L186" s="404" t="n">
        <v>23</v>
      </c>
      <c r="M186" s="404" t="n">
        <v>3</v>
      </c>
      <c r="N186" s="404" t="inlineStr"/>
      <c r="O186" s="404" t="n">
        <v>0</v>
      </c>
      <c r="P186" s="404" t="n"/>
      <c r="Q186" s="404" t="n"/>
      <c r="R186" s="404" t="n"/>
      <c r="S186" s="404" t="n"/>
      <c r="T186" s="404" t="n"/>
      <c r="U186" s="404" t="n"/>
      <c r="V186" s="404" t="n"/>
      <c r="W186" s="404" t="n">
        <v>0</v>
      </c>
      <c r="X186" s="404" t="n">
        <v>1</v>
      </c>
      <c r="Y186" s="404" t="n">
        <v>0</v>
      </c>
      <c r="Z186" s="404" t="n"/>
      <c r="AA186" s="404" t="n"/>
      <c r="AB186" s="404" t="n"/>
    </row>
    <row r="187">
      <c r="A187" s="404" t="n">
        <v>50</v>
      </c>
      <c r="B187" s="404" t="n">
        <v>0</v>
      </c>
      <c r="C187" s="404" t="n">
        <v>0</v>
      </c>
      <c r="D187" s="404" t="n">
        <v>1</v>
      </c>
      <c r="E187" s="404" t="n">
        <v>233</v>
      </c>
      <c r="F187" s="404">
        <f>ROUND(Source!BD162,O187)</f>
        <v/>
      </c>
      <c r="G187" s="404" t="inlineStr">
        <is>
          <t>Перевозка</t>
        </is>
      </c>
      <c r="H187" s="404" t="inlineStr">
        <is>
          <t>Перевозка грузов</t>
        </is>
      </c>
      <c r="I187" s="404" t="n"/>
      <c r="J187" s="404" t="n"/>
      <c r="K187" s="404" t="n">
        <v>233</v>
      </c>
      <c r="L187" s="404" t="n">
        <v>24</v>
      </c>
      <c r="M187" s="404" t="n">
        <v>3</v>
      </c>
      <c r="N187" s="404" t="inlineStr"/>
      <c r="O187" s="404" t="n">
        <v>0</v>
      </c>
      <c r="P187" s="404" t="n"/>
      <c r="Q187" s="404" t="n"/>
      <c r="R187" s="404" t="n"/>
      <c r="S187" s="404" t="n"/>
      <c r="T187" s="404" t="n"/>
      <c r="U187" s="404" t="n"/>
      <c r="V187" s="404" t="n"/>
      <c r="W187" s="404" t="n">
        <v>0</v>
      </c>
      <c r="X187" s="404" t="n">
        <v>1</v>
      </c>
      <c r="Y187" s="404" t="n">
        <v>0</v>
      </c>
      <c r="Z187" s="404" t="n"/>
      <c r="AA187" s="404" t="n"/>
      <c r="AB187" s="404" t="n"/>
    </row>
    <row r="188">
      <c r="A188" s="404" t="n">
        <v>50</v>
      </c>
      <c r="B188" s="404" t="n">
        <v>0</v>
      </c>
      <c r="C188" s="404" t="n">
        <v>0</v>
      </c>
      <c r="D188" s="404" t="n">
        <v>1</v>
      </c>
      <c r="E188" s="404" t="n">
        <v>210</v>
      </c>
      <c r="F188" s="404">
        <f>ROUND(Source!X162,O188)</f>
        <v/>
      </c>
      <c r="G188" s="404" t="inlineStr">
        <is>
          <t>НР</t>
        </is>
      </c>
      <c r="H188" s="404" t="inlineStr">
        <is>
          <t>Накладные расходы</t>
        </is>
      </c>
      <c r="I188" s="404" t="n"/>
      <c r="J188" s="404" t="n"/>
      <c r="K188" s="404" t="n">
        <v>210</v>
      </c>
      <c r="L188" s="404" t="n">
        <v>25</v>
      </c>
      <c r="M188" s="404" t="n">
        <v>3</v>
      </c>
      <c r="N188" s="404" t="inlineStr"/>
      <c r="O188" s="404" t="n">
        <v>0</v>
      </c>
      <c r="P188" s="404" t="n"/>
      <c r="Q188" s="404" t="n"/>
      <c r="R188" s="404" t="n"/>
      <c r="S188" s="404" t="n"/>
      <c r="T188" s="404" t="n"/>
      <c r="U188" s="404" t="n"/>
      <c r="V188" s="404" t="n"/>
      <c r="W188" s="404" t="n">
        <v>0</v>
      </c>
      <c r="X188" s="404" t="n">
        <v>1</v>
      </c>
      <c r="Y188" s="404" t="n">
        <v>0</v>
      </c>
      <c r="Z188" s="404" t="n"/>
      <c r="AA188" s="404" t="n"/>
      <c r="AB188" s="404" t="n"/>
    </row>
    <row r="189">
      <c r="A189" s="404" t="n">
        <v>50</v>
      </c>
      <c r="B189" s="404" t="n">
        <v>0</v>
      </c>
      <c r="C189" s="404" t="n">
        <v>0</v>
      </c>
      <c r="D189" s="404" t="n">
        <v>1</v>
      </c>
      <c r="E189" s="404" t="n">
        <v>211</v>
      </c>
      <c r="F189" s="404">
        <f>ROUND(Source!Y162,O189)</f>
        <v/>
      </c>
      <c r="G189" s="404" t="inlineStr">
        <is>
          <t>СмПриб</t>
        </is>
      </c>
      <c r="H189" s="404" t="inlineStr">
        <is>
          <t>Сметная прибыль</t>
        </is>
      </c>
      <c r="I189" s="404" t="n"/>
      <c r="J189" s="404" t="n"/>
      <c r="K189" s="404" t="n">
        <v>211</v>
      </c>
      <c r="L189" s="404" t="n">
        <v>26</v>
      </c>
      <c r="M189" s="404" t="n">
        <v>3</v>
      </c>
      <c r="N189" s="404" t="inlineStr"/>
      <c r="O189" s="404" t="n">
        <v>0</v>
      </c>
      <c r="P189" s="404" t="n"/>
      <c r="Q189" s="404" t="n"/>
      <c r="R189" s="404" t="n"/>
      <c r="S189" s="404" t="n"/>
      <c r="T189" s="404" t="n"/>
      <c r="U189" s="404" t="n"/>
      <c r="V189" s="404" t="n"/>
      <c r="W189" s="404" t="n">
        <v>0</v>
      </c>
      <c r="X189" s="404" t="n">
        <v>1</v>
      </c>
      <c r="Y189" s="404" t="n">
        <v>0</v>
      </c>
      <c r="Z189" s="404" t="n"/>
      <c r="AA189" s="404" t="n"/>
      <c r="AB189" s="404" t="n"/>
    </row>
    <row r="190">
      <c r="A190" s="404" t="n">
        <v>50</v>
      </c>
      <c r="B190" s="404" t="n">
        <v>0</v>
      </c>
      <c r="C190" s="404" t="n">
        <v>0</v>
      </c>
      <c r="D190" s="404" t="n">
        <v>1</v>
      </c>
      <c r="E190" s="404" t="n">
        <v>224</v>
      </c>
      <c r="F190" s="404">
        <f>ROUND(Source!AR162,O190)</f>
        <v/>
      </c>
      <c r="G190" s="404" t="inlineStr">
        <is>
          <t>Всего</t>
        </is>
      </c>
      <c r="H190" s="404" t="inlineStr">
        <is>
          <t>Всего с НР и СП</t>
        </is>
      </c>
      <c r="I190" s="404" t="n"/>
      <c r="J190" s="404" t="n"/>
      <c r="K190" s="404" t="n">
        <v>224</v>
      </c>
      <c r="L190" s="404" t="n">
        <v>27</v>
      </c>
      <c r="M190" s="404" t="n">
        <v>3</v>
      </c>
      <c r="N190" s="404" t="inlineStr"/>
      <c r="O190" s="404" t="n">
        <v>0</v>
      </c>
      <c r="P190" s="404" t="n"/>
      <c r="Q190" s="404" t="n"/>
      <c r="R190" s="404" t="n"/>
      <c r="S190" s="404" t="n"/>
      <c r="T190" s="404" t="n"/>
      <c r="U190" s="404" t="n"/>
      <c r="V190" s="404" t="n"/>
      <c r="W190" s="404" t="n">
        <v>0</v>
      </c>
      <c r="X190" s="404" t="n">
        <v>1</v>
      </c>
      <c r="Y190" s="404" t="n">
        <v>0</v>
      </c>
      <c r="Z190" s="404" t="n"/>
      <c r="AA190" s="404" t="n"/>
      <c r="AB190" s="404" t="n"/>
    </row>
    <row r="191">
      <c r="A191" s="404" t="n">
        <v>50</v>
      </c>
      <c r="B191" s="404" t="n">
        <v>0</v>
      </c>
      <c r="C191" s="404" t="n">
        <v>0</v>
      </c>
      <c r="D191" s="404" t="n">
        <v>2</v>
      </c>
      <c r="E191" s="404" t="n">
        <v>0</v>
      </c>
      <c r="F191" s="404">
        <f>ROUND(F190,O191)</f>
        <v/>
      </c>
      <c r="G191" s="404" t="inlineStr">
        <is>
          <t>и1</t>
        </is>
      </c>
      <c r="H191" s="404" t="inlineStr">
        <is>
          <t>Итого</t>
        </is>
      </c>
      <c r="I191" s="404" t="n"/>
      <c r="J191" s="404" t="n"/>
      <c r="K191" s="404" t="n">
        <v>212</v>
      </c>
      <c r="L191" s="404" t="n">
        <v>28</v>
      </c>
      <c r="M191" s="404" t="n">
        <v>0</v>
      </c>
      <c r="N191" s="404" t="inlineStr"/>
      <c r="O191" s="404" t="n">
        <v>0</v>
      </c>
      <c r="P191" s="404" t="n"/>
      <c r="Q191" s="404" t="n"/>
      <c r="R191" s="404" t="n"/>
      <c r="S191" s="404" t="n"/>
      <c r="T191" s="404" t="n"/>
      <c r="U191" s="404" t="n"/>
      <c r="V191" s="404" t="n"/>
      <c r="W191" s="404" t="n">
        <v>0</v>
      </c>
      <c r="X191" s="404" t="n">
        <v>1</v>
      </c>
      <c r="Y191" s="404" t="n">
        <v>0</v>
      </c>
      <c r="Z191" s="404" t="n"/>
      <c r="AA191" s="404" t="n"/>
      <c r="AB191" s="404" t="n"/>
    </row>
    <row r="192">
      <c r="A192" s="404" t="n">
        <v>50</v>
      </c>
      <c r="B192" s="404" t="n">
        <v>0</v>
      </c>
      <c r="C192" s="404" t="n">
        <v>0</v>
      </c>
      <c r="D192" s="404" t="n">
        <v>2</v>
      </c>
      <c r="E192" s="404" t="n">
        <v>0</v>
      </c>
      <c r="F192" s="404">
        <f>ROUND(F191*0.22,O192)</f>
        <v/>
      </c>
      <c r="G192" s="404" t="inlineStr">
        <is>
          <t>и2</t>
        </is>
      </c>
      <c r="H192" s="404" t="inlineStr">
        <is>
          <t>НДС 22%</t>
        </is>
      </c>
      <c r="I192" s="404" t="n"/>
      <c r="J192" s="404" t="n"/>
      <c r="K192" s="404" t="n">
        <v>212</v>
      </c>
      <c r="L192" s="404" t="n">
        <v>29</v>
      </c>
      <c r="M192" s="404" t="n">
        <v>0</v>
      </c>
      <c r="N192" s="404" t="inlineStr"/>
      <c r="O192" s="404" t="n">
        <v>0</v>
      </c>
      <c r="P192" s="404" t="n"/>
      <c r="Q192" s="404" t="n"/>
      <c r="R192" s="404" t="n"/>
      <c r="S192" s="404" t="n"/>
      <c r="T192" s="404" t="n"/>
      <c r="U192" s="404" t="n"/>
      <c r="V192" s="404" t="n"/>
      <c r="W192" s="404" t="n">
        <v>0</v>
      </c>
      <c r="X192" s="404" t="n">
        <v>1</v>
      </c>
      <c r="Y192" s="404" t="n">
        <v>0</v>
      </c>
      <c r="Z192" s="404" t="n"/>
      <c r="AA192" s="404" t="n"/>
      <c r="AB192" s="404" t="n"/>
    </row>
    <row r="193">
      <c r="A193" s="404" t="n">
        <v>50</v>
      </c>
      <c r="B193" s="404" t="n">
        <v>0</v>
      </c>
      <c r="C193" s="404" t="n">
        <v>0</v>
      </c>
      <c r="D193" s="404" t="n">
        <v>2</v>
      </c>
      <c r="E193" s="404" t="n">
        <v>213</v>
      </c>
      <c r="F193" s="404">
        <f>ROUND(F191+F192,O193)</f>
        <v/>
      </c>
      <c r="G193" s="404" t="inlineStr">
        <is>
          <t>и3</t>
        </is>
      </c>
      <c r="H193" s="404" t="inlineStr">
        <is>
          <t>Всего</t>
        </is>
      </c>
      <c r="I193" s="404" t="n"/>
      <c r="J193" s="404" t="n"/>
      <c r="K193" s="404" t="n">
        <v>212</v>
      </c>
      <c r="L193" s="404" t="n">
        <v>30</v>
      </c>
      <c r="M193" s="404" t="n">
        <v>0</v>
      </c>
      <c r="N193" s="404" t="inlineStr"/>
      <c r="O193" s="404" t="n">
        <v>0</v>
      </c>
      <c r="P193" s="404" t="n"/>
      <c r="Q193" s="404" t="n"/>
      <c r="R193" s="404" t="n"/>
      <c r="S193" s="404" t="n"/>
      <c r="T193" s="404" t="n"/>
      <c r="U193" s="404" t="n"/>
      <c r="V193" s="404" t="n"/>
      <c r="W193" s="404" t="n">
        <v>0</v>
      </c>
      <c r="X193" s="404" t="n">
        <v>1</v>
      </c>
      <c r="Y193" s="404" t="n">
        <v>0</v>
      </c>
      <c r="Z193" s="404" t="n"/>
      <c r="AA193" s="404" t="n"/>
      <c r="AB193" s="404" t="n"/>
    </row>
    <row r="194"/>
    <row r="195">
      <c r="A195" s="401" t="n">
        <v>3</v>
      </c>
      <c r="B195" s="401" t="n">
        <v>0</v>
      </c>
      <c r="C195" s="401" t="n"/>
      <c r="D195" s="401">
        <f>ROW(A207)</f>
        <v/>
      </c>
      <c r="E195" s="401" t="n"/>
      <c r="F195" s="401" t="inlineStr">
        <is>
          <t>Новая локальная смета</t>
        </is>
      </c>
      <c r="G195" s="401" t="inlineStr">
        <is>
          <t>Текстильщиков 5</t>
        </is>
      </c>
      <c r="H195" s="401" t="inlineStr"/>
      <c r="I195" s="401" t="n">
        <v>0</v>
      </c>
      <c r="J195" s="401" t="inlineStr"/>
      <c r="K195" s="401" t="n">
        <v>0</v>
      </c>
      <c r="L195" s="401" t="inlineStr">
        <is>
          <t>Новая локальная смета</t>
        </is>
      </c>
      <c r="M195" s="401" t="inlineStr"/>
      <c r="N195" s="401" t="n"/>
      <c r="O195" s="401" t="n"/>
      <c r="P195" s="401" t="n"/>
      <c r="Q195" s="401" t="n"/>
      <c r="R195" s="401" t="n"/>
      <c r="S195" s="401" t="n">
        <v>0</v>
      </c>
      <c r="T195" s="401" t="n"/>
      <c r="U195" s="401" t="inlineStr"/>
      <c r="V195" s="401" t="n">
        <v>0</v>
      </c>
      <c r="W195" s="401" t="n"/>
      <c r="X195" s="401" t="n"/>
      <c r="Y195" s="401" t="n"/>
      <c r="Z195" s="401" t="n"/>
      <c r="AA195" s="401" t="n"/>
      <c r="AB195" s="401" t="inlineStr"/>
      <c r="AC195" s="401" t="inlineStr"/>
      <c r="AD195" s="401" t="inlineStr"/>
      <c r="AE195" s="401" t="inlineStr"/>
      <c r="AF195" s="401" t="inlineStr"/>
      <c r="AG195" s="401" t="inlineStr"/>
      <c r="AH195" s="401" t="n"/>
      <c r="AI195" s="401" t="n"/>
      <c r="AJ195" s="401" t="n"/>
      <c r="AK195" s="401" t="n"/>
      <c r="AL195" s="401" t="n"/>
      <c r="AM195" s="401" t="n"/>
      <c r="AN195" s="401" t="n"/>
      <c r="AO195" s="401" t="n"/>
      <c r="AP195" s="401" t="inlineStr"/>
      <c r="AQ195" s="401" t="inlineStr"/>
      <c r="AR195" s="401" t="inlineStr"/>
      <c r="AS195" s="401" t="n"/>
      <c r="AT195" s="401" t="n"/>
      <c r="AU195" s="401" t="n"/>
      <c r="AV195" s="401" t="n"/>
      <c r="AW195" s="401" t="n"/>
      <c r="AX195" s="401" t="n"/>
      <c r="AY195" s="401" t="n"/>
      <c r="AZ195" s="401" t="inlineStr"/>
      <c r="BA195" s="401" t="n"/>
      <c r="BB195" s="401" t="inlineStr"/>
      <c r="BC195" s="401" t="inlineStr"/>
      <c r="BD195" s="401" t="inlineStr"/>
      <c r="BE195" s="401" t="inlineStr"/>
      <c r="BF195" s="401" t="inlineStr"/>
      <c r="BG195" s="401" t="inlineStr"/>
      <c r="BH195" s="401" t="inlineStr"/>
      <c r="BI195" s="401" t="inlineStr"/>
      <c r="BJ195" s="401" t="inlineStr"/>
      <c r="BK195" s="401" t="inlineStr"/>
      <c r="BL195" s="401" t="inlineStr"/>
      <c r="BM195" s="401" t="inlineStr"/>
      <c r="BN195" s="401" t="inlineStr"/>
      <c r="BO195" s="401" t="inlineStr"/>
      <c r="BP195" s="401" t="inlineStr"/>
      <c r="BQ195" s="401" t="n"/>
      <c r="BR195" s="401" t="n"/>
      <c r="BS195" s="401" t="n"/>
      <c r="BT195" s="401" t="n"/>
      <c r="BU195" s="401" t="n"/>
      <c r="BV195" s="401" t="n"/>
      <c r="BW195" s="401" t="n"/>
      <c r="BX195" s="401" t="n">
        <v>0</v>
      </c>
      <c r="BY195" s="401" t="n"/>
      <c r="BZ195" s="401" t="n"/>
      <c r="CA195" s="401" t="n"/>
      <c r="CB195" s="401" t="n"/>
      <c r="CC195" s="401" t="n"/>
      <c r="CD195" s="401" t="n"/>
      <c r="CE195" s="401" t="n"/>
      <c r="CF195" s="401" t="n">
        <v>0</v>
      </c>
      <c r="CG195" s="401" t="n">
        <v>0</v>
      </c>
      <c r="CH195" s="401" t="n"/>
      <c r="CI195" s="401" t="inlineStr"/>
      <c r="CJ195" s="401" t="inlineStr"/>
      <c r="CK195" t="inlineStr"/>
      <c r="CL195" t="inlineStr"/>
      <c r="CM195" t="inlineStr"/>
      <c r="CN195" t="inlineStr"/>
      <c r="CO195" t="inlineStr"/>
      <c r="CP195" t="inlineStr"/>
      <c r="CQ195" t="inlineStr"/>
    </row>
    <row r="196"/>
    <row r="197">
      <c r="A197" s="402" t="n">
        <v>52</v>
      </c>
      <c r="B197" s="402">
        <f>B207</f>
        <v/>
      </c>
      <c r="C197" s="402">
        <f>C207</f>
        <v/>
      </c>
      <c r="D197" s="402">
        <f>D207</f>
        <v/>
      </c>
      <c r="E197" s="402">
        <f>E207</f>
        <v/>
      </c>
      <c r="F197" s="402">
        <f>F207</f>
        <v/>
      </c>
      <c r="G197" s="402">
        <f>G207</f>
        <v/>
      </c>
      <c r="H197" s="402" t="n"/>
      <c r="I197" s="402" t="n"/>
      <c r="J197" s="402" t="n"/>
      <c r="K197" s="402" t="n"/>
      <c r="L197" s="402" t="n"/>
      <c r="M197" s="402" t="n"/>
      <c r="N197" s="402" t="n"/>
      <c r="O197" s="402">
        <f>O207</f>
        <v/>
      </c>
      <c r="P197" s="402">
        <f>P207</f>
        <v/>
      </c>
      <c r="Q197" s="402">
        <f>Q207</f>
        <v/>
      </c>
      <c r="R197" s="402">
        <f>R207</f>
        <v/>
      </c>
      <c r="S197" s="402">
        <f>S207</f>
        <v/>
      </c>
      <c r="T197" s="402">
        <f>T207</f>
        <v/>
      </c>
      <c r="U197" s="402">
        <f>U207</f>
        <v/>
      </c>
      <c r="V197" s="402">
        <f>V207</f>
        <v/>
      </c>
      <c r="W197" s="402">
        <f>W207</f>
        <v/>
      </c>
      <c r="X197" s="402">
        <f>X207</f>
        <v/>
      </c>
      <c r="Y197" s="402">
        <f>Y207</f>
        <v/>
      </c>
      <c r="Z197" s="402">
        <f>Z207</f>
        <v/>
      </c>
      <c r="AA197" s="402">
        <f>AA207</f>
        <v/>
      </c>
      <c r="AB197" s="402">
        <f>AB207</f>
        <v/>
      </c>
      <c r="AC197" s="402">
        <f>AC207</f>
        <v/>
      </c>
      <c r="AD197" s="402">
        <f>AD207</f>
        <v/>
      </c>
      <c r="AE197" s="402">
        <f>AE207</f>
        <v/>
      </c>
      <c r="AF197" s="402">
        <f>AF207</f>
        <v/>
      </c>
      <c r="AG197" s="402">
        <f>AG207</f>
        <v/>
      </c>
      <c r="AH197" s="402">
        <f>AH207</f>
        <v/>
      </c>
      <c r="AI197" s="402">
        <f>AI207</f>
        <v/>
      </c>
      <c r="AJ197" s="402">
        <f>AJ207</f>
        <v/>
      </c>
      <c r="AK197" s="402">
        <f>AK207</f>
        <v/>
      </c>
      <c r="AL197" s="402">
        <f>AL207</f>
        <v/>
      </c>
      <c r="AM197" s="402">
        <f>AM207</f>
        <v/>
      </c>
      <c r="AN197" s="402">
        <f>AN207</f>
        <v/>
      </c>
      <c r="AO197" s="402">
        <f>AO207</f>
        <v/>
      </c>
      <c r="AP197" s="402">
        <f>AP207</f>
        <v/>
      </c>
      <c r="AQ197" s="402">
        <f>AQ207</f>
        <v/>
      </c>
      <c r="AR197" s="402">
        <f>AR207</f>
        <v/>
      </c>
      <c r="AS197" s="402">
        <f>AS207</f>
        <v/>
      </c>
      <c r="AT197" s="402">
        <f>AT207</f>
        <v/>
      </c>
      <c r="AU197" s="402">
        <f>AU207</f>
        <v/>
      </c>
      <c r="AV197" s="402">
        <f>AV207</f>
        <v/>
      </c>
      <c r="AW197" s="402">
        <f>AW207</f>
        <v/>
      </c>
      <c r="AX197" s="402">
        <f>AX207</f>
        <v/>
      </c>
      <c r="AY197" s="402">
        <f>AY207</f>
        <v/>
      </c>
      <c r="AZ197" s="402">
        <f>AZ207</f>
        <v/>
      </c>
      <c r="BA197" s="402">
        <f>BA207</f>
        <v/>
      </c>
      <c r="BB197" s="402">
        <f>BB207</f>
        <v/>
      </c>
      <c r="BC197" s="402">
        <f>BC207</f>
        <v/>
      </c>
      <c r="BD197" s="402">
        <f>BD207</f>
        <v/>
      </c>
      <c r="BE197" s="402">
        <f>BE207</f>
        <v/>
      </c>
      <c r="BF197" s="402">
        <f>BF207</f>
        <v/>
      </c>
      <c r="BG197" s="402">
        <f>BG207</f>
        <v/>
      </c>
      <c r="BH197" s="402">
        <f>BH207</f>
        <v/>
      </c>
      <c r="BI197" s="402">
        <f>BI207</f>
        <v/>
      </c>
      <c r="BJ197" s="402">
        <f>BJ207</f>
        <v/>
      </c>
      <c r="BK197" s="402">
        <f>BK207</f>
        <v/>
      </c>
      <c r="BL197" s="402">
        <f>BL207</f>
        <v/>
      </c>
      <c r="BM197" s="402">
        <f>BM207</f>
        <v/>
      </c>
      <c r="BN197" s="402">
        <f>BN207</f>
        <v/>
      </c>
      <c r="BO197" s="402">
        <f>BO207</f>
        <v/>
      </c>
      <c r="BP197" s="402">
        <f>BP207</f>
        <v/>
      </c>
      <c r="BQ197" s="402">
        <f>BQ207</f>
        <v/>
      </c>
      <c r="BR197" s="402">
        <f>BR207</f>
        <v/>
      </c>
      <c r="BS197" s="402">
        <f>BS207</f>
        <v/>
      </c>
      <c r="BT197" s="402">
        <f>BT207</f>
        <v/>
      </c>
      <c r="BU197" s="402">
        <f>BU207</f>
        <v/>
      </c>
      <c r="BV197" s="402">
        <f>BV207</f>
        <v/>
      </c>
      <c r="BW197" s="402">
        <f>BW207</f>
        <v/>
      </c>
      <c r="BX197" s="402">
        <f>BX207</f>
        <v/>
      </c>
      <c r="BY197" s="402">
        <f>BY207</f>
        <v/>
      </c>
      <c r="BZ197" s="402">
        <f>BZ207</f>
        <v/>
      </c>
      <c r="CA197" s="402">
        <f>CA207</f>
        <v/>
      </c>
      <c r="CB197" s="402">
        <f>CB207</f>
        <v/>
      </c>
      <c r="CC197" s="402">
        <f>CC207</f>
        <v/>
      </c>
      <c r="CD197" s="402">
        <f>CD207</f>
        <v/>
      </c>
      <c r="CE197" s="402">
        <f>CE207</f>
        <v/>
      </c>
      <c r="CF197" s="402">
        <f>CF207</f>
        <v/>
      </c>
      <c r="CG197" s="402">
        <f>CG207</f>
        <v/>
      </c>
      <c r="CH197" s="402">
        <f>CH207</f>
        <v/>
      </c>
      <c r="CI197" s="402">
        <f>CI207</f>
        <v/>
      </c>
      <c r="CJ197" s="402">
        <f>CJ207</f>
        <v/>
      </c>
      <c r="CK197" s="402">
        <f>CK207</f>
        <v/>
      </c>
      <c r="CL197" s="402">
        <f>CL207</f>
        <v/>
      </c>
      <c r="CM197" s="402">
        <f>CM207</f>
        <v/>
      </c>
      <c r="CN197" s="402">
        <f>CN207</f>
        <v/>
      </c>
      <c r="CO197" s="402">
        <f>CO207</f>
        <v/>
      </c>
      <c r="CP197" s="402">
        <f>CP207</f>
        <v/>
      </c>
      <c r="CQ197" s="402">
        <f>CQ207</f>
        <v/>
      </c>
      <c r="CR197" s="402">
        <f>CR207</f>
        <v/>
      </c>
      <c r="CS197" s="402">
        <f>CS207</f>
        <v/>
      </c>
      <c r="CT197" s="402">
        <f>CT207</f>
        <v/>
      </c>
      <c r="CU197" s="402">
        <f>CU207</f>
        <v/>
      </c>
      <c r="CV197" s="402">
        <f>CV207</f>
        <v/>
      </c>
      <c r="CW197" s="402">
        <f>CW207</f>
        <v/>
      </c>
      <c r="CX197" s="402">
        <f>CX207</f>
        <v/>
      </c>
      <c r="CY197" s="402">
        <f>CY207</f>
        <v/>
      </c>
      <c r="CZ197" s="402">
        <f>CZ207</f>
        <v/>
      </c>
      <c r="DA197" s="402">
        <f>DA207</f>
        <v/>
      </c>
      <c r="DB197" s="402">
        <f>DB207</f>
        <v/>
      </c>
      <c r="DC197" s="402">
        <f>DC207</f>
        <v/>
      </c>
      <c r="DD197" s="402">
        <f>DD207</f>
        <v/>
      </c>
      <c r="DE197" s="402">
        <f>DE207</f>
        <v/>
      </c>
      <c r="DF197" s="402">
        <f>DF207</f>
        <v/>
      </c>
      <c r="DG197" s="403">
        <f>DG207</f>
        <v/>
      </c>
      <c r="DH197" s="403">
        <f>DH207</f>
        <v/>
      </c>
      <c r="DI197" s="403">
        <f>DI207</f>
        <v/>
      </c>
      <c r="DJ197" s="403">
        <f>DJ207</f>
        <v/>
      </c>
      <c r="DK197" s="403">
        <f>DK207</f>
        <v/>
      </c>
      <c r="DL197" s="403">
        <f>DL207</f>
        <v/>
      </c>
      <c r="DM197" s="403">
        <f>DM207</f>
        <v/>
      </c>
      <c r="DN197" s="403">
        <f>DN207</f>
        <v/>
      </c>
      <c r="DO197" s="403">
        <f>DO207</f>
        <v/>
      </c>
      <c r="DP197" s="403">
        <f>DP207</f>
        <v/>
      </c>
      <c r="DQ197" s="403">
        <f>DQ207</f>
        <v/>
      </c>
      <c r="DR197" s="403">
        <f>DR207</f>
        <v/>
      </c>
      <c r="DS197" s="403">
        <f>DS207</f>
        <v/>
      </c>
      <c r="DT197" s="403">
        <f>DT207</f>
        <v/>
      </c>
      <c r="DU197" s="403">
        <f>DU207</f>
        <v/>
      </c>
      <c r="DV197" s="403">
        <f>DV207</f>
        <v/>
      </c>
      <c r="DW197" s="403">
        <f>DW207</f>
        <v/>
      </c>
      <c r="DX197" s="403">
        <f>DX207</f>
        <v/>
      </c>
      <c r="DY197" s="403">
        <f>DY207</f>
        <v/>
      </c>
      <c r="DZ197" s="403">
        <f>DZ207</f>
        <v/>
      </c>
      <c r="EA197" s="403">
        <f>EA207</f>
        <v/>
      </c>
      <c r="EB197" s="403">
        <f>EB207</f>
        <v/>
      </c>
      <c r="EC197" s="403">
        <f>EC207</f>
        <v/>
      </c>
      <c r="ED197" s="403">
        <f>ED207</f>
        <v/>
      </c>
      <c r="EE197" s="403">
        <f>EE207</f>
        <v/>
      </c>
      <c r="EF197" s="403">
        <f>EF207</f>
        <v/>
      </c>
      <c r="EG197" s="403">
        <f>EG207</f>
        <v/>
      </c>
      <c r="EH197" s="403">
        <f>EH207</f>
        <v/>
      </c>
      <c r="EI197" s="403">
        <f>EI207</f>
        <v/>
      </c>
      <c r="EJ197" s="403">
        <f>EJ207</f>
        <v/>
      </c>
      <c r="EK197" s="403">
        <f>EK207</f>
        <v/>
      </c>
      <c r="EL197" s="403">
        <f>EL207</f>
        <v/>
      </c>
      <c r="EM197" s="403">
        <f>EM207</f>
        <v/>
      </c>
      <c r="EN197" s="403">
        <f>EN207</f>
        <v/>
      </c>
      <c r="EO197" s="403">
        <f>EO207</f>
        <v/>
      </c>
      <c r="EP197" s="403">
        <f>EP207</f>
        <v/>
      </c>
      <c r="EQ197" s="403">
        <f>EQ207</f>
        <v/>
      </c>
      <c r="ER197" s="403">
        <f>ER207</f>
        <v/>
      </c>
      <c r="ES197" s="403">
        <f>ES207</f>
        <v/>
      </c>
      <c r="ET197" s="403">
        <f>ET207</f>
        <v/>
      </c>
      <c r="EU197" s="403">
        <f>EU207</f>
        <v/>
      </c>
      <c r="EV197" s="403">
        <f>EV207</f>
        <v/>
      </c>
      <c r="EW197" s="403">
        <f>EW207</f>
        <v/>
      </c>
      <c r="EX197" s="403">
        <f>EX207</f>
        <v/>
      </c>
      <c r="EY197" s="403">
        <f>EY207</f>
        <v/>
      </c>
      <c r="EZ197" s="403">
        <f>EZ207</f>
        <v/>
      </c>
      <c r="FA197" s="403">
        <f>FA207</f>
        <v/>
      </c>
      <c r="FB197" s="403">
        <f>FB207</f>
        <v/>
      </c>
      <c r="FC197" s="403">
        <f>FC207</f>
        <v/>
      </c>
      <c r="FD197" s="403">
        <f>FD207</f>
        <v/>
      </c>
      <c r="FE197" s="403">
        <f>FE207</f>
        <v/>
      </c>
      <c r="FF197" s="403">
        <f>FF207</f>
        <v/>
      </c>
      <c r="FG197" s="403">
        <f>FG207</f>
        <v/>
      </c>
      <c r="FH197" s="403">
        <f>FH207</f>
        <v/>
      </c>
      <c r="FI197" s="403">
        <f>FI207</f>
        <v/>
      </c>
      <c r="FJ197" s="403">
        <f>FJ207</f>
        <v/>
      </c>
      <c r="FK197" s="403">
        <f>FK207</f>
        <v/>
      </c>
      <c r="FL197" s="403">
        <f>FL207</f>
        <v/>
      </c>
      <c r="FM197" s="403">
        <f>FM207</f>
        <v/>
      </c>
      <c r="FN197" s="403">
        <f>FN207</f>
        <v/>
      </c>
      <c r="FO197" s="403">
        <f>FO207</f>
        <v/>
      </c>
      <c r="FP197" s="403">
        <f>FP207</f>
        <v/>
      </c>
      <c r="FQ197" s="403">
        <f>FQ207</f>
        <v/>
      </c>
      <c r="FR197" s="403">
        <f>FR207</f>
        <v/>
      </c>
      <c r="FS197" s="403">
        <f>FS207</f>
        <v/>
      </c>
      <c r="FT197" s="403">
        <f>FT207</f>
        <v/>
      </c>
      <c r="FU197" s="403">
        <f>FU207</f>
        <v/>
      </c>
      <c r="FV197" s="403">
        <f>FV207</f>
        <v/>
      </c>
      <c r="FW197" s="403">
        <f>FW207</f>
        <v/>
      </c>
      <c r="FX197" s="403">
        <f>FX207</f>
        <v/>
      </c>
      <c r="FY197" s="403">
        <f>FY207</f>
        <v/>
      </c>
      <c r="FZ197" s="403">
        <f>FZ207</f>
        <v/>
      </c>
      <c r="GA197" s="403">
        <f>GA207</f>
        <v/>
      </c>
      <c r="GB197" s="403">
        <f>GB207</f>
        <v/>
      </c>
      <c r="GC197" s="403">
        <f>GC207</f>
        <v/>
      </c>
      <c r="GD197" s="403">
        <f>GD207</f>
        <v/>
      </c>
      <c r="GE197" s="403">
        <f>GE207</f>
        <v/>
      </c>
      <c r="GF197" s="403">
        <f>GF207</f>
        <v/>
      </c>
      <c r="GG197" s="403">
        <f>GG207</f>
        <v/>
      </c>
      <c r="GH197" s="403">
        <f>GH207</f>
        <v/>
      </c>
      <c r="GI197" s="403">
        <f>GI207</f>
        <v/>
      </c>
      <c r="GJ197" s="403">
        <f>GJ207</f>
        <v/>
      </c>
      <c r="GK197" s="403">
        <f>GK207</f>
        <v/>
      </c>
      <c r="GL197" s="403">
        <f>GL207</f>
        <v/>
      </c>
      <c r="GM197" s="403">
        <f>GM207</f>
        <v/>
      </c>
      <c r="GN197" s="403">
        <f>GN207</f>
        <v/>
      </c>
      <c r="GO197" s="403">
        <f>GO207</f>
        <v/>
      </c>
      <c r="GP197" s="403">
        <f>GP207</f>
        <v/>
      </c>
      <c r="GQ197" s="403">
        <f>GQ207</f>
        <v/>
      </c>
      <c r="GR197" s="403">
        <f>GR207</f>
        <v/>
      </c>
      <c r="GS197" s="403">
        <f>GS207</f>
        <v/>
      </c>
      <c r="GT197" s="403">
        <f>GT207</f>
        <v/>
      </c>
      <c r="GU197" s="403">
        <f>GU207</f>
        <v/>
      </c>
      <c r="GV197" s="403">
        <f>GV207</f>
        <v/>
      </c>
      <c r="GW197" s="403">
        <f>GW207</f>
        <v/>
      </c>
      <c r="GX197" s="403">
        <f>GX207</f>
        <v/>
      </c>
    </row>
    <row r="198"/>
    <row r="199">
      <c r="A199" t="n">
        <v>17</v>
      </c>
      <c r="B199" t="n">
        <v>0</v>
      </c>
      <c r="C199">
        <f>ROW(SmtRes!A93)</f>
        <v/>
      </c>
      <c r="D199">
        <f>ROW(EtalonRes!A89)</f>
        <v/>
      </c>
      <c r="E199" t="inlineStr">
        <is>
          <t>1</t>
        </is>
      </c>
      <c r="F199" t="inlineStr">
        <is>
          <t>65-10-1</t>
        </is>
      </c>
      <c r="G199" t="inlineStr">
        <is>
          <t>Очистка канализационной сети внутренней</t>
        </is>
      </c>
      <c r="H199" t="inlineStr">
        <is>
          <t>100 м трубопровода</t>
        </is>
      </c>
      <c r="I199">
        <f>ROUND(ROUND(70/100,4),7)</f>
        <v/>
      </c>
      <c r="J199" t="n">
        <v>0</v>
      </c>
      <c r="K199">
        <f>ROUND(ROUND(70/100,4),7)</f>
        <v/>
      </c>
      <c r="O199">
        <f>ROUND(CP199,0)</f>
        <v/>
      </c>
      <c r="P199">
        <f>ROUND(CQ199*I199,0)</f>
        <v/>
      </c>
      <c r="Q199">
        <f>(ROUND((ROUND(((ET199)*I199),0)*BB199),0)+ROUND((ROUND(((AE199-(EU199))*I199),0)*BS199),0))</f>
        <v/>
      </c>
      <c r="R199">
        <f>(ROUND((ROUND(((EU199)*I199),0)*BS199),0)+ROUND((ROUND(((AE199-(EU199))*I199),0)*BS199),0))</f>
        <v/>
      </c>
      <c r="S199">
        <f>ROUND(CT199*I199,0)</f>
        <v/>
      </c>
      <c r="T199">
        <f>ROUND(CU199*I199,0)</f>
        <v/>
      </c>
      <c r="U199">
        <f>ROUND(CV199*I199,7)</f>
        <v/>
      </c>
      <c r="V199">
        <f>ROUND(CW199*I199,7)</f>
        <v/>
      </c>
      <c r="W199">
        <f>ROUND(CX199*I199,0)</f>
        <v/>
      </c>
      <c r="X199">
        <f>ROUND(CY199,0)</f>
        <v/>
      </c>
      <c r="Y199">
        <f>ROUND(CZ199,0)</f>
        <v/>
      </c>
      <c r="AA199" t="n">
        <v>78869116</v>
      </c>
      <c r="AB199">
        <f>ROUND((AC199+AD199+AF199),2)</f>
        <v/>
      </c>
      <c r="AC199">
        <f>ROUND((ES199),2)</f>
        <v/>
      </c>
      <c r="AD199">
        <f>ROUND((((ET199)-(EU199))+AE199),2)</f>
        <v/>
      </c>
      <c r="AE199">
        <f>ROUND((EU199),2)</f>
        <v/>
      </c>
      <c r="AF199">
        <f>ROUND((EV199),2)</f>
        <v/>
      </c>
      <c r="AG199">
        <f>ROUND((AP199),2)</f>
        <v/>
      </c>
      <c r="AH199">
        <f>(EW199)</f>
        <v/>
      </c>
      <c r="AI199">
        <f>(EX199)</f>
        <v/>
      </c>
      <c r="AJ199">
        <f>(AS199)</f>
        <v/>
      </c>
      <c r="AK199" t="n">
        <v>403.3</v>
      </c>
      <c r="AL199" t="n">
        <v>139.36</v>
      </c>
      <c r="AM199" t="n">
        <v>0.87</v>
      </c>
      <c r="AN199" t="n">
        <v>0</v>
      </c>
      <c r="AO199" t="n">
        <v>263.07</v>
      </c>
      <c r="AP199" t="n">
        <v>0</v>
      </c>
      <c r="AQ199" t="n">
        <v>32.2</v>
      </c>
      <c r="AR199" t="n">
        <v>0</v>
      </c>
      <c r="AS199" t="n">
        <v>0</v>
      </c>
      <c r="AT199" t="n">
        <v>103</v>
      </c>
      <c r="AU199" t="n">
        <v>52</v>
      </c>
      <c r="AV199" t="n">
        <v>1</v>
      </c>
      <c r="AW199" t="n">
        <v>1</v>
      </c>
      <c r="AZ199" t="n">
        <v>1</v>
      </c>
      <c r="BA199" t="n">
        <v>52.25</v>
      </c>
      <c r="BB199" t="n">
        <v>25.03</v>
      </c>
      <c r="BC199" t="n">
        <v>11.85</v>
      </c>
      <c r="BD199" t="inlineStr"/>
      <c r="BE199" t="inlineStr"/>
      <c r="BF199" t="inlineStr"/>
      <c r="BG199" t="inlineStr"/>
      <c r="BH199" t="n">
        <v>0</v>
      </c>
      <c r="BI199" t="n">
        <v>1</v>
      </c>
      <c r="BJ199" t="inlineStr">
        <is>
          <t>ТЕРр Московской обл., 65-10-1, приказ Минстроя России №675/пр от 28.02.2017 № 263/пр</t>
        </is>
      </c>
      <c r="BM199" t="n">
        <v>65007</v>
      </c>
      <c r="BN199" t="n">
        <v>0</v>
      </c>
      <c r="BO199" t="inlineStr">
        <is>
          <t>65-10-1</t>
        </is>
      </c>
      <c r="BP199" t="n">
        <v>1</v>
      </c>
      <c r="BQ199" t="n">
        <v>6</v>
      </c>
      <c r="BR199" t="n">
        <v>0</v>
      </c>
      <c r="BS199" t="n">
        <v>52.25</v>
      </c>
      <c r="BT199" t="n">
        <v>1</v>
      </c>
      <c r="BU199" t="n">
        <v>1</v>
      </c>
      <c r="BV199" t="n">
        <v>1</v>
      </c>
      <c r="BW199" t="n">
        <v>1</v>
      </c>
      <c r="BX199" t="n">
        <v>1</v>
      </c>
      <c r="BY199" t="inlineStr"/>
      <c r="BZ199" t="n">
        <v>103</v>
      </c>
      <c r="CA199" t="n">
        <v>52</v>
      </c>
      <c r="CB199" t="inlineStr"/>
      <c r="CE199" t="n">
        <v>12</v>
      </c>
      <c r="CF199" t="n">
        <v>0</v>
      </c>
      <c r="CG199" t="n">
        <v>0</v>
      </c>
      <c r="CM199" t="n">
        <v>0</v>
      </c>
      <c r="CN199" t="inlineStr"/>
      <c r="CO199" t="n">
        <v>0</v>
      </c>
      <c r="CP199">
        <f>(P199+Q199+S199)</f>
        <v/>
      </c>
      <c r="CQ199">
        <f>AC199*BC199</f>
        <v/>
      </c>
      <c r="CR199">
        <f>(ROUND((ROUND(((ET199)*1),0)*BB199),0)+ROUND((ROUND(((AE199-(EU199))*1),0)*BS199),0))</f>
        <v/>
      </c>
      <c r="CS199">
        <f>(ROUND((ROUND(((EU199)*1),0)*BS199),0)+ROUND((ROUND(((AE199-(EU199))*1),0)*BS199),0))</f>
        <v/>
      </c>
      <c r="CT199">
        <f>AF199*BA199</f>
        <v/>
      </c>
      <c r="CU199">
        <f>AG199</f>
        <v/>
      </c>
      <c r="CV199">
        <f>AH199</f>
        <v/>
      </c>
      <c r="CW199">
        <f>AI199</f>
        <v/>
      </c>
      <c r="CX199">
        <f>AJ199</f>
        <v/>
      </c>
      <c r="CY199">
        <f>(((S199+R199)*AT199)/100)</f>
        <v/>
      </c>
      <c r="CZ199">
        <f>(((S199+R199)*AU199)/100)</f>
        <v/>
      </c>
      <c r="DC199" t="inlineStr"/>
      <c r="DD199" t="inlineStr"/>
      <c r="DE199" t="inlineStr"/>
      <c r="DF199" t="inlineStr"/>
      <c r="DG199" t="inlineStr"/>
      <c r="DH199" t="inlineStr"/>
      <c r="DI199" t="inlineStr"/>
      <c r="DJ199" t="inlineStr"/>
      <c r="DK199" t="inlineStr"/>
      <c r="DL199" t="inlineStr"/>
      <c r="DM199" t="inlineStr"/>
      <c r="DN199" t="n">
        <v>0</v>
      </c>
      <c r="DO199" t="n">
        <v>0</v>
      </c>
      <c r="DP199" t="n">
        <v>1</v>
      </c>
      <c r="DQ199" t="n">
        <v>1</v>
      </c>
      <c r="DU199" t="n">
        <v>1013</v>
      </c>
      <c r="DV199" t="inlineStr">
        <is>
          <t>100 м трубопровода</t>
        </is>
      </c>
      <c r="DW199" t="inlineStr">
        <is>
          <t>100 м трубопровода</t>
        </is>
      </c>
      <c r="DX199" t="n">
        <v>1</v>
      </c>
      <c r="DZ199" t="inlineStr"/>
      <c r="EA199" t="inlineStr"/>
      <c r="EB199" t="inlineStr"/>
      <c r="EC199" t="inlineStr"/>
      <c r="EE199" t="n">
        <v>78726000</v>
      </c>
      <c r="EF199" t="n">
        <v>6</v>
      </c>
      <c r="EG199" t="inlineStr">
        <is>
          <t>Ремонтно-строительные работы</t>
        </is>
      </c>
      <c r="EH199" t="n">
        <v>99</v>
      </c>
      <c r="EI199" t="inlineStr">
        <is>
          <t>Внутренние санитарно-технические работы</t>
        </is>
      </c>
      <c r="EJ199" t="n">
        <v>1</v>
      </c>
      <c r="EK199" t="n">
        <v>65007</v>
      </c>
      <c r="EL199" t="inlineStr">
        <is>
          <t>Внутренние санитарнотехнические работы: смена труб, санприборов, запорной арматуры и другое</t>
        </is>
      </c>
      <c r="EM199" t="inlineStr">
        <is>
          <t>рФЕР-65</t>
        </is>
      </c>
      <c r="EO199" t="inlineStr"/>
      <c r="EQ199" t="n">
        <v>0</v>
      </c>
      <c r="ER199" t="n">
        <v>403.3</v>
      </c>
      <c r="ES199" t="n">
        <v>139.36</v>
      </c>
      <c r="ET199" t="n">
        <v>0.87</v>
      </c>
      <c r="EU199" t="n">
        <v>0</v>
      </c>
      <c r="EV199" t="n">
        <v>263.07</v>
      </c>
      <c r="EW199" t="n">
        <v>32.2</v>
      </c>
      <c r="EX199" t="n">
        <v>0</v>
      </c>
      <c r="EY199" t="n">
        <v>0</v>
      </c>
      <c r="FQ199" t="n">
        <v>0</v>
      </c>
      <c r="FR199" t="n">
        <v>0</v>
      </c>
      <c r="FS199" t="n">
        <v>0</v>
      </c>
      <c r="FX199" t="n">
        <v>103</v>
      </c>
      <c r="FY199" t="n">
        <v>52</v>
      </c>
      <c r="GA199" t="inlineStr"/>
      <c r="GD199" t="n">
        <v>1</v>
      </c>
      <c r="GF199" t="n">
        <v>-66904957</v>
      </c>
      <c r="GG199" t="n">
        <v>2</v>
      </c>
      <c r="GH199" t="n">
        <v>1</v>
      </c>
      <c r="GI199" t="n">
        <v>2</v>
      </c>
      <c r="GJ199" t="n">
        <v>0</v>
      </c>
      <c r="GK199" t="n">
        <v>0</v>
      </c>
      <c r="GL199">
        <f>ROUND(IF(AND(BH199=3,BI199=3,FS199&lt;&gt;0),P199,0),0)</f>
        <v/>
      </c>
      <c r="GM199">
        <f>ROUND(O199+X199+Y199,0)+GX199</f>
        <v/>
      </c>
      <c r="GN199">
        <f>IF(OR(BI199=0,BI199=1),GM199-GX199,0)</f>
        <v/>
      </c>
      <c r="GO199">
        <f>IF(BI199=2,GM199-GX199,0)</f>
        <v/>
      </c>
      <c r="GP199">
        <f>IF(BI199=4,GM199-GX199,0)</f>
        <v/>
      </c>
      <c r="GR199" t="n">
        <v>0</v>
      </c>
      <c r="GS199" t="n">
        <v>3</v>
      </c>
      <c r="GT199" t="n">
        <v>0</v>
      </c>
      <c r="GU199" t="inlineStr"/>
      <c r="GV199">
        <f>ROUND((GT199),2)</f>
        <v/>
      </c>
      <c r="GW199" t="n">
        <v>1</v>
      </c>
      <c r="GX199">
        <f>ROUND(HC199*I199,0)</f>
        <v/>
      </c>
      <c r="HA199" t="n">
        <v>0</v>
      </c>
      <c r="HB199" t="n">
        <v>0</v>
      </c>
      <c r="HC199">
        <f>GV199*GW199</f>
        <v/>
      </c>
      <c r="HE199" t="inlineStr"/>
      <c r="HF199" t="inlineStr"/>
      <c r="HM199" t="inlineStr"/>
      <c r="HN199" t="inlineStr">
        <is>
          <t>Пр/812-099.2-1</t>
        </is>
      </c>
      <c r="HO199" t="inlineStr">
        <is>
          <t>Пр/774-099.2</t>
        </is>
      </c>
      <c r="HP199" t="inlineStr">
        <is>
          <t>Внутренние санитарнотехнические работы: смена труб, санприборов, запорной арматуры и другое</t>
        </is>
      </c>
      <c r="HQ199" t="inlineStr">
        <is>
          <t>Внутренние санитарнотехнические работы: смена труб, санприборов, запорной арматуры и другое</t>
        </is>
      </c>
      <c r="HS199" t="n">
        <v>0</v>
      </c>
      <c r="IK199" t="n">
        <v>0</v>
      </c>
    </row>
    <row r="200">
      <c r="A200" t="n">
        <v>17</v>
      </c>
      <c r="B200" t="n">
        <v>0</v>
      </c>
      <c r="C200">
        <f>ROW(SmtRes!A96)</f>
        <v/>
      </c>
      <c r="D200">
        <f>ROW(EtalonRes!A91)</f>
        <v/>
      </c>
      <c r="E200" t="inlineStr">
        <is>
          <t>2</t>
        </is>
      </c>
      <c r="F200" t="inlineStr">
        <is>
          <t>67-5-2</t>
        </is>
      </c>
      <c r="G200" t="inlineStr">
        <is>
          <t>Смена ламп люминесцентных</t>
        </is>
      </c>
      <c r="H200" t="inlineStr">
        <is>
          <t>100 шт.</t>
        </is>
      </c>
      <c r="I200">
        <f>ROUND(ROUND(4/100,4),7)</f>
        <v/>
      </c>
      <c r="J200" t="n">
        <v>0</v>
      </c>
      <c r="K200">
        <f>ROUND(ROUND(4/100,4),7)</f>
        <v/>
      </c>
      <c r="O200">
        <f>ROUND(CP200,0)</f>
        <v/>
      </c>
      <c r="P200">
        <f>ROUND(CQ200*I200,0)</f>
        <v/>
      </c>
      <c r="Q200">
        <f>(ROUND((ROUND(((ET200)*I200),0)*BB200),0)+ROUND((ROUND(((AE200-(EU200))*I200),0)*BS200),0))</f>
        <v/>
      </c>
      <c r="R200">
        <f>(ROUND((ROUND(((EU200)*I200),0)*BS200),0)+ROUND((ROUND(((AE200-(EU200))*I200),0)*BS200),0))</f>
        <v/>
      </c>
      <c r="S200">
        <f>ROUND(CT200*I200,0)</f>
        <v/>
      </c>
      <c r="T200">
        <f>ROUND(CU200*I200,0)</f>
        <v/>
      </c>
      <c r="U200">
        <f>ROUND(CV200*I200,7)</f>
        <v/>
      </c>
      <c r="V200">
        <f>ROUND(CW200*I200,7)</f>
        <v/>
      </c>
      <c r="W200">
        <f>ROUND(CX200*I200,0)</f>
        <v/>
      </c>
      <c r="X200">
        <f>ROUND(CY200,0)</f>
        <v/>
      </c>
      <c r="Y200">
        <f>ROUND(CZ200,0)</f>
        <v/>
      </c>
      <c r="AA200" t="n">
        <v>78869116</v>
      </c>
      <c r="AB200">
        <f>ROUND((AC200+AD200+AF200),2)</f>
        <v/>
      </c>
      <c r="AC200">
        <f>ROUND((ES200),2)</f>
        <v/>
      </c>
      <c r="AD200">
        <f>ROUND((((ET200)-(EU200))+AE200),2)</f>
        <v/>
      </c>
      <c r="AE200">
        <f>ROUND((EU200),2)</f>
        <v/>
      </c>
      <c r="AF200">
        <f>ROUND((EV200),2)</f>
        <v/>
      </c>
      <c r="AG200">
        <f>ROUND((AP200),2)</f>
        <v/>
      </c>
      <c r="AH200">
        <f>(EW200)</f>
        <v/>
      </c>
      <c r="AI200">
        <f>(EX200)</f>
        <v/>
      </c>
      <c r="AJ200">
        <f>(AS200)</f>
        <v/>
      </c>
      <c r="AK200" t="n">
        <v>970.5700000000001</v>
      </c>
      <c r="AL200" t="n">
        <v>852</v>
      </c>
      <c r="AM200" t="n">
        <v>0</v>
      </c>
      <c r="AN200" t="n">
        <v>0</v>
      </c>
      <c r="AO200" t="n">
        <v>118.57</v>
      </c>
      <c r="AP200" t="n">
        <v>0</v>
      </c>
      <c r="AQ200" t="n">
        <v>13.9</v>
      </c>
      <c r="AR200" t="n">
        <v>0</v>
      </c>
      <c r="AS200" t="n">
        <v>0</v>
      </c>
      <c r="AT200" t="n">
        <v>91</v>
      </c>
      <c r="AU200" t="n">
        <v>48</v>
      </c>
      <c r="AV200" t="n">
        <v>1</v>
      </c>
      <c r="AW200" t="n">
        <v>1</v>
      </c>
      <c r="AZ200" t="n">
        <v>1</v>
      </c>
      <c r="BA200" t="n">
        <v>52.25</v>
      </c>
      <c r="BB200" t="n">
        <v>1</v>
      </c>
      <c r="BC200" t="n">
        <v>4.14</v>
      </c>
      <c r="BD200" t="inlineStr"/>
      <c r="BE200" t="inlineStr"/>
      <c r="BF200" t="inlineStr"/>
      <c r="BG200" t="inlineStr"/>
      <c r="BH200" t="n">
        <v>0</v>
      </c>
      <c r="BI200" t="n">
        <v>1</v>
      </c>
      <c r="BJ200" t="inlineStr">
        <is>
          <t>ТЕРр Московской обл., 67-5-2, приказ Минстроя России №675/пр от 28.02.2017 № 263/пр</t>
        </is>
      </c>
      <c r="BM200" t="n">
        <v>67001</v>
      </c>
      <c r="BN200" t="n">
        <v>0</v>
      </c>
      <c r="BO200" t="inlineStr">
        <is>
          <t>67-5-2</t>
        </is>
      </c>
      <c r="BP200" t="n">
        <v>1</v>
      </c>
      <c r="BQ200" t="n">
        <v>6</v>
      </c>
      <c r="BR200" t="n">
        <v>0</v>
      </c>
      <c r="BS200" t="n">
        <v>52.25</v>
      </c>
      <c r="BT200" t="n">
        <v>1</v>
      </c>
      <c r="BU200" t="n">
        <v>1</v>
      </c>
      <c r="BV200" t="n">
        <v>1</v>
      </c>
      <c r="BW200" t="n">
        <v>1</v>
      </c>
      <c r="BX200" t="n">
        <v>1</v>
      </c>
      <c r="BY200" t="inlineStr"/>
      <c r="BZ200" t="n">
        <v>91</v>
      </c>
      <c r="CA200" t="n">
        <v>48</v>
      </c>
      <c r="CB200" t="inlineStr"/>
      <c r="CE200" t="n">
        <v>12</v>
      </c>
      <c r="CF200" t="n">
        <v>0</v>
      </c>
      <c r="CG200" t="n">
        <v>0</v>
      </c>
      <c r="CM200" t="n">
        <v>0</v>
      </c>
      <c r="CN200" t="inlineStr"/>
      <c r="CO200" t="n">
        <v>0</v>
      </c>
      <c r="CP200">
        <f>(P200+Q200+S200)</f>
        <v/>
      </c>
      <c r="CQ200">
        <f>AC200*BC200</f>
        <v/>
      </c>
      <c r="CR200">
        <f>(ROUND((ROUND(((ET200)*1),0)*BB200),0)+ROUND((ROUND(((AE200-(EU200))*1),0)*BS200),0))</f>
        <v/>
      </c>
      <c r="CS200">
        <f>(ROUND((ROUND(((EU200)*1),0)*BS200),0)+ROUND((ROUND(((AE200-(EU200))*1),0)*BS200),0))</f>
        <v/>
      </c>
      <c r="CT200">
        <f>AF200*BA200</f>
        <v/>
      </c>
      <c r="CU200">
        <f>AG200</f>
        <v/>
      </c>
      <c r="CV200">
        <f>AH200</f>
        <v/>
      </c>
      <c r="CW200">
        <f>AI200</f>
        <v/>
      </c>
      <c r="CX200">
        <f>AJ200</f>
        <v/>
      </c>
      <c r="CY200">
        <f>(((S200+R200)*AT200)/100)</f>
        <v/>
      </c>
      <c r="CZ200">
        <f>(((S200+R200)*AU200)/100)</f>
        <v/>
      </c>
      <c r="DC200" t="inlineStr"/>
      <c r="DD200" t="inlineStr"/>
      <c r="DE200" t="inlineStr"/>
      <c r="DF200" t="inlineStr"/>
      <c r="DG200" t="inlineStr"/>
      <c r="DH200" t="inlineStr"/>
      <c r="DI200" t="inlineStr"/>
      <c r="DJ200" t="inlineStr"/>
      <c r="DK200" t="inlineStr"/>
      <c r="DL200" t="inlineStr"/>
      <c r="DM200" t="inlineStr"/>
      <c r="DN200" t="n">
        <v>0</v>
      </c>
      <c r="DO200" t="n">
        <v>0</v>
      </c>
      <c r="DP200" t="n">
        <v>1</v>
      </c>
      <c r="DQ200" t="n">
        <v>1</v>
      </c>
      <c r="DU200" t="n">
        <v>1010</v>
      </c>
      <c r="DV200" t="inlineStr">
        <is>
          <t>100 шт.</t>
        </is>
      </c>
      <c r="DW200" t="inlineStr">
        <is>
          <t>100 шт.</t>
        </is>
      </c>
      <c r="DX200" t="n">
        <v>100</v>
      </c>
      <c r="DZ200" t="inlineStr"/>
      <c r="EA200" t="inlineStr"/>
      <c r="EB200" t="inlineStr"/>
      <c r="EC200" t="inlineStr"/>
      <c r="EE200" t="n">
        <v>78726030</v>
      </c>
      <c r="EF200" t="n">
        <v>6</v>
      </c>
      <c r="EG200" t="inlineStr">
        <is>
          <t>Ремонтно-строительные работы</t>
        </is>
      </c>
      <c r="EH200" t="n">
        <v>101</v>
      </c>
      <c r="EI200" t="inlineStr">
        <is>
          <t>Электромонтажные работы</t>
        </is>
      </c>
      <c r="EJ200" t="n">
        <v>1</v>
      </c>
      <c r="EK200" t="n">
        <v>67001</v>
      </c>
      <c r="EL200" t="inlineStr">
        <is>
          <t>Электромонтажные работы</t>
        </is>
      </c>
      <c r="EM200" t="inlineStr">
        <is>
          <t>рФЕР-67</t>
        </is>
      </c>
      <c r="EO200" t="inlineStr"/>
      <c r="EQ200" t="n">
        <v>0</v>
      </c>
      <c r="ER200" t="n">
        <v>970.5700000000001</v>
      </c>
      <c r="ES200" t="n">
        <v>852</v>
      </c>
      <c r="ET200" t="n">
        <v>0</v>
      </c>
      <c r="EU200" t="n">
        <v>0</v>
      </c>
      <c r="EV200" t="n">
        <v>118.57</v>
      </c>
      <c r="EW200" t="n">
        <v>13.9</v>
      </c>
      <c r="EX200" t="n">
        <v>0</v>
      </c>
      <c r="EY200" t="n">
        <v>0</v>
      </c>
      <c r="FQ200" t="n">
        <v>0</v>
      </c>
      <c r="FR200" t="n">
        <v>0</v>
      </c>
      <c r="FS200" t="n">
        <v>0</v>
      </c>
      <c r="FX200" t="n">
        <v>91</v>
      </c>
      <c r="FY200" t="n">
        <v>48</v>
      </c>
      <c r="GA200" t="inlineStr"/>
      <c r="GD200" t="n">
        <v>1</v>
      </c>
      <c r="GF200" t="n">
        <v>1400342257</v>
      </c>
      <c r="GG200" t="n">
        <v>2</v>
      </c>
      <c r="GH200" t="n">
        <v>1</v>
      </c>
      <c r="GI200" t="n">
        <v>2</v>
      </c>
      <c r="GJ200" t="n">
        <v>0</v>
      </c>
      <c r="GK200" t="n">
        <v>0</v>
      </c>
      <c r="GL200">
        <f>ROUND(IF(AND(BH200=3,BI200=3,FS200&lt;&gt;0),P200,0),0)</f>
        <v/>
      </c>
      <c r="GM200">
        <f>ROUND(O200+X200+Y200,0)+GX200</f>
        <v/>
      </c>
      <c r="GN200">
        <f>IF(OR(BI200=0,BI200=1),GM200-GX200,0)</f>
        <v/>
      </c>
      <c r="GO200">
        <f>IF(BI200=2,GM200-GX200,0)</f>
        <v/>
      </c>
      <c r="GP200">
        <f>IF(BI200=4,GM200-GX200,0)</f>
        <v/>
      </c>
      <c r="GR200" t="n">
        <v>0</v>
      </c>
      <c r="GS200" t="n">
        <v>3</v>
      </c>
      <c r="GT200" t="n">
        <v>0</v>
      </c>
      <c r="GU200" t="inlineStr"/>
      <c r="GV200">
        <f>ROUND((GT200),2)</f>
        <v/>
      </c>
      <c r="GW200" t="n">
        <v>1</v>
      </c>
      <c r="GX200">
        <f>ROUND(HC200*I200,0)</f>
        <v/>
      </c>
      <c r="HA200" t="n">
        <v>0</v>
      </c>
      <c r="HB200" t="n">
        <v>0</v>
      </c>
      <c r="HC200">
        <f>GV200*GW200</f>
        <v/>
      </c>
      <c r="HE200" t="inlineStr"/>
      <c r="HF200" t="inlineStr"/>
      <c r="HM200" t="inlineStr"/>
      <c r="HN200" t="inlineStr">
        <is>
          <t>Пр/812-101.0-1</t>
        </is>
      </c>
      <c r="HO200" t="inlineStr">
        <is>
          <t>Пр/774-101.0</t>
        </is>
      </c>
      <c r="HP200" t="inlineStr">
        <is>
          <t>Электромонтажные работы</t>
        </is>
      </c>
      <c r="HQ200" t="inlineStr">
        <is>
          <t>Электромонтажные работы</t>
        </is>
      </c>
      <c r="HS200" t="n">
        <v>0</v>
      </c>
      <c r="IK200" t="n">
        <v>0</v>
      </c>
    </row>
    <row r="201">
      <c r="A201" t="n">
        <v>18</v>
      </c>
      <c r="B201" t="n">
        <v>0</v>
      </c>
      <c r="C201" t="n">
        <v>96</v>
      </c>
      <c r="E201" t="inlineStr">
        <is>
          <t>2,1</t>
        </is>
      </c>
      <c r="F201" t="inlineStr">
        <is>
          <t>509-6744</t>
        </is>
      </c>
      <c r="G201" t="inlineStr">
        <is>
          <t>Лампы люминесцентные компактные энергосберегающие с цоколем Е27 мощностью 55 Вт</t>
        </is>
      </c>
      <c r="H201" t="inlineStr">
        <is>
          <t>шт.</t>
        </is>
      </c>
      <c r="I201">
        <f>I200*J201</f>
        <v/>
      </c>
      <c r="J201" t="n">
        <v>100</v>
      </c>
      <c r="K201" t="n">
        <v>100</v>
      </c>
      <c r="O201">
        <f>ROUND(CP201,0)</f>
        <v/>
      </c>
      <c r="P201">
        <f>ROUND(CQ201*I201,0)</f>
        <v/>
      </c>
      <c r="Q201">
        <f>(ROUND((ROUND(((ET201)*I201),0)*BB201),0)+ROUND((ROUND(((AE201-(EU201))*I201),0)*BS201),0))</f>
        <v/>
      </c>
      <c r="R201">
        <f>(ROUND((ROUND(((EU201)*I201),0)*BS201),0)+ROUND((ROUND(((AE201-(EU201))*I201),0)*BS201),0))</f>
        <v/>
      </c>
      <c r="S201">
        <f>ROUND(CT201*I201,0)</f>
        <v/>
      </c>
      <c r="T201">
        <f>ROUND(CU201*I201,0)</f>
        <v/>
      </c>
      <c r="U201">
        <f>ROUND(CV201*I201,7)</f>
        <v/>
      </c>
      <c r="V201">
        <f>ROUND(CW201*I201,7)</f>
        <v/>
      </c>
      <c r="W201">
        <f>ROUND(CX201*I201,0)</f>
        <v/>
      </c>
      <c r="X201">
        <f>ROUND(CY201,0)</f>
        <v/>
      </c>
      <c r="Y201">
        <f>ROUND(CZ201,0)</f>
        <v/>
      </c>
      <c r="AA201" t="n">
        <v>78869116</v>
      </c>
      <c r="AB201">
        <f>ROUND((AC201+AD201+AF201),2)</f>
        <v/>
      </c>
      <c r="AC201">
        <f>ROUND((ES201),2)</f>
        <v/>
      </c>
      <c r="AD201">
        <f>ROUND((((ET201)-(EU201))+AE201),2)</f>
        <v/>
      </c>
      <c r="AE201">
        <f>ROUND((EU201),2)</f>
        <v/>
      </c>
      <c r="AF201">
        <f>ROUND((EV201),2)</f>
        <v/>
      </c>
      <c r="AG201">
        <f>ROUND((AP201),2)</f>
        <v/>
      </c>
      <c r="AH201">
        <f>(EW201)</f>
        <v/>
      </c>
      <c r="AI201">
        <f>(EX201)</f>
        <v/>
      </c>
      <c r="AJ201">
        <f>(AS201)</f>
        <v/>
      </c>
      <c r="AK201" t="n">
        <v>140.69</v>
      </c>
      <c r="AL201" t="n">
        <v>140.69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  <c r="AS201" t="n">
        <v>0.02</v>
      </c>
      <c r="AT201" t="n">
        <v>91</v>
      </c>
      <c r="AU201" t="n">
        <v>48</v>
      </c>
      <c r="AV201" t="n">
        <v>1</v>
      </c>
      <c r="AW201" t="n">
        <v>1</v>
      </c>
      <c r="AZ201" t="n">
        <v>1</v>
      </c>
      <c r="BA201" t="n">
        <v>1</v>
      </c>
      <c r="BB201" t="n">
        <v>1</v>
      </c>
      <c r="BC201" t="n">
        <v>1.69</v>
      </c>
      <c r="BD201" t="inlineStr"/>
      <c r="BE201" t="inlineStr"/>
      <c r="BF201" t="inlineStr"/>
      <c r="BG201" t="inlineStr"/>
      <c r="BH201" t="n">
        <v>3</v>
      </c>
      <c r="BI201" t="n">
        <v>1</v>
      </c>
      <c r="BJ201" t="inlineStr">
        <is>
          <t>ТССЦ Московской обл., 509-6744, приказ Минстроя России №675/пр от 28.02.2017 № 258/пр</t>
        </is>
      </c>
      <c r="BM201" t="n">
        <v>67001</v>
      </c>
      <c r="BN201" t="n">
        <v>0</v>
      </c>
      <c r="BO201" t="inlineStr">
        <is>
          <t>509-6744</t>
        </is>
      </c>
      <c r="BP201" t="n">
        <v>1</v>
      </c>
      <c r="BQ201" t="n">
        <v>6</v>
      </c>
      <c r="BR201" t="n">
        <v>0</v>
      </c>
      <c r="BS201" t="n">
        <v>1</v>
      </c>
      <c r="BT201" t="n">
        <v>1</v>
      </c>
      <c r="BU201" t="n">
        <v>1</v>
      </c>
      <c r="BV201" t="n">
        <v>1</v>
      </c>
      <c r="BW201" t="n">
        <v>1</v>
      </c>
      <c r="BX201" t="n">
        <v>1</v>
      </c>
      <c r="BY201" t="inlineStr"/>
      <c r="BZ201" t="n">
        <v>91</v>
      </c>
      <c r="CA201" t="n">
        <v>48</v>
      </c>
      <c r="CB201" t="inlineStr"/>
      <c r="CE201" t="n">
        <v>12</v>
      </c>
      <c r="CF201" t="n">
        <v>0</v>
      </c>
      <c r="CG201" t="n">
        <v>0</v>
      </c>
      <c r="CM201" t="n">
        <v>0</v>
      </c>
      <c r="CN201" t="inlineStr"/>
      <c r="CO201" t="n">
        <v>0</v>
      </c>
      <c r="CP201">
        <f>(P201+Q201+S201)</f>
        <v/>
      </c>
      <c r="CQ201">
        <f>AC201*BC201</f>
        <v/>
      </c>
      <c r="CR201">
        <f>(ROUND((ROUND(((ET201)*1),0)*BB201),0)+ROUND((ROUND(((AE201-(EU201))*1),0)*BS201),0))</f>
        <v/>
      </c>
      <c r="CS201">
        <f>(ROUND((ROUND(((EU201)*1),0)*BS201),0)+ROUND((ROUND(((AE201-(EU201))*1),0)*BS201),0))</f>
        <v/>
      </c>
      <c r="CT201">
        <f>AF201*BA201</f>
        <v/>
      </c>
      <c r="CU201">
        <f>AG201</f>
        <v/>
      </c>
      <c r="CV201">
        <f>AH201</f>
        <v/>
      </c>
      <c r="CW201">
        <f>AI201</f>
        <v/>
      </c>
      <c r="CX201">
        <f>AJ201</f>
        <v/>
      </c>
      <c r="CY201">
        <f>(((S201+R201)*AT201)/100)</f>
        <v/>
      </c>
      <c r="CZ201">
        <f>(((S201+R201)*AU201)/100)</f>
        <v/>
      </c>
      <c r="DC201" t="inlineStr"/>
      <c r="DD201" t="inlineStr"/>
      <c r="DE201" t="inlineStr"/>
      <c r="DF201" t="inlineStr"/>
      <c r="DG201" t="inlineStr"/>
      <c r="DH201" t="inlineStr"/>
      <c r="DI201" t="inlineStr"/>
      <c r="DJ201" t="inlineStr"/>
      <c r="DK201" t="inlineStr"/>
      <c r="DL201" t="inlineStr"/>
      <c r="DM201" t="inlineStr"/>
      <c r="DN201" t="n">
        <v>0</v>
      </c>
      <c r="DO201" t="n">
        <v>0</v>
      </c>
      <c r="DP201" t="n">
        <v>1</v>
      </c>
      <c r="DQ201" t="n">
        <v>1</v>
      </c>
      <c r="DU201" t="n">
        <v>1010</v>
      </c>
      <c r="DV201" t="inlineStr">
        <is>
          <t>шт.</t>
        </is>
      </c>
      <c r="DW201" t="inlineStr">
        <is>
          <t>шт.</t>
        </is>
      </c>
      <c r="DX201" t="n">
        <v>1</v>
      </c>
      <c r="DZ201" t="inlineStr"/>
      <c r="EA201" t="inlineStr"/>
      <c r="EB201" t="inlineStr"/>
      <c r="EC201" t="inlineStr"/>
      <c r="EE201" t="n">
        <v>78726030</v>
      </c>
      <c r="EF201" t="n">
        <v>6</v>
      </c>
      <c r="EG201" t="inlineStr">
        <is>
          <t>Ремонтно-строительные работы</t>
        </is>
      </c>
      <c r="EH201" t="n">
        <v>101</v>
      </c>
      <c r="EI201" t="inlineStr">
        <is>
          <t>Электромонтажные работы</t>
        </is>
      </c>
      <c r="EJ201" t="n">
        <v>1</v>
      </c>
      <c r="EK201" t="n">
        <v>67001</v>
      </c>
      <c r="EL201" t="inlineStr">
        <is>
          <t>Электромонтажные работы</t>
        </is>
      </c>
      <c r="EM201" t="inlineStr">
        <is>
          <t>рФЕР-67</t>
        </is>
      </c>
      <c r="EO201" t="inlineStr"/>
      <c r="EQ201" t="n">
        <v>0</v>
      </c>
      <c r="ER201" t="n">
        <v>140.69</v>
      </c>
      <c r="ES201" t="n">
        <v>140.69</v>
      </c>
      <c r="ET201" t="n">
        <v>0</v>
      </c>
      <c r="EU201" t="n">
        <v>0</v>
      </c>
      <c r="EV201" t="n">
        <v>0</v>
      </c>
      <c r="EW201" t="n">
        <v>0</v>
      </c>
      <c r="EX201" t="n">
        <v>0</v>
      </c>
      <c r="FQ201" t="n">
        <v>0</v>
      </c>
      <c r="FR201" t="n">
        <v>0</v>
      </c>
      <c r="FS201" t="n">
        <v>0</v>
      </c>
      <c r="FX201" t="n">
        <v>91</v>
      </c>
      <c r="FY201" t="n">
        <v>48</v>
      </c>
      <c r="GA201" t="inlineStr"/>
      <c r="GD201" t="n">
        <v>1</v>
      </c>
      <c r="GF201" t="n">
        <v>-228955380</v>
      </c>
      <c r="GG201" t="n">
        <v>2</v>
      </c>
      <c r="GH201" t="n">
        <v>1</v>
      </c>
      <c r="GI201" t="n">
        <v>2</v>
      </c>
      <c r="GJ201" t="n">
        <v>0</v>
      </c>
      <c r="GK201" t="n">
        <v>0</v>
      </c>
      <c r="GL201">
        <f>ROUND(IF(AND(BH201=3,BI201=3,FS201&lt;&gt;0),P201,0),0)</f>
        <v/>
      </c>
      <c r="GM201">
        <f>ROUND(O201+X201+Y201,0)+GX201</f>
        <v/>
      </c>
      <c r="GN201">
        <f>IF(OR(BI201=0,BI201=1),GM201-GX201,0)</f>
        <v/>
      </c>
      <c r="GO201">
        <f>IF(BI201=2,GM201-GX201,0)</f>
        <v/>
      </c>
      <c r="GP201">
        <f>IF(BI201=4,GM201-GX201,0)</f>
        <v/>
      </c>
      <c r="GR201" t="n">
        <v>0</v>
      </c>
      <c r="GS201" t="n">
        <v>3</v>
      </c>
      <c r="GT201" t="n">
        <v>0</v>
      </c>
      <c r="GU201" t="inlineStr"/>
      <c r="GV201">
        <f>ROUND((GT201),2)</f>
        <v/>
      </c>
      <c r="GW201" t="n">
        <v>1</v>
      </c>
      <c r="GX201">
        <f>ROUND(HC201*I201,0)</f>
        <v/>
      </c>
      <c r="HA201" t="n">
        <v>0</v>
      </c>
      <c r="HB201" t="n">
        <v>0</v>
      </c>
      <c r="HC201">
        <f>GV201*GW201</f>
        <v/>
      </c>
      <c r="HE201" t="inlineStr"/>
      <c r="HF201" t="inlineStr"/>
      <c r="HM201" t="inlineStr"/>
      <c r="HN201" t="inlineStr">
        <is>
          <t>Пр/812-101.0-1</t>
        </is>
      </c>
      <c r="HO201" t="inlineStr">
        <is>
          <t>Пр/774-101.0</t>
        </is>
      </c>
      <c r="HP201" t="inlineStr">
        <is>
          <t>Электромонтажные работы</t>
        </is>
      </c>
      <c r="HQ201" t="inlineStr">
        <is>
          <t>Электромонтажные работы</t>
        </is>
      </c>
      <c r="HS201" t="n">
        <v>0</v>
      </c>
      <c r="IK201" t="n">
        <v>0</v>
      </c>
    </row>
    <row r="202">
      <c r="A202" t="n">
        <v>17</v>
      </c>
      <c r="B202" t="n">
        <v>0</v>
      </c>
      <c r="C202">
        <f>ROW(SmtRes!A104)</f>
        <v/>
      </c>
      <c r="D202">
        <f>ROW(EtalonRes!A98)</f>
        <v/>
      </c>
      <c r="E202" t="inlineStr">
        <is>
          <t>3</t>
        </is>
      </c>
      <c r="F202" t="inlineStr">
        <is>
          <t>65-5-1</t>
        </is>
      </c>
      <c r="G202" t="inlineStr">
        <is>
          <t>Смена вентилей и клапанов обратных муфтовых диаметром до 20 мм</t>
        </is>
      </c>
      <c r="H202" t="inlineStr">
        <is>
          <t>100 шт.</t>
        </is>
      </c>
      <c r="I202">
        <f>ROUND(ROUND(1/100,4),7)</f>
        <v/>
      </c>
      <c r="J202" t="n">
        <v>0</v>
      </c>
      <c r="K202">
        <f>ROUND(ROUND(1/100,4),7)</f>
        <v/>
      </c>
      <c r="O202">
        <f>ROUND(CP202,0)</f>
        <v/>
      </c>
      <c r="P202">
        <f>ROUND(CQ202*I202,0)</f>
        <v/>
      </c>
      <c r="Q202">
        <f>(ROUND((ROUND(((ET202)*I202),0)*BB202),0)+ROUND((ROUND(((AE202-(EU202))*I202),0)*BS202),0))</f>
        <v/>
      </c>
      <c r="R202">
        <f>(ROUND((ROUND(((EU202)*I202),0)*BS202),0)+ROUND((ROUND(((AE202-(EU202))*I202),0)*BS202),0))</f>
        <v/>
      </c>
      <c r="S202">
        <f>ROUND(CT202*I202,0)</f>
        <v/>
      </c>
      <c r="T202">
        <f>ROUND(CU202*I202,0)</f>
        <v/>
      </c>
      <c r="U202">
        <f>ROUND(CV202*I202,7)</f>
        <v/>
      </c>
      <c r="V202">
        <f>ROUND(CW202*I202,7)</f>
        <v/>
      </c>
      <c r="W202">
        <f>ROUND(CX202*I202,0)</f>
        <v/>
      </c>
      <c r="X202">
        <f>ROUND(CY202,0)</f>
        <v/>
      </c>
      <c r="Y202">
        <f>ROUND(CZ202,0)</f>
        <v/>
      </c>
      <c r="AA202" t="n">
        <v>78869116</v>
      </c>
      <c r="AB202">
        <f>ROUND((AC202+AD202+AF202),2)</f>
        <v/>
      </c>
      <c r="AC202">
        <f>ROUND((ES202),2)</f>
        <v/>
      </c>
      <c r="AD202">
        <f>ROUND((((ET202)-(EU202))+AE202),2)</f>
        <v/>
      </c>
      <c r="AE202">
        <f>ROUND((EU202),2)</f>
        <v/>
      </c>
      <c r="AF202">
        <f>ROUND((EV202),2)</f>
        <v/>
      </c>
      <c r="AG202">
        <f>ROUND((AP202),2)</f>
        <v/>
      </c>
      <c r="AH202">
        <f>(EW202)</f>
        <v/>
      </c>
      <c r="AI202">
        <f>(EX202)</f>
        <v/>
      </c>
      <c r="AJ202">
        <f>(AS202)</f>
        <v/>
      </c>
      <c r="AK202" t="n">
        <v>2979.16</v>
      </c>
      <c r="AL202" t="n">
        <v>2240.13</v>
      </c>
      <c r="AM202" t="n">
        <v>4.36</v>
      </c>
      <c r="AN202" t="n">
        <v>0</v>
      </c>
      <c r="AO202" t="n">
        <v>734.67</v>
      </c>
      <c r="AP202" t="n">
        <v>0</v>
      </c>
      <c r="AQ202" t="n">
        <v>81</v>
      </c>
      <c r="AR202" t="n">
        <v>0</v>
      </c>
      <c r="AS202" t="n">
        <v>0</v>
      </c>
      <c r="AT202" t="n">
        <v>103</v>
      </c>
      <c r="AU202" t="n">
        <v>52</v>
      </c>
      <c r="AV202" t="n">
        <v>1</v>
      </c>
      <c r="AW202" t="n">
        <v>1</v>
      </c>
      <c r="AZ202" t="n">
        <v>1</v>
      </c>
      <c r="BA202" t="n">
        <v>52.25</v>
      </c>
      <c r="BB202" t="n">
        <v>24.98</v>
      </c>
      <c r="BC202" t="n">
        <v>10.16</v>
      </c>
      <c r="BD202" t="inlineStr"/>
      <c r="BE202" t="inlineStr"/>
      <c r="BF202" t="inlineStr"/>
      <c r="BG202" t="inlineStr"/>
      <c r="BH202" t="n">
        <v>0</v>
      </c>
      <c r="BI202" t="n">
        <v>1</v>
      </c>
      <c r="BJ202" t="inlineStr">
        <is>
          <t>ТЕРр Московской обл., 65-5-1, приказ Минстроя России №675/пр от 28.02.2017 № 263/пр</t>
        </is>
      </c>
      <c r="BM202" t="n">
        <v>65007</v>
      </c>
      <c r="BN202" t="n">
        <v>0</v>
      </c>
      <c r="BO202" t="inlineStr">
        <is>
          <t>65-5-1</t>
        </is>
      </c>
      <c r="BP202" t="n">
        <v>1</v>
      </c>
      <c r="BQ202" t="n">
        <v>6</v>
      </c>
      <c r="BR202" t="n">
        <v>0</v>
      </c>
      <c r="BS202" t="n">
        <v>52.25</v>
      </c>
      <c r="BT202" t="n">
        <v>1</v>
      </c>
      <c r="BU202" t="n">
        <v>1</v>
      </c>
      <c r="BV202" t="n">
        <v>1</v>
      </c>
      <c r="BW202" t="n">
        <v>1</v>
      </c>
      <c r="BX202" t="n">
        <v>1</v>
      </c>
      <c r="BY202" t="inlineStr"/>
      <c r="BZ202" t="n">
        <v>103</v>
      </c>
      <c r="CA202" t="n">
        <v>52</v>
      </c>
      <c r="CB202" t="inlineStr"/>
      <c r="CE202" t="n">
        <v>12</v>
      </c>
      <c r="CF202" t="n">
        <v>0</v>
      </c>
      <c r="CG202" t="n">
        <v>0</v>
      </c>
      <c r="CM202" t="n">
        <v>0</v>
      </c>
      <c r="CN202" t="inlineStr"/>
      <c r="CO202" t="n">
        <v>0</v>
      </c>
      <c r="CP202">
        <f>(P202+Q202+S202)</f>
        <v/>
      </c>
      <c r="CQ202">
        <f>AC202*BC202</f>
        <v/>
      </c>
      <c r="CR202">
        <f>(ROUND((ROUND(((ET202)*1),0)*BB202),0)+ROUND((ROUND(((AE202-(EU202))*1),0)*BS202),0))</f>
        <v/>
      </c>
      <c r="CS202">
        <f>(ROUND((ROUND(((EU202)*1),0)*BS202),0)+ROUND((ROUND(((AE202-(EU202))*1),0)*BS202),0))</f>
        <v/>
      </c>
      <c r="CT202">
        <f>AF202*BA202</f>
        <v/>
      </c>
      <c r="CU202">
        <f>AG202</f>
        <v/>
      </c>
      <c r="CV202">
        <f>AH202</f>
        <v/>
      </c>
      <c r="CW202">
        <f>AI202</f>
        <v/>
      </c>
      <c r="CX202">
        <f>AJ202</f>
        <v/>
      </c>
      <c r="CY202">
        <f>(((S202+R202)*AT202)/100)</f>
        <v/>
      </c>
      <c r="CZ202">
        <f>(((S202+R202)*AU202)/100)</f>
        <v/>
      </c>
      <c r="DC202" t="inlineStr"/>
      <c r="DD202" t="inlineStr"/>
      <c r="DE202" t="inlineStr"/>
      <c r="DF202" t="inlineStr"/>
      <c r="DG202" t="inlineStr"/>
      <c r="DH202" t="inlineStr"/>
      <c r="DI202" t="inlineStr"/>
      <c r="DJ202" t="inlineStr"/>
      <c r="DK202" t="inlineStr"/>
      <c r="DL202" t="inlineStr"/>
      <c r="DM202" t="inlineStr"/>
      <c r="DN202" t="n">
        <v>0</v>
      </c>
      <c r="DO202" t="n">
        <v>0</v>
      </c>
      <c r="DP202" t="n">
        <v>1</v>
      </c>
      <c r="DQ202" t="n">
        <v>1</v>
      </c>
      <c r="DU202" t="n">
        <v>1010</v>
      </c>
      <c r="DV202" t="inlineStr">
        <is>
          <t>100 шт.</t>
        </is>
      </c>
      <c r="DW202" t="inlineStr">
        <is>
          <t>100 шт.</t>
        </is>
      </c>
      <c r="DX202" t="n">
        <v>100</v>
      </c>
      <c r="DZ202" t="inlineStr"/>
      <c r="EA202" t="inlineStr"/>
      <c r="EB202" t="inlineStr"/>
      <c r="EC202" t="inlineStr"/>
      <c r="EE202" t="n">
        <v>78726000</v>
      </c>
      <c r="EF202" t="n">
        <v>6</v>
      </c>
      <c r="EG202" t="inlineStr">
        <is>
          <t>Ремонтно-строительные работы</t>
        </is>
      </c>
      <c r="EH202" t="n">
        <v>99</v>
      </c>
      <c r="EI202" t="inlineStr">
        <is>
          <t>Внутренние санитарно-технические работы</t>
        </is>
      </c>
      <c r="EJ202" t="n">
        <v>1</v>
      </c>
      <c r="EK202" t="n">
        <v>65007</v>
      </c>
      <c r="EL202" t="inlineStr">
        <is>
          <t>Внутренние санитарнотехнические работы: смена труб, санприборов, запорной арматуры и другое</t>
        </is>
      </c>
      <c r="EM202" t="inlineStr">
        <is>
          <t>рФЕР-65</t>
        </is>
      </c>
      <c r="EO202" t="inlineStr"/>
      <c r="EQ202" t="n">
        <v>0</v>
      </c>
      <c r="ER202" t="n">
        <v>2979.16</v>
      </c>
      <c r="ES202" t="n">
        <v>2240.13</v>
      </c>
      <c r="ET202" t="n">
        <v>4.36</v>
      </c>
      <c r="EU202" t="n">
        <v>0</v>
      </c>
      <c r="EV202" t="n">
        <v>734.67</v>
      </c>
      <c r="EW202" t="n">
        <v>81</v>
      </c>
      <c r="EX202" t="n">
        <v>0</v>
      </c>
      <c r="EY202" t="n">
        <v>0</v>
      </c>
      <c r="FQ202" t="n">
        <v>0</v>
      </c>
      <c r="FR202" t="n">
        <v>0</v>
      </c>
      <c r="FS202" t="n">
        <v>0</v>
      </c>
      <c r="FX202" t="n">
        <v>103</v>
      </c>
      <c r="FY202" t="n">
        <v>52</v>
      </c>
      <c r="GA202" t="inlineStr"/>
      <c r="GD202" t="n">
        <v>1</v>
      </c>
      <c r="GF202" t="n">
        <v>152852496</v>
      </c>
      <c r="GG202" t="n">
        <v>2</v>
      </c>
      <c r="GH202" t="n">
        <v>1</v>
      </c>
      <c r="GI202" t="n">
        <v>2</v>
      </c>
      <c r="GJ202" t="n">
        <v>0</v>
      </c>
      <c r="GK202" t="n">
        <v>0</v>
      </c>
      <c r="GL202">
        <f>ROUND(IF(AND(BH202=3,BI202=3,FS202&lt;&gt;0),P202,0),0)</f>
        <v/>
      </c>
      <c r="GM202">
        <f>ROUND(O202+X202+Y202,0)+GX202</f>
        <v/>
      </c>
      <c r="GN202">
        <f>IF(OR(BI202=0,BI202=1),GM202-GX202,0)</f>
        <v/>
      </c>
      <c r="GO202">
        <f>IF(BI202=2,GM202-GX202,0)</f>
        <v/>
      </c>
      <c r="GP202">
        <f>IF(BI202=4,GM202-GX202,0)</f>
        <v/>
      </c>
      <c r="GR202" t="n">
        <v>0</v>
      </c>
      <c r="GS202" t="n">
        <v>3</v>
      </c>
      <c r="GT202" t="n">
        <v>0</v>
      </c>
      <c r="GU202" t="inlineStr"/>
      <c r="GV202">
        <f>ROUND((GT202),2)</f>
        <v/>
      </c>
      <c r="GW202" t="n">
        <v>1</v>
      </c>
      <c r="GX202">
        <f>ROUND(HC202*I202,0)</f>
        <v/>
      </c>
      <c r="HA202" t="n">
        <v>0</v>
      </c>
      <c r="HB202" t="n">
        <v>0</v>
      </c>
      <c r="HC202">
        <f>GV202*GW202</f>
        <v/>
      </c>
      <c r="HE202" t="inlineStr"/>
      <c r="HF202" t="inlineStr"/>
      <c r="HM202" t="inlineStr"/>
      <c r="HN202" t="inlineStr">
        <is>
          <t>Пр/812-099.2-1</t>
        </is>
      </c>
      <c r="HO202" t="inlineStr">
        <is>
          <t>Пр/774-099.2</t>
        </is>
      </c>
      <c r="HP202" t="inlineStr">
        <is>
          <t>Внутренние санитарнотехнические работы: смена труб, санприборов, запорной арматуры и другое</t>
        </is>
      </c>
      <c r="HQ202" t="inlineStr">
        <is>
          <t>Внутренние санитарнотехнические работы: смена труб, санприборов, запорной арматуры и другое</t>
        </is>
      </c>
      <c r="HS202" t="n">
        <v>0</v>
      </c>
      <c r="IK202" t="n">
        <v>0</v>
      </c>
    </row>
    <row r="203">
      <c r="A203" t="n">
        <v>18</v>
      </c>
      <c r="B203" t="n">
        <v>0</v>
      </c>
      <c r="C203" t="n">
        <v>104</v>
      </c>
      <c r="E203" t="inlineStr">
        <is>
          <t>3,1</t>
        </is>
      </c>
      <c r="F203" t="inlineStr">
        <is>
          <t>509-9899</t>
        </is>
      </c>
      <c r="G203" t="inlineStr">
        <is>
          <t>Строительный мусор и масса возвратных материалов</t>
        </is>
      </c>
      <c r="H203" t="inlineStr">
        <is>
          <t>т</t>
        </is>
      </c>
      <c r="I203">
        <f>I202*J203</f>
        <v/>
      </c>
      <c r="J203" t="n">
        <v>0.04</v>
      </c>
      <c r="K203" t="n">
        <v>0.04</v>
      </c>
      <c r="O203">
        <f>ROUND(CP203,0)</f>
        <v/>
      </c>
      <c r="P203">
        <f>ROUND(CQ203*I203,0)</f>
        <v/>
      </c>
      <c r="Q203">
        <f>(ROUND((ROUND(((ET203)*I203),0)*BB203),0)+ROUND((ROUND(((AE203-(EU203))*I203),0)*BS203),0))</f>
        <v/>
      </c>
      <c r="R203">
        <f>(ROUND((ROUND(((EU203)*I203),0)*BS203),0)+ROUND((ROUND(((AE203-(EU203))*I203),0)*BS203),0))</f>
        <v/>
      </c>
      <c r="S203">
        <f>ROUND(CT203*I203,0)</f>
        <v/>
      </c>
      <c r="T203">
        <f>ROUND(CU203*I203,0)</f>
        <v/>
      </c>
      <c r="U203">
        <f>ROUND(CV203*I203,7)</f>
        <v/>
      </c>
      <c r="V203">
        <f>ROUND(CW203*I203,7)</f>
        <v/>
      </c>
      <c r="W203">
        <f>ROUND(CX203*I203,0)</f>
        <v/>
      </c>
      <c r="X203">
        <f>ROUND(CY203,0)</f>
        <v/>
      </c>
      <c r="Y203">
        <f>ROUND(CZ203,0)</f>
        <v/>
      </c>
      <c r="AA203" t="n">
        <v>78869116</v>
      </c>
      <c r="AB203">
        <f>ROUND((AC203+AD203+AF203),2)</f>
        <v/>
      </c>
      <c r="AC203">
        <f>ROUND((ES203),2)</f>
        <v/>
      </c>
      <c r="AD203">
        <f>ROUND((((ET203)-(EU203))+AE203),2)</f>
        <v/>
      </c>
      <c r="AE203">
        <f>ROUND((EU203),2)</f>
        <v/>
      </c>
      <c r="AF203">
        <f>ROUND((EV203),2)</f>
        <v/>
      </c>
      <c r="AG203">
        <f>ROUND((AP203),2)</f>
        <v/>
      </c>
      <c r="AH203">
        <f>(EW203)</f>
        <v/>
      </c>
      <c r="AI203">
        <f>(EX203)</f>
        <v/>
      </c>
      <c r="AJ203">
        <f>(AS203)</f>
        <v/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  <c r="AS203" t="n">
        <v>0</v>
      </c>
      <c r="AT203" t="n">
        <v>103</v>
      </c>
      <c r="AU203" t="n">
        <v>52</v>
      </c>
      <c r="AV203" t="n">
        <v>1</v>
      </c>
      <c r="AW203" t="n">
        <v>1</v>
      </c>
      <c r="AZ203" t="n">
        <v>1</v>
      </c>
      <c r="BA203" t="n">
        <v>1</v>
      </c>
      <c r="BB203" t="n">
        <v>1</v>
      </c>
      <c r="BC203" t="n">
        <v>1</v>
      </c>
      <c r="BD203" t="inlineStr"/>
      <c r="BE203" t="inlineStr"/>
      <c r="BF203" t="inlineStr"/>
      <c r="BG203" t="inlineStr"/>
      <c r="BH203" t="n">
        <v>3</v>
      </c>
      <c r="BI203" t="n">
        <v>1</v>
      </c>
      <c r="BJ203" t="inlineStr">
        <is>
          <t>ТССЦ Московской обл., 509-9899, приказ Минстроя России №675/пр от 28.02.2017 № 258/пр</t>
        </is>
      </c>
      <c r="BM203" t="n">
        <v>65007</v>
      </c>
      <c r="BN203" t="n">
        <v>0</v>
      </c>
      <c r="BO203" t="inlineStr"/>
      <c r="BP203" t="n">
        <v>0</v>
      </c>
      <c r="BQ203" t="n">
        <v>6</v>
      </c>
      <c r="BR203" t="n">
        <v>0</v>
      </c>
      <c r="BS203" t="n">
        <v>1</v>
      </c>
      <c r="BT203" t="n">
        <v>1</v>
      </c>
      <c r="BU203" t="n">
        <v>1</v>
      </c>
      <c r="BV203" t="n">
        <v>1</v>
      </c>
      <c r="BW203" t="n">
        <v>1</v>
      </c>
      <c r="BX203" t="n">
        <v>1</v>
      </c>
      <c r="BY203" t="inlineStr"/>
      <c r="BZ203" t="n">
        <v>103</v>
      </c>
      <c r="CA203" t="n">
        <v>52</v>
      </c>
      <c r="CB203" t="inlineStr"/>
      <c r="CE203" t="n">
        <v>12</v>
      </c>
      <c r="CF203" t="n">
        <v>0</v>
      </c>
      <c r="CG203" t="n">
        <v>0</v>
      </c>
      <c r="CM203" t="n">
        <v>0</v>
      </c>
      <c r="CN203" t="inlineStr"/>
      <c r="CO203" t="n">
        <v>0</v>
      </c>
      <c r="CP203">
        <f>(P203+Q203+S203)</f>
        <v/>
      </c>
      <c r="CQ203">
        <f>AC203*BC203</f>
        <v/>
      </c>
      <c r="CR203">
        <f>(ROUND((ROUND(((ET203)*1),0)*BB203),0)+ROUND((ROUND(((AE203-(EU203))*1),0)*BS203),0))</f>
        <v/>
      </c>
      <c r="CS203">
        <f>(ROUND((ROUND(((EU203)*1),0)*BS203),0)+ROUND((ROUND(((AE203-(EU203))*1),0)*BS203),0))</f>
        <v/>
      </c>
      <c r="CT203">
        <f>AF203*BA203</f>
        <v/>
      </c>
      <c r="CU203">
        <f>AG203</f>
        <v/>
      </c>
      <c r="CV203">
        <f>AH203</f>
        <v/>
      </c>
      <c r="CW203">
        <f>AI203</f>
        <v/>
      </c>
      <c r="CX203">
        <f>AJ203</f>
        <v/>
      </c>
      <c r="CY203">
        <f>(((S203+R203)*AT203)/100)</f>
        <v/>
      </c>
      <c r="CZ203">
        <f>(((S203+R203)*AU203)/100)</f>
        <v/>
      </c>
      <c r="DC203" t="inlineStr"/>
      <c r="DD203" t="inlineStr"/>
      <c r="DE203" t="inlineStr"/>
      <c r="DF203" t="inlineStr"/>
      <c r="DG203" t="inlineStr"/>
      <c r="DH203" t="inlineStr"/>
      <c r="DI203" t="inlineStr"/>
      <c r="DJ203" t="inlineStr"/>
      <c r="DK203" t="inlineStr"/>
      <c r="DL203" t="inlineStr"/>
      <c r="DM203" t="inlineStr"/>
      <c r="DN203" t="n">
        <v>0</v>
      </c>
      <c r="DO203" t="n">
        <v>0</v>
      </c>
      <c r="DP203" t="n">
        <v>1</v>
      </c>
      <c r="DQ203" t="n">
        <v>1</v>
      </c>
      <c r="DU203" t="n">
        <v>1009</v>
      </c>
      <c r="DV203" t="inlineStr">
        <is>
          <t>т</t>
        </is>
      </c>
      <c r="DW203" t="inlineStr">
        <is>
          <t>т</t>
        </is>
      </c>
      <c r="DX203" t="n">
        <v>1000</v>
      </c>
      <c r="DZ203" t="inlineStr"/>
      <c r="EA203" t="inlineStr"/>
      <c r="EB203" t="inlineStr"/>
      <c r="EC203" t="inlineStr"/>
      <c r="EE203" t="n">
        <v>78726000</v>
      </c>
      <c r="EF203" t="n">
        <v>6</v>
      </c>
      <c r="EG203" t="inlineStr">
        <is>
          <t>Ремонтно-строительные работы</t>
        </is>
      </c>
      <c r="EH203" t="n">
        <v>99</v>
      </c>
      <c r="EI203" t="inlineStr">
        <is>
          <t>Внутренние санитарно-технические работы</t>
        </is>
      </c>
      <c r="EJ203" t="n">
        <v>1</v>
      </c>
      <c r="EK203" t="n">
        <v>65007</v>
      </c>
      <c r="EL203" t="inlineStr">
        <is>
          <t>Внутренние санитарнотехнические работы: смена труб, санприборов, запорной арматуры и другое</t>
        </is>
      </c>
      <c r="EM203" t="inlineStr">
        <is>
          <t>рФЕР-65</t>
        </is>
      </c>
      <c r="EO203" t="inlineStr"/>
      <c r="EQ203" t="n">
        <v>0</v>
      </c>
      <c r="ER203" t="n">
        <v>0</v>
      </c>
      <c r="ES203" t="n">
        <v>0</v>
      </c>
      <c r="ET203" t="n">
        <v>0</v>
      </c>
      <c r="EU203" t="n">
        <v>0</v>
      </c>
      <c r="EV203" t="n">
        <v>0</v>
      </c>
      <c r="EW203" t="n">
        <v>0</v>
      </c>
      <c r="EX203" t="n">
        <v>0</v>
      </c>
      <c r="FQ203" t="n">
        <v>0</v>
      </c>
      <c r="FR203" t="n">
        <v>0</v>
      </c>
      <c r="FS203" t="n">
        <v>0</v>
      </c>
      <c r="FX203" t="n">
        <v>103</v>
      </c>
      <c r="FY203" t="n">
        <v>52</v>
      </c>
      <c r="GA203" t="inlineStr"/>
      <c r="GD203" t="n">
        <v>1</v>
      </c>
      <c r="GF203" t="n">
        <v>1839160745</v>
      </c>
      <c r="GG203" t="n">
        <v>2</v>
      </c>
      <c r="GH203" t="n">
        <v>1</v>
      </c>
      <c r="GI203" t="n">
        <v>-2</v>
      </c>
      <c r="GJ203" t="n">
        <v>0</v>
      </c>
      <c r="GK203" t="n">
        <v>0</v>
      </c>
      <c r="GL203">
        <f>ROUND(IF(AND(BH203=3,BI203=3,FS203&lt;&gt;0),P203,0),0)</f>
        <v/>
      </c>
      <c r="GM203">
        <f>ROUND(O203+X203+Y203,0)+GX203</f>
        <v/>
      </c>
      <c r="GN203">
        <f>IF(OR(BI203=0,BI203=1),GM203-GX203,0)</f>
        <v/>
      </c>
      <c r="GO203">
        <f>IF(BI203=2,GM203-GX203,0)</f>
        <v/>
      </c>
      <c r="GP203">
        <f>IF(BI203=4,GM203-GX203,0)</f>
        <v/>
      </c>
      <c r="GR203" t="n">
        <v>0</v>
      </c>
      <c r="GS203" t="n">
        <v>3</v>
      </c>
      <c r="GT203" t="n">
        <v>0</v>
      </c>
      <c r="GU203" t="inlineStr"/>
      <c r="GV203">
        <f>ROUND((GT203),2)</f>
        <v/>
      </c>
      <c r="GW203" t="n">
        <v>1</v>
      </c>
      <c r="GX203">
        <f>ROUND(HC203*I203,0)</f>
        <v/>
      </c>
      <c r="HA203" t="n">
        <v>0</v>
      </c>
      <c r="HB203" t="n">
        <v>0</v>
      </c>
      <c r="HC203">
        <f>GV203*GW203</f>
        <v/>
      </c>
      <c r="HE203" t="inlineStr"/>
      <c r="HF203" t="inlineStr"/>
      <c r="HM203" t="inlineStr"/>
      <c r="HN203" t="inlineStr">
        <is>
          <t>Пр/812-099.2-1</t>
        </is>
      </c>
      <c r="HO203" t="inlineStr">
        <is>
          <t>Пр/774-099.2</t>
        </is>
      </c>
      <c r="HP203" t="inlineStr">
        <is>
          <t>Внутренние санитарнотехнические работы: смена труб, санприборов, запорной арматуры и другое</t>
        </is>
      </c>
      <c r="HQ203" t="inlineStr">
        <is>
          <t>Внутренние санитарнотехнические работы: смена труб, санприборов, запорной арматуры и другое</t>
        </is>
      </c>
      <c r="HS203" t="n">
        <v>0</v>
      </c>
      <c r="IK203" t="n">
        <v>0</v>
      </c>
    </row>
    <row r="204">
      <c r="A204" t="n">
        <v>18</v>
      </c>
      <c r="B204" t="n">
        <v>0</v>
      </c>
      <c r="C204" t="n">
        <v>102</v>
      </c>
      <c r="E204" t="inlineStr">
        <is>
          <t>3,2</t>
        </is>
      </c>
      <c r="F204" t="inlineStr">
        <is>
          <t>302-0062</t>
        </is>
      </c>
      <c r="G204" t="inlineStr">
        <is>
          <t>Кран шаровый муфтовый Valtec для воды диаметром 15 мм, тип в/в</t>
        </is>
      </c>
      <c r="H204" t="inlineStr">
        <is>
          <t>шт.</t>
        </is>
      </c>
      <c r="I204">
        <f>I202*J204</f>
        <v/>
      </c>
      <c r="J204" t="n">
        <v>100</v>
      </c>
      <c r="K204" t="n">
        <v>100</v>
      </c>
      <c r="O204">
        <f>ROUND(CP204,0)</f>
        <v/>
      </c>
      <c r="P204">
        <f>ROUND(CQ204*I204,0)</f>
        <v/>
      </c>
      <c r="Q204">
        <f>(ROUND((ROUND(((ET204)*I204),0)*BB204),0)+ROUND((ROUND(((AE204-(EU204))*I204),0)*BS204),0))</f>
        <v/>
      </c>
      <c r="R204">
        <f>(ROUND((ROUND(((EU204)*I204),0)*BS204),0)+ROUND((ROUND(((AE204-(EU204))*I204),0)*BS204),0))</f>
        <v/>
      </c>
      <c r="S204">
        <f>ROUND(CT204*I204,0)</f>
        <v/>
      </c>
      <c r="T204">
        <f>ROUND(CU204*I204,0)</f>
        <v/>
      </c>
      <c r="U204">
        <f>ROUND(CV204*I204,7)</f>
        <v/>
      </c>
      <c r="V204">
        <f>ROUND(CW204*I204,7)</f>
        <v/>
      </c>
      <c r="W204">
        <f>ROUND(CX204*I204,0)</f>
        <v/>
      </c>
      <c r="X204">
        <f>ROUND(CY204,0)</f>
        <v/>
      </c>
      <c r="Y204">
        <f>ROUND(CZ204,0)</f>
        <v/>
      </c>
      <c r="AA204" t="n">
        <v>78869116</v>
      </c>
      <c r="AB204">
        <f>ROUND((AC204+AD204+AF204),2)</f>
        <v/>
      </c>
      <c r="AC204">
        <f>ROUND((ES204),2)</f>
        <v/>
      </c>
      <c r="AD204">
        <f>ROUND((((ET204)-(EU204))+AE204),2)</f>
        <v/>
      </c>
      <c r="AE204">
        <f>ROUND((EU204),2)</f>
        <v/>
      </c>
      <c r="AF204">
        <f>ROUND((EV204),2)</f>
        <v/>
      </c>
      <c r="AG204">
        <f>ROUND((AP204),2)</f>
        <v/>
      </c>
      <c r="AH204">
        <f>(EW204)</f>
        <v/>
      </c>
      <c r="AI204">
        <f>(EX204)</f>
        <v/>
      </c>
      <c r="AJ204">
        <f>(AS204)</f>
        <v/>
      </c>
      <c r="AK204" t="n">
        <v>28.53</v>
      </c>
      <c r="AL204" t="n">
        <v>28.53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  <c r="AS204" t="n">
        <v>0.01</v>
      </c>
      <c r="AT204" t="n">
        <v>103</v>
      </c>
      <c r="AU204" t="n">
        <v>52</v>
      </c>
      <c r="AV204" t="n">
        <v>1</v>
      </c>
      <c r="AW204" t="n">
        <v>1</v>
      </c>
      <c r="AZ204" t="n">
        <v>1</v>
      </c>
      <c r="BA204" t="n">
        <v>1</v>
      </c>
      <c r="BB204" t="n">
        <v>1</v>
      </c>
      <c r="BC204" t="n">
        <v>13.47</v>
      </c>
      <c r="BD204" t="inlineStr"/>
      <c r="BE204" t="inlineStr"/>
      <c r="BF204" t="inlineStr"/>
      <c r="BG204" t="inlineStr"/>
      <c r="BH204" t="n">
        <v>3</v>
      </c>
      <c r="BI204" t="n">
        <v>1</v>
      </c>
      <c r="BJ204" t="inlineStr">
        <is>
          <t>ТССЦ Московской обл., 302-0062, приказ Минстроя России №675/пр от 28.02.2017 № 256/пр</t>
        </is>
      </c>
      <c r="BM204" t="n">
        <v>65007</v>
      </c>
      <c r="BN204" t="n">
        <v>0</v>
      </c>
      <c r="BO204" t="inlineStr">
        <is>
          <t>302-0062</t>
        </is>
      </c>
      <c r="BP204" t="n">
        <v>1</v>
      </c>
      <c r="BQ204" t="n">
        <v>6</v>
      </c>
      <c r="BR204" t="n">
        <v>0</v>
      </c>
      <c r="BS204" t="n">
        <v>1</v>
      </c>
      <c r="BT204" t="n">
        <v>1</v>
      </c>
      <c r="BU204" t="n">
        <v>1</v>
      </c>
      <c r="BV204" t="n">
        <v>1</v>
      </c>
      <c r="BW204" t="n">
        <v>1</v>
      </c>
      <c r="BX204" t="n">
        <v>1</v>
      </c>
      <c r="BY204" t="inlineStr"/>
      <c r="BZ204" t="n">
        <v>103</v>
      </c>
      <c r="CA204" t="n">
        <v>52</v>
      </c>
      <c r="CB204" t="inlineStr"/>
      <c r="CE204" t="n">
        <v>12</v>
      </c>
      <c r="CF204" t="n">
        <v>0</v>
      </c>
      <c r="CG204" t="n">
        <v>0</v>
      </c>
      <c r="CM204" t="n">
        <v>0</v>
      </c>
      <c r="CN204" t="inlineStr"/>
      <c r="CO204" t="n">
        <v>0</v>
      </c>
      <c r="CP204">
        <f>(P204+Q204+S204)</f>
        <v/>
      </c>
      <c r="CQ204">
        <f>AC204*BC204</f>
        <v/>
      </c>
      <c r="CR204">
        <f>(ROUND((ROUND(((ET204)*1),0)*BB204),0)+ROUND((ROUND(((AE204-(EU204))*1),0)*BS204),0))</f>
        <v/>
      </c>
      <c r="CS204">
        <f>(ROUND((ROUND(((EU204)*1),0)*BS204),0)+ROUND((ROUND(((AE204-(EU204))*1),0)*BS204),0))</f>
        <v/>
      </c>
      <c r="CT204">
        <f>AF204*BA204</f>
        <v/>
      </c>
      <c r="CU204">
        <f>AG204</f>
        <v/>
      </c>
      <c r="CV204">
        <f>AH204</f>
        <v/>
      </c>
      <c r="CW204">
        <f>AI204</f>
        <v/>
      </c>
      <c r="CX204">
        <f>AJ204</f>
        <v/>
      </c>
      <c r="CY204">
        <f>(((S204+R204)*AT204)/100)</f>
        <v/>
      </c>
      <c r="CZ204">
        <f>(((S204+R204)*AU204)/100)</f>
        <v/>
      </c>
      <c r="DC204" t="inlineStr"/>
      <c r="DD204" t="inlineStr"/>
      <c r="DE204" t="inlineStr"/>
      <c r="DF204" t="inlineStr"/>
      <c r="DG204" t="inlineStr"/>
      <c r="DH204" t="inlineStr"/>
      <c r="DI204" t="inlineStr"/>
      <c r="DJ204" t="inlineStr"/>
      <c r="DK204" t="inlineStr"/>
      <c r="DL204" t="inlineStr"/>
      <c r="DM204" t="inlineStr"/>
      <c r="DN204" t="n">
        <v>0</v>
      </c>
      <c r="DO204" t="n">
        <v>0</v>
      </c>
      <c r="DP204" t="n">
        <v>1</v>
      </c>
      <c r="DQ204" t="n">
        <v>1</v>
      </c>
      <c r="DU204" t="n">
        <v>1010</v>
      </c>
      <c r="DV204" t="inlineStr">
        <is>
          <t>шт.</t>
        </is>
      </c>
      <c r="DW204" t="inlineStr">
        <is>
          <t>шт.</t>
        </is>
      </c>
      <c r="DX204" t="n">
        <v>1</v>
      </c>
      <c r="DZ204" t="inlineStr"/>
      <c r="EA204" t="inlineStr"/>
      <c r="EB204" t="inlineStr"/>
      <c r="EC204" t="inlineStr"/>
      <c r="EE204" t="n">
        <v>78726000</v>
      </c>
      <c r="EF204" t="n">
        <v>6</v>
      </c>
      <c r="EG204" t="inlineStr">
        <is>
          <t>Ремонтно-строительные работы</t>
        </is>
      </c>
      <c r="EH204" t="n">
        <v>99</v>
      </c>
      <c r="EI204" t="inlineStr">
        <is>
          <t>Внутренние санитарно-технические работы</t>
        </is>
      </c>
      <c r="EJ204" t="n">
        <v>1</v>
      </c>
      <c r="EK204" t="n">
        <v>65007</v>
      </c>
      <c r="EL204" t="inlineStr">
        <is>
          <t>Внутренние санитарнотехнические работы: смена труб, санприборов, запорной арматуры и другое</t>
        </is>
      </c>
      <c r="EM204" t="inlineStr">
        <is>
          <t>рФЕР-65</t>
        </is>
      </c>
      <c r="EO204" t="inlineStr"/>
      <c r="EQ204" t="n">
        <v>0</v>
      </c>
      <c r="ER204" t="n">
        <v>28.53</v>
      </c>
      <c r="ES204" t="n">
        <v>28.53</v>
      </c>
      <c r="ET204" t="n">
        <v>0</v>
      </c>
      <c r="EU204" t="n">
        <v>0</v>
      </c>
      <c r="EV204" t="n">
        <v>0</v>
      </c>
      <c r="EW204" t="n">
        <v>0</v>
      </c>
      <c r="EX204" t="n">
        <v>0</v>
      </c>
      <c r="FQ204" t="n">
        <v>0</v>
      </c>
      <c r="FR204" t="n">
        <v>0</v>
      </c>
      <c r="FS204" t="n">
        <v>0</v>
      </c>
      <c r="FX204" t="n">
        <v>103</v>
      </c>
      <c r="FY204" t="n">
        <v>52</v>
      </c>
      <c r="GA204" t="inlineStr"/>
      <c r="GD204" t="n">
        <v>1</v>
      </c>
      <c r="GF204" t="n">
        <v>-1687406522</v>
      </c>
      <c r="GG204" t="n">
        <v>2</v>
      </c>
      <c r="GH204" t="n">
        <v>1</v>
      </c>
      <c r="GI204" t="n">
        <v>2</v>
      </c>
      <c r="GJ204" t="n">
        <v>0</v>
      </c>
      <c r="GK204" t="n">
        <v>0</v>
      </c>
      <c r="GL204">
        <f>ROUND(IF(AND(BH204=3,BI204=3,FS204&lt;&gt;0),P204,0),0)</f>
        <v/>
      </c>
      <c r="GM204">
        <f>ROUND(O204+X204+Y204,0)+GX204</f>
        <v/>
      </c>
      <c r="GN204">
        <f>IF(OR(BI204=0,BI204=1),GM204-GX204,0)</f>
        <v/>
      </c>
      <c r="GO204">
        <f>IF(BI204=2,GM204-GX204,0)</f>
        <v/>
      </c>
      <c r="GP204">
        <f>IF(BI204=4,GM204-GX204,0)</f>
        <v/>
      </c>
      <c r="GR204" t="n">
        <v>0</v>
      </c>
      <c r="GS204" t="n">
        <v>3</v>
      </c>
      <c r="GT204" t="n">
        <v>0</v>
      </c>
      <c r="GU204" t="inlineStr"/>
      <c r="GV204">
        <f>ROUND((GT204),2)</f>
        <v/>
      </c>
      <c r="GW204" t="n">
        <v>1</v>
      </c>
      <c r="GX204">
        <f>ROUND(HC204*I204,0)</f>
        <v/>
      </c>
      <c r="HA204" t="n">
        <v>0</v>
      </c>
      <c r="HB204" t="n">
        <v>0</v>
      </c>
      <c r="HC204">
        <f>GV204*GW204</f>
        <v/>
      </c>
      <c r="HE204" t="inlineStr"/>
      <c r="HF204" t="inlineStr"/>
      <c r="HM204" t="inlineStr"/>
      <c r="HN204" t="inlineStr">
        <is>
          <t>Пр/812-099.2-1</t>
        </is>
      </c>
      <c r="HO204" t="inlineStr">
        <is>
          <t>Пр/774-099.2</t>
        </is>
      </c>
      <c r="HP204" t="inlineStr">
        <is>
          <t>Внутренние санитарнотехнические работы: смена труб, санприборов, запорной арматуры и другое</t>
        </is>
      </c>
      <c r="HQ204" t="inlineStr">
        <is>
          <t>Внутренние санитарнотехнические работы: смена труб, санприборов, запорной арматуры и другое</t>
        </is>
      </c>
      <c r="HS204" t="n">
        <v>0</v>
      </c>
      <c r="IK204" t="n">
        <v>0</v>
      </c>
    </row>
    <row r="205">
      <c r="A205" t="n">
        <v>17</v>
      </c>
      <c r="B205" t="n">
        <v>0</v>
      </c>
      <c r="C205">
        <f>ROW(SmtRes!A110)</f>
        <v/>
      </c>
      <c r="D205">
        <f>ROW(EtalonRes!A104)</f>
        <v/>
      </c>
      <c r="E205" t="inlineStr">
        <is>
          <t>4</t>
        </is>
      </c>
      <c r="F205" t="inlineStr">
        <is>
          <t>16-07-005-1</t>
        </is>
      </c>
      <c r="G20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05" t="inlineStr">
        <is>
          <t>100 м трубопровода</t>
        </is>
      </c>
      <c r="I205">
        <f>ROUND(ROUND(120/100,4),7)</f>
        <v/>
      </c>
      <c r="J205" t="n">
        <v>0</v>
      </c>
      <c r="K205">
        <f>ROUND(ROUND(120/100,4),7)</f>
        <v/>
      </c>
      <c r="O205">
        <f>ROUND(CP205,0)</f>
        <v/>
      </c>
      <c r="P205">
        <f>ROUND(CQ205*I205,0)</f>
        <v/>
      </c>
      <c r="Q205">
        <f>(ROUND((ROUND((((ET205*ROUND(5,7)))*I205),0)*BB205),0)+ROUND((ROUND(((AE205-((EU205*ROUND(5,7))))*I205),0)*BS205),0))</f>
        <v/>
      </c>
      <c r="R205">
        <f>(ROUND((ROUND((((EU205*ROUND(5,7)))*I205),0)*BS205),0)+ROUND((ROUND(((AE205-((EU205*ROUND(5,7))))*I205),0)*BS205),0))</f>
        <v/>
      </c>
      <c r="S205">
        <f>ROUND(CT205*I205,0)</f>
        <v/>
      </c>
      <c r="T205">
        <f>ROUND(CU205*I205,0)</f>
        <v/>
      </c>
      <c r="U205">
        <f>ROUND(CV205*I205,7)</f>
        <v/>
      </c>
      <c r="V205">
        <f>ROUND(CW205*I205,7)</f>
        <v/>
      </c>
      <c r="W205">
        <f>ROUND(CX205*I205,0)</f>
        <v/>
      </c>
      <c r="X205">
        <f>ROUND(CY205,0)</f>
        <v/>
      </c>
      <c r="Y205">
        <f>ROUND(CZ205,0)</f>
        <v/>
      </c>
      <c r="AA205" t="n">
        <v>78869116</v>
      </c>
      <c r="AB205">
        <f>ROUND((AC205+AD205+AF205),2)</f>
        <v/>
      </c>
      <c r="AC205">
        <f>ROUND(((ES205*ROUND(5,7))),2)</f>
        <v/>
      </c>
      <c r="AD205">
        <f>ROUND(((((ET205*ROUND(5,7)))-((EU205*ROUND(5,7))))+AE205),2)</f>
        <v/>
      </c>
      <c r="AE205">
        <f>ROUND(((EU205*ROUND(5,7))),2)</f>
        <v/>
      </c>
      <c r="AF205">
        <f>ROUND(((EV205*ROUND(5,7))),2)</f>
        <v/>
      </c>
      <c r="AG205">
        <f>ROUND((AP205),2)</f>
        <v/>
      </c>
      <c r="AH205">
        <f>((EW205*ROUND(5,7)))</f>
        <v/>
      </c>
      <c r="AI205">
        <f>((EX205*ROUND(5,7)))</f>
        <v/>
      </c>
      <c r="AJ205">
        <f>(AS205)</f>
        <v/>
      </c>
      <c r="AK205" t="n">
        <v>107.11</v>
      </c>
      <c r="AL205" t="n">
        <v>4.28</v>
      </c>
      <c r="AM205" t="n">
        <v>44.51</v>
      </c>
      <c r="AN205" t="n">
        <v>0</v>
      </c>
      <c r="AO205" t="n">
        <v>58.32</v>
      </c>
      <c r="AP205" t="n">
        <v>0</v>
      </c>
      <c r="AQ205" t="n">
        <v>5.01</v>
      </c>
      <c r="AR205" t="n">
        <v>0</v>
      </c>
      <c r="AS205" t="n">
        <v>0</v>
      </c>
      <c r="AT205" t="n">
        <v>121</v>
      </c>
      <c r="AU205" t="n">
        <v>72</v>
      </c>
      <c r="AV205" t="n">
        <v>1</v>
      </c>
      <c r="AW205" t="n">
        <v>1</v>
      </c>
      <c r="AZ205" t="n">
        <v>1</v>
      </c>
      <c r="BA205" t="n">
        <v>52.25</v>
      </c>
      <c r="BB205" t="n">
        <v>5.97</v>
      </c>
      <c r="BC205" t="n">
        <v>11.38</v>
      </c>
      <c r="BD205" t="inlineStr"/>
      <c r="BE205" t="inlineStr"/>
      <c r="BF205" t="inlineStr"/>
      <c r="BG205" t="inlineStr"/>
      <c r="BH205" t="n">
        <v>0</v>
      </c>
      <c r="BI205" t="n">
        <v>1</v>
      </c>
      <c r="BJ205" t="inlineStr">
        <is>
          <t>ТЕР Московской обл., 16-07-005-1, приказ Минстроя России №675/пр от 28.02.2017 № 260/пр</t>
        </is>
      </c>
      <c r="BM205" t="n">
        <v>16001</v>
      </c>
      <c r="BN205" t="n">
        <v>0</v>
      </c>
      <c r="BO205" t="inlineStr">
        <is>
          <t>16-07-005-1</t>
        </is>
      </c>
      <c r="BP205" t="n">
        <v>1</v>
      </c>
      <c r="BQ205" t="n">
        <v>2</v>
      </c>
      <c r="BR205" t="n">
        <v>0</v>
      </c>
      <c r="BS205" t="n">
        <v>52.25</v>
      </c>
      <c r="BT205" t="n">
        <v>1</v>
      </c>
      <c r="BU205" t="n">
        <v>1</v>
      </c>
      <c r="BV205" t="n">
        <v>1</v>
      </c>
      <c r="BW205" t="n">
        <v>1</v>
      </c>
      <c r="BX205" t="n">
        <v>1</v>
      </c>
      <c r="BY205" t="inlineStr"/>
      <c r="BZ205" t="n">
        <v>121</v>
      </c>
      <c r="CA205" t="n">
        <v>72</v>
      </c>
      <c r="CB205" t="inlineStr"/>
      <c r="CE205" t="n">
        <v>12</v>
      </c>
      <c r="CF205" t="n">
        <v>0</v>
      </c>
      <c r="CG205" t="n">
        <v>0</v>
      </c>
      <c r="CM205" t="n">
        <v>0</v>
      </c>
      <c r="CN205" t="inlineStr"/>
      <c r="CO205" t="n">
        <v>0</v>
      </c>
      <c r="CP205">
        <f>(P205+Q205+S205)</f>
        <v/>
      </c>
      <c r="CQ205">
        <f>AC205*BC205</f>
        <v/>
      </c>
      <c r="CR205">
        <f>(ROUND((ROUND((((ET205*ROUND(5,7)))*1),0)*BB205),0)+ROUND((ROUND(((AE205-((EU205*ROUND(5,7))))*1),0)*BS205),0))</f>
        <v/>
      </c>
      <c r="CS205">
        <f>(ROUND((ROUND((((EU205*ROUND(5,7)))*1),0)*BS205),0)+ROUND((ROUND(((AE205-((EU205*ROUND(5,7))))*1),0)*BS205),0))</f>
        <v/>
      </c>
      <c r="CT205">
        <f>AF205*BA205</f>
        <v/>
      </c>
      <c r="CU205">
        <f>AG205</f>
        <v/>
      </c>
      <c r="CV205">
        <f>AH205</f>
        <v/>
      </c>
      <c r="CW205">
        <f>AI205</f>
        <v/>
      </c>
      <c r="CX205">
        <f>AJ205</f>
        <v/>
      </c>
      <c r="CY205">
        <f>(((S205+R205)*AT205)/100)</f>
        <v/>
      </c>
      <c r="CZ205">
        <f>(((S205+R205)*AU205)/100)</f>
        <v/>
      </c>
      <c r="DC205" t="inlineStr"/>
      <c r="DD205" t="inlineStr">
        <is>
          <t>)*5</t>
        </is>
      </c>
      <c r="DE205" t="inlineStr">
        <is>
          <t>)*5</t>
        </is>
      </c>
      <c r="DF205" t="inlineStr">
        <is>
          <t>)*5</t>
        </is>
      </c>
      <c r="DG205" t="inlineStr">
        <is>
          <t>)*5</t>
        </is>
      </c>
      <c r="DH205" t="inlineStr"/>
      <c r="DI205" t="inlineStr">
        <is>
          <t>)*5</t>
        </is>
      </c>
      <c r="DJ205" t="inlineStr">
        <is>
          <t>)*5</t>
        </is>
      </c>
      <c r="DK205" t="inlineStr"/>
      <c r="DL205" t="inlineStr"/>
      <c r="DM205" t="inlineStr"/>
      <c r="DN205" t="n">
        <v>0</v>
      </c>
      <c r="DO205" t="n">
        <v>0</v>
      </c>
      <c r="DP205" t="n">
        <v>1</v>
      </c>
      <c r="DQ205" t="n">
        <v>1</v>
      </c>
      <c r="DU205" t="n">
        <v>1013</v>
      </c>
      <c r="DV205" t="inlineStr">
        <is>
          <t>100 м трубопровода</t>
        </is>
      </c>
      <c r="DW205" t="inlineStr">
        <is>
          <t>100 м трубопровода</t>
        </is>
      </c>
      <c r="DX205" t="n">
        <v>1</v>
      </c>
      <c r="DZ205" t="inlineStr"/>
      <c r="EA205" t="inlineStr"/>
      <c r="EB205" t="inlineStr"/>
      <c r="EC205" t="inlineStr"/>
      <c r="EE205" t="n">
        <v>78725882</v>
      </c>
      <c r="EF205" t="n">
        <v>2</v>
      </c>
      <c r="EG205" t="inlineStr">
        <is>
          <t>Общестроительные работы</t>
        </is>
      </c>
      <c r="EH205" t="n">
        <v>16</v>
      </c>
      <c r="EI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05" t="n">
        <v>1</v>
      </c>
      <c r="EK205" t="n">
        <v>16001</v>
      </c>
      <c r="EL205" t="inlineStr">
        <is>
          <t>Трубопроводы внутренние</t>
        </is>
      </c>
      <c r="EM205" t="inlineStr">
        <is>
          <t>ФЕР-16</t>
        </is>
      </c>
      <c r="EO205" t="inlineStr"/>
      <c r="EQ205" t="n">
        <v>0</v>
      </c>
      <c r="ER205" t="n">
        <v>107.11</v>
      </c>
      <c r="ES205" t="n">
        <v>4.28</v>
      </c>
      <c r="ET205" t="n">
        <v>44.51</v>
      </c>
      <c r="EU205" t="n">
        <v>0</v>
      </c>
      <c r="EV205" t="n">
        <v>58.32</v>
      </c>
      <c r="EW205" t="n">
        <v>5.01</v>
      </c>
      <c r="EX205" t="n">
        <v>0</v>
      </c>
      <c r="EY205" t="n">
        <v>0</v>
      </c>
      <c r="FQ205" t="n">
        <v>0</v>
      </c>
      <c r="FR205" t="n">
        <v>0</v>
      </c>
      <c r="FS205" t="n">
        <v>0</v>
      </c>
      <c r="FX205" t="n">
        <v>121</v>
      </c>
      <c r="FY205" t="n">
        <v>72</v>
      </c>
      <c r="GA205" t="inlineStr"/>
      <c r="GD205" t="n">
        <v>1</v>
      </c>
      <c r="GF205" t="n">
        <v>635989612</v>
      </c>
      <c r="GG205" t="n">
        <v>2</v>
      </c>
      <c r="GH205" t="n">
        <v>1</v>
      </c>
      <c r="GI205" t="n">
        <v>2</v>
      </c>
      <c r="GJ205" t="n">
        <v>0</v>
      </c>
      <c r="GK205" t="n">
        <v>0</v>
      </c>
      <c r="GL205">
        <f>ROUND(IF(AND(BH205=3,BI205=3,FS205&lt;&gt;0),P205,0),0)</f>
        <v/>
      </c>
      <c r="GM205">
        <f>ROUND(O205+X205+Y205,0)+GX205</f>
        <v/>
      </c>
      <c r="GN205">
        <f>IF(OR(BI205=0,BI205=1),GM205-GX205,0)</f>
        <v/>
      </c>
      <c r="GO205">
        <f>IF(BI205=2,GM205-GX205,0)</f>
        <v/>
      </c>
      <c r="GP205">
        <f>IF(BI205=4,GM205-GX205,0)</f>
        <v/>
      </c>
      <c r="GR205" t="n">
        <v>0</v>
      </c>
      <c r="GS205" t="n">
        <v>3</v>
      </c>
      <c r="GT205" t="n">
        <v>0</v>
      </c>
      <c r="GU205" t="inlineStr"/>
      <c r="GV205">
        <f>ROUND((GT205),2)</f>
        <v/>
      </c>
      <c r="GW205" t="n">
        <v>1</v>
      </c>
      <c r="GX205">
        <f>ROUND(HC205*I205,0)</f>
        <v/>
      </c>
      <c r="HA205" t="n">
        <v>0</v>
      </c>
      <c r="HB205" t="n">
        <v>0</v>
      </c>
      <c r="HC205">
        <f>GV205*GW205</f>
        <v/>
      </c>
      <c r="HE205" t="inlineStr"/>
      <c r="HF205" t="inlineStr"/>
      <c r="HM205" t="inlineStr"/>
      <c r="HN205" t="inlineStr">
        <is>
          <t>Пр/812-016.0-1</t>
        </is>
      </c>
      <c r="HO205" t="inlineStr">
        <is>
          <t>Пр/774-016.0</t>
        </is>
      </c>
      <c r="HP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05" t="n">
        <v>0</v>
      </c>
      <c r="IK205" t="n">
        <v>0</v>
      </c>
    </row>
    <row r="206"/>
    <row r="207">
      <c r="A207" s="402" t="n">
        <v>51</v>
      </c>
      <c r="B207" s="402">
        <f>B195</f>
        <v/>
      </c>
      <c r="C207" s="402">
        <f>A195</f>
        <v/>
      </c>
      <c r="D207" s="402">
        <f>ROW(A195)</f>
        <v/>
      </c>
      <c r="E207" s="402" t="n"/>
      <c r="F207" s="402">
        <f>IF(F195&lt;&gt;"",F195,"")</f>
        <v/>
      </c>
      <c r="G207" s="402">
        <f>IF(G195&lt;&gt;"",G195,"")</f>
        <v/>
      </c>
      <c r="H207" s="402" t="n">
        <v>0</v>
      </c>
      <c r="I207" s="402" t="n"/>
      <c r="J207" s="402" t="n"/>
      <c r="K207" s="402" t="n"/>
      <c r="L207" s="402" t="n"/>
      <c r="M207" s="402" t="n"/>
      <c r="N207" s="402" t="n"/>
      <c r="O207" s="402" t="n">
        <v>0</v>
      </c>
      <c r="P207" s="402" t="n">
        <v>0</v>
      </c>
      <c r="Q207" s="402" t="n">
        <v>0</v>
      </c>
      <c r="R207" s="402" t="n">
        <v>0</v>
      </c>
      <c r="S207" s="402" t="n">
        <v>0</v>
      </c>
      <c r="T207" s="402" t="n">
        <v>0</v>
      </c>
      <c r="U207" s="402" t="n">
        <v>0</v>
      </c>
      <c r="V207" s="402" t="n">
        <v>0</v>
      </c>
      <c r="W207" s="402" t="n">
        <v>0</v>
      </c>
      <c r="X207" s="402" t="n">
        <v>0</v>
      </c>
      <c r="Y207" s="402" t="n">
        <v>0</v>
      </c>
      <c r="Z207" s="402" t="n"/>
      <c r="AA207" s="402" t="n"/>
      <c r="AB207" s="402" t="n"/>
      <c r="AC207" s="402" t="n"/>
      <c r="AD207" s="402" t="n"/>
      <c r="AE207" s="402" t="n"/>
      <c r="AF207" s="402" t="n"/>
      <c r="AG207" s="402" t="n"/>
      <c r="AH207" s="402" t="n"/>
      <c r="AI207" s="402" t="n"/>
      <c r="AJ207" s="402" t="n"/>
      <c r="AK207" s="402" t="n"/>
      <c r="AL207" s="402" t="n"/>
      <c r="AM207" s="402" t="n"/>
      <c r="AN207" s="402" t="n"/>
      <c r="AO207" s="402">
        <f>ROUND(BX207,0)</f>
        <v/>
      </c>
      <c r="AP207" s="402">
        <f>ROUND(BY207,0)</f>
        <v/>
      </c>
      <c r="AQ207" s="402">
        <f>ROUND(BZ207,0)</f>
        <v/>
      </c>
      <c r="AR207" s="402">
        <f>ROUND(CA207,0)</f>
        <v/>
      </c>
      <c r="AS207" s="402">
        <f>ROUND(CB207,0)</f>
        <v/>
      </c>
      <c r="AT207" s="402">
        <f>ROUND(CC207,0)</f>
        <v/>
      </c>
      <c r="AU207" s="402">
        <f>ROUND(CD207,0)</f>
        <v/>
      </c>
      <c r="AV207" s="402">
        <f>ROUND(CE207,0)</f>
        <v/>
      </c>
      <c r="AW207" s="402">
        <f>ROUND(CF207,0)</f>
        <v/>
      </c>
      <c r="AX207" s="402">
        <f>ROUND(CG207,0)</f>
        <v/>
      </c>
      <c r="AY207" s="402">
        <f>ROUND(CH207,0)</f>
        <v/>
      </c>
      <c r="AZ207" s="402">
        <f>ROUND(CI207,0)</f>
        <v/>
      </c>
      <c r="BA207" s="402">
        <f>ROUND(CJ207,0)</f>
        <v/>
      </c>
      <c r="BB207" s="402">
        <f>ROUND(CK207,0)</f>
        <v/>
      </c>
      <c r="BC207" s="402">
        <f>ROUND(CL207,0)</f>
        <v/>
      </c>
      <c r="BD207" s="402">
        <f>ROUND(CM207,0)</f>
        <v/>
      </c>
      <c r="BE207" s="402" t="n"/>
      <c r="BF207" s="402" t="n"/>
      <c r="BG207" s="402" t="n"/>
      <c r="BH207" s="402" t="n"/>
      <c r="BI207" s="402" t="n"/>
      <c r="BJ207" s="402" t="n"/>
      <c r="BK207" s="402" t="n"/>
      <c r="BL207" s="402" t="n"/>
      <c r="BM207" s="402" t="n"/>
      <c r="BN207" s="402" t="n"/>
      <c r="BO207" s="402" t="n"/>
      <c r="BP207" s="402" t="n"/>
      <c r="BQ207" s="402" t="n"/>
      <c r="BR207" s="402" t="n"/>
      <c r="BS207" s="402" t="n"/>
      <c r="BT207" s="402" t="n"/>
      <c r="BU207" s="402" t="n"/>
      <c r="BV207" s="402" t="n"/>
      <c r="BW207" s="402" t="n"/>
      <c r="BX207" s="402" t="n"/>
      <c r="BY207" s="402" t="n"/>
      <c r="BZ207" s="402" t="n"/>
      <c r="CA207" s="402" t="n"/>
      <c r="CB207" s="402" t="n"/>
      <c r="CC207" s="402" t="n"/>
      <c r="CD207" s="402" t="n"/>
      <c r="CE207" s="402" t="n"/>
      <c r="CF207" s="402" t="n"/>
      <c r="CG207" s="402" t="n"/>
      <c r="CH207" s="402" t="n"/>
      <c r="CI207" s="402" t="n"/>
      <c r="CJ207" s="402" t="n"/>
      <c r="CK207" s="402" t="n"/>
      <c r="CL207" s="402" t="n"/>
      <c r="CM207" s="402" t="n"/>
      <c r="CN207" s="402" t="n"/>
      <c r="CO207" s="402" t="n"/>
      <c r="CP207" s="402" t="n"/>
      <c r="CQ207" s="402" t="n"/>
      <c r="CR207" s="402" t="n"/>
      <c r="CS207" s="402" t="n"/>
      <c r="CT207" s="402" t="n"/>
      <c r="CU207" s="402" t="n"/>
      <c r="CV207" s="402" t="n"/>
      <c r="CW207" s="402" t="n"/>
      <c r="CX207" s="402" t="n"/>
      <c r="CY207" s="402" t="n"/>
      <c r="CZ207" s="402" t="n"/>
      <c r="DA207" s="402" t="n"/>
      <c r="DB207" s="402" t="n"/>
      <c r="DC207" s="402" t="n"/>
      <c r="DD207" s="402" t="n"/>
      <c r="DE207" s="402" t="n"/>
      <c r="DF207" s="402" t="n"/>
      <c r="DG207" s="403" t="n"/>
      <c r="DH207" s="403" t="n"/>
      <c r="DI207" s="403" t="n"/>
      <c r="DJ207" s="403" t="n"/>
      <c r="DK207" s="403" t="n"/>
      <c r="DL207" s="403" t="n"/>
      <c r="DM207" s="403" t="n"/>
      <c r="DN207" s="403" t="n"/>
      <c r="DO207" s="403" t="n"/>
      <c r="DP207" s="403" t="n"/>
      <c r="DQ207" s="403" t="n"/>
      <c r="DR207" s="403" t="n"/>
      <c r="DS207" s="403" t="n"/>
      <c r="DT207" s="403" t="n"/>
      <c r="DU207" s="403" t="n"/>
      <c r="DV207" s="403" t="n"/>
      <c r="DW207" s="403" t="n"/>
      <c r="DX207" s="403" t="n"/>
      <c r="DY207" s="403" t="n"/>
      <c r="DZ207" s="403" t="n"/>
      <c r="EA207" s="403" t="n"/>
      <c r="EB207" s="403" t="n"/>
      <c r="EC207" s="403" t="n"/>
      <c r="ED207" s="403" t="n"/>
      <c r="EE207" s="403" t="n"/>
      <c r="EF207" s="403" t="n"/>
      <c r="EG207" s="403" t="n"/>
      <c r="EH207" s="403" t="n"/>
      <c r="EI207" s="403" t="n"/>
      <c r="EJ207" s="403" t="n"/>
      <c r="EK207" s="403" t="n"/>
      <c r="EL207" s="403" t="n"/>
      <c r="EM207" s="403" t="n"/>
      <c r="EN207" s="403" t="n"/>
      <c r="EO207" s="403" t="n"/>
      <c r="EP207" s="403" t="n"/>
      <c r="EQ207" s="403" t="n"/>
      <c r="ER207" s="403" t="n"/>
      <c r="ES207" s="403" t="n"/>
      <c r="ET207" s="403" t="n"/>
      <c r="EU207" s="403" t="n"/>
      <c r="EV207" s="403" t="n"/>
      <c r="EW207" s="403" t="n"/>
      <c r="EX207" s="403" t="n"/>
      <c r="EY207" s="403" t="n"/>
      <c r="EZ207" s="403" t="n"/>
      <c r="FA207" s="403" t="n"/>
      <c r="FB207" s="403" t="n"/>
      <c r="FC207" s="403" t="n"/>
      <c r="FD207" s="403" t="n"/>
      <c r="FE207" s="403" t="n"/>
      <c r="FF207" s="403" t="n"/>
      <c r="FG207" s="403" t="n"/>
      <c r="FH207" s="403" t="n"/>
      <c r="FI207" s="403" t="n"/>
      <c r="FJ207" s="403" t="n"/>
      <c r="FK207" s="403" t="n"/>
      <c r="FL207" s="403" t="n"/>
      <c r="FM207" s="403" t="n"/>
      <c r="FN207" s="403" t="n"/>
      <c r="FO207" s="403" t="n"/>
      <c r="FP207" s="403" t="n"/>
      <c r="FQ207" s="403" t="n"/>
      <c r="FR207" s="403" t="n"/>
      <c r="FS207" s="403" t="n"/>
      <c r="FT207" s="403" t="n"/>
      <c r="FU207" s="403" t="n"/>
      <c r="FV207" s="403" t="n"/>
      <c r="FW207" s="403" t="n"/>
      <c r="FX207" s="403" t="n"/>
      <c r="FY207" s="403" t="n"/>
      <c r="FZ207" s="403" t="n"/>
      <c r="GA207" s="403" t="n"/>
      <c r="GB207" s="403" t="n"/>
      <c r="GC207" s="403" t="n"/>
      <c r="GD207" s="403" t="n"/>
      <c r="GE207" s="403" t="n"/>
      <c r="GF207" s="403" t="n"/>
      <c r="GG207" s="403" t="n"/>
      <c r="GH207" s="403" t="n"/>
      <c r="GI207" s="403" t="n"/>
      <c r="GJ207" s="403" t="n"/>
      <c r="GK207" s="403" t="n"/>
      <c r="GL207" s="403" t="n"/>
      <c r="GM207" s="403" t="n"/>
      <c r="GN207" s="403" t="n"/>
      <c r="GO207" s="403" t="n"/>
      <c r="GP207" s="403" t="n"/>
      <c r="GQ207" s="403" t="n"/>
      <c r="GR207" s="403" t="n"/>
      <c r="GS207" s="403" t="n"/>
      <c r="GT207" s="403" t="n"/>
      <c r="GU207" s="403" t="n"/>
      <c r="GV207" s="403" t="n"/>
      <c r="GW207" s="403" t="n"/>
      <c r="GX207" s="403" t="n">
        <v>0</v>
      </c>
    </row>
    <row r="208"/>
    <row r="209">
      <c r="A209" s="404" t="n">
        <v>50</v>
      </c>
      <c r="B209" s="404" t="n">
        <v>0</v>
      </c>
      <c r="C209" s="404" t="n">
        <v>0</v>
      </c>
      <c r="D209" s="404" t="n">
        <v>1</v>
      </c>
      <c r="E209" s="404" t="n">
        <v>201</v>
      </c>
      <c r="F209" s="404">
        <f>ROUND(Source!O207,O209)</f>
        <v/>
      </c>
      <c r="G209" s="404" t="inlineStr">
        <is>
          <t>ПЗ</t>
        </is>
      </c>
      <c r="H209" s="404" t="inlineStr">
        <is>
          <t>Прямые затраты</t>
        </is>
      </c>
      <c r="I209" s="404" t="n"/>
      <c r="J209" s="404" t="n"/>
      <c r="K209" s="404" t="n">
        <v>201</v>
      </c>
      <c r="L209" s="404" t="n">
        <v>1</v>
      </c>
      <c r="M209" s="404" t="n">
        <v>3</v>
      </c>
      <c r="N209" s="404" t="inlineStr"/>
      <c r="O209" s="404" t="n">
        <v>0</v>
      </c>
      <c r="P209" s="404" t="n"/>
      <c r="Q209" s="404" t="n"/>
      <c r="R209" s="404" t="n"/>
      <c r="S209" s="404" t="n"/>
      <c r="T209" s="404" t="n"/>
      <c r="U209" s="404" t="n"/>
      <c r="V209" s="404" t="n"/>
      <c r="W209" s="404" t="n">
        <v>0</v>
      </c>
      <c r="X209" s="404" t="n">
        <v>1</v>
      </c>
      <c r="Y209" s="404" t="n">
        <v>0</v>
      </c>
      <c r="Z209" s="404" t="n"/>
      <c r="AA209" s="404" t="n"/>
      <c r="AB209" s="404" t="n"/>
    </row>
    <row r="210">
      <c r="A210" s="404" t="n">
        <v>50</v>
      </c>
      <c r="B210" s="404" t="n">
        <v>0</v>
      </c>
      <c r="C210" s="404" t="n">
        <v>0</v>
      </c>
      <c r="D210" s="404" t="n">
        <v>1</v>
      </c>
      <c r="E210" s="404" t="n">
        <v>202</v>
      </c>
      <c r="F210" s="404">
        <f>ROUND(Source!P207,O210)</f>
        <v/>
      </c>
      <c r="G210" s="404" t="inlineStr">
        <is>
          <t>СтМатОб</t>
        </is>
      </c>
      <c r="H210" s="404" t="inlineStr">
        <is>
          <t>Стоимость материальных ресурсов (всего)</t>
        </is>
      </c>
      <c r="I210" s="404" t="n"/>
      <c r="J210" s="404" t="n"/>
      <c r="K210" s="404" t="n">
        <v>202</v>
      </c>
      <c r="L210" s="404" t="n">
        <v>2</v>
      </c>
      <c r="M210" s="404" t="n">
        <v>3</v>
      </c>
      <c r="N210" s="404" t="inlineStr"/>
      <c r="O210" s="404" t="n">
        <v>0</v>
      </c>
      <c r="P210" s="404" t="n"/>
      <c r="Q210" s="404" t="n"/>
      <c r="R210" s="404" t="n"/>
      <c r="S210" s="404" t="n"/>
      <c r="T210" s="404" t="n"/>
      <c r="U210" s="404" t="n"/>
      <c r="V210" s="404" t="n"/>
      <c r="W210" s="404" t="n">
        <v>0</v>
      </c>
      <c r="X210" s="404" t="n">
        <v>1</v>
      </c>
      <c r="Y210" s="404" t="n">
        <v>0</v>
      </c>
      <c r="Z210" s="404" t="n"/>
      <c r="AA210" s="404" t="n"/>
      <c r="AB210" s="404" t="n"/>
    </row>
    <row r="211">
      <c r="A211" s="404" t="n">
        <v>50</v>
      </c>
      <c r="B211" s="404" t="n">
        <v>0</v>
      </c>
      <c r="C211" s="404" t="n">
        <v>0</v>
      </c>
      <c r="D211" s="404" t="n">
        <v>1</v>
      </c>
      <c r="E211" s="404" t="n">
        <v>222</v>
      </c>
      <c r="F211" s="404">
        <f>ROUND(Source!AO207,O211)</f>
        <v/>
      </c>
      <c r="G211" s="404" t="inlineStr">
        <is>
          <t>СтМатОбЗак</t>
        </is>
      </c>
      <c r="H211" s="404" t="inlineStr">
        <is>
          <t>Стоимость материалов и оборудования заказчика</t>
        </is>
      </c>
      <c r="I211" s="404" t="n"/>
      <c r="J211" s="404" t="n"/>
      <c r="K211" s="404" t="n">
        <v>222</v>
      </c>
      <c r="L211" s="404" t="n">
        <v>3</v>
      </c>
      <c r="M211" s="404" t="n">
        <v>3</v>
      </c>
      <c r="N211" s="404" t="inlineStr"/>
      <c r="O211" s="404" t="n">
        <v>0</v>
      </c>
      <c r="P211" s="404" t="n"/>
      <c r="Q211" s="404" t="n"/>
      <c r="R211" s="404" t="n"/>
      <c r="S211" s="404" t="n"/>
      <c r="T211" s="404" t="n"/>
      <c r="U211" s="404" t="n"/>
      <c r="V211" s="404" t="n"/>
      <c r="W211" s="404" t="n">
        <v>0</v>
      </c>
      <c r="X211" s="404" t="n">
        <v>1</v>
      </c>
      <c r="Y211" s="404" t="n">
        <v>0</v>
      </c>
      <c r="Z211" s="404" t="n"/>
      <c r="AA211" s="404" t="n"/>
      <c r="AB211" s="404" t="n"/>
    </row>
    <row r="212">
      <c r="A212" s="404" t="n">
        <v>50</v>
      </c>
      <c r="B212" s="404" t="n">
        <v>0</v>
      </c>
      <c r="C212" s="404" t="n">
        <v>0</v>
      </c>
      <c r="D212" s="404" t="n">
        <v>1</v>
      </c>
      <c r="E212" s="404" t="n">
        <v>225</v>
      </c>
      <c r="F212" s="404">
        <f>ROUND(Source!AV207,O212)</f>
        <v/>
      </c>
      <c r="G212" s="404" t="inlineStr">
        <is>
          <t>СтМатОбПод</t>
        </is>
      </c>
      <c r="H212" s="404" t="inlineStr">
        <is>
          <t>Стоимость материалов и оборудования подрядчика</t>
        </is>
      </c>
      <c r="I212" s="404" t="n"/>
      <c r="J212" s="404" t="n"/>
      <c r="K212" s="404" t="n">
        <v>225</v>
      </c>
      <c r="L212" s="404" t="n">
        <v>4</v>
      </c>
      <c r="M212" s="404" t="n">
        <v>3</v>
      </c>
      <c r="N212" s="404" t="inlineStr"/>
      <c r="O212" s="404" t="n">
        <v>0</v>
      </c>
      <c r="P212" s="404" t="n"/>
      <c r="Q212" s="404" t="n"/>
      <c r="R212" s="404" t="n"/>
      <c r="S212" s="404" t="n"/>
      <c r="T212" s="404" t="n"/>
      <c r="U212" s="404" t="n"/>
      <c r="V212" s="404" t="n"/>
      <c r="W212" s="404" t="n">
        <v>0</v>
      </c>
      <c r="X212" s="404" t="n">
        <v>1</v>
      </c>
      <c r="Y212" s="404" t="n">
        <v>0</v>
      </c>
      <c r="Z212" s="404" t="n"/>
      <c r="AA212" s="404" t="n"/>
      <c r="AB212" s="404" t="n"/>
    </row>
    <row r="213">
      <c r="A213" s="404" t="n">
        <v>50</v>
      </c>
      <c r="B213" s="404" t="n">
        <v>0</v>
      </c>
      <c r="C213" s="404" t="n">
        <v>0</v>
      </c>
      <c r="D213" s="404" t="n">
        <v>1</v>
      </c>
      <c r="E213" s="404" t="n">
        <v>226</v>
      </c>
      <c r="F213" s="404">
        <f>ROUND(Source!AW207,O213)</f>
        <v/>
      </c>
      <c r="G213" s="404" t="inlineStr">
        <is>
          <t>СтМат</t>
        </is>
      </c>
      <c r="H213" s="404" t="inlineStr">
        <is>
          <t>Стоимость материалов (всего)</t>
        </is>
      </c>
      <c r="I213" s="404" t="n"/>
      <c r="J213" s="404" t="n"/>
      <c r="K213" s="404" t="n">
        <v>226</v>
      </c>
      <c r="L213" s="404" t="n">
        <v>5</v>
      </c>
      <c r="M213" s="404" t="n">
        <v>3</v>
      </c>
      <c r="N213" s="404" t="inlineStr"/>
      <c r="O213" s="404" t="n">
        <v>0</v>
      </c>
      <c r="P213" s="404" t="n"/>
      <c r="Q213" s="404" t="n"/>
      <c r="R213" s="404" t="n"/>
      <c r="S213" s="404" t="n"/>
      <c r="T213" s="404" t="n"/>
      <c r="U213" s="404" t="n"/>
      <c r="V213" s="404" t="n"/>
      <c r="W213" s="404" t="n">
        <v>0</v>
      </c>
      <c r="X213" s="404" t="n">
        <v>1</v>
      </c>
      <c r="Y213" s="404" t="n">
        <v>0</v>
      </c>
      <c r="Z213" s="404" t="n"/>
      <c r="AA213" s="404" t="n"/>
      <c r="AB213" s="404" t="n"/>
    </row>
    <row r="214">
      <c r="A214" s="404" t="n">
        <v>50</v>
      </c>
      <c r="B214" s="404" t="n">
        <v>0</v>
      </c>
      <c r="C214" s="404" t="n">
        <v>0</v>
      </c>
      <c r="D214" s="404" t="n">
        <v>1</v>
      </c>
      <c r="E214" s="404" t="n">
        <v>227</v>
      </c>
      <c r="F214" s="404">
        <f>ROUND(Source!AX207,O214)</f>
        <v/>
      </c>
      <c r="G214" s="404" t="inlineStr">
        <is>
          <t>СтМатЗак</t>
        </is>
      </c>
      <c r="H214" s="404" t="inlineStr">
        <is>
          <t>Стоимость материалов заказчика</t>
        </is>
      </c>
      <c r="I214" s="404" t="n"/>
      <c r="J214" s="404" t="n"/>
      <c r="K214" s="404" t="n">
        <v>227</v>
      </c>
      <c r="L214" s="404" t="n">
        <v>6</v>
      </c>
      <c r="M214" s="404" t="n">
        <v>3</v>
      </c>
      <c r="N214" s="404" t="inlineStr"/>
      <c r="O214" s="404" t="n">
        <v>0</v>
      </c>
      <c r="P214" s="404" t="n"/>
      <c r="Q214" s="404" t="n"/>
      <c r="R214" s="404" t="n"/>
      <c r="S214" s="404" t="n"/>
      <c r="T214" s="404" t="n"/>
      <c r="U214" s="404" t="n"/>
      <c r="V214" s="404" t="n"/>
      <c r="W214" s="404" t="n">
        <v>0</v>
      </c>
      <c r="X214" s="404" t="n">
        <v>1</v>
      </c>
      <c r="Y214" s="404" t="n">
        <v>0</v>
      </c>
      <c r="Z214" s="404" t="n"/>
      <c r="AA214" s="404" t="n"/>
      <c r="AB214" s="404" t="n"/>
    </row>
    <row r="215">
      <c r="A215" s="404" t="n">
        <v>50</v>
      </c>
      <c r="B215" s="404" t="n">
        <v>0</v>
      </c>
      <c r="C215" s="404" t="n">
        <v>0</v>
      </c>
      <c r="D215" s="404" t="n">
        <v>1</v>
      </c>
      <c r="E215" s="404" t="n">
        <v>228</v>
      </c>
      <c r="F215" s="404">
        <f>ROUND(Source!AY207,O215)</f>
        <v/>
      </c>
      <c r="G215" s="404" t="inlineStr">
        <is>
          <t>СтМатПод</t>
        </is>
      </c>
      <c r="H215" s="404" t="inlineStr">
        <is>
          <t>Стоимость материалов подрядчика</t>
        </is>
      </c>
      <c r="I215" s="404" t="n"/>
      <c r="J215" s="404" t="n"/>
      <c r="K215" s="404" t="n">
        <v>228</v>
      </c>
      <c r="L215" s="404" t="n">
        <v>7</v>
      </c>
      <c r="M215" s="404" t="n">
        <v>3</v>
      </c>
      <c r="N215" s="404" t="inlineStr"/>
      <c r="O215" s="404" t="n">
        <v>0</v>
      </c>
      <c r="P215" s="404" t="n"/>
      <c r="Q215" s="404" t="n"/>
      <c r="R215" s="404" t="n"/>
      <c r="S215" s="404" t="n"/>
      <c r="T215" s="404" t="n"/>
      <c r="U215" s="404" t="n"/>
      <c r="V215" s="404" t="n"/>
      <c r="W215" s="404" t="n">
        <v>0</v>
      </c>
      <c r="X215" s="404" t="n">
        <v>1</v>
      </c>
      <c r="Y215" s="404" t="n">
        <v>0</v>
      </c>
      <c r="Z215" s="404" t="n"/>
      <c r="AA215" s="404" t="n"/>
      <c r="AB215" s="404" t="n"/>
    </row>
    <row r="216">
      <c r="A216" s="404" t="n">
        <v>50</v>
      </c>
      <c r="B216" s="404" t="n">
        <v>0</v>
      </c>
      <c r="C216" s="404" t="n">
        <v>0</v>
      </c>
      <c r="D216" s="404" t="n">
        <v>1</v>
      </c>
      <c r="E216" s="404" t="n">
        <v>216</v>
      </c>
      <c r="F216" s="404">
        <f>ROUND(Source!AP207,O216)</f>
        <v/>
      </c>
      <c r="G216" s="404" t="inlineStr">
        <is>
          <t>Оборуд</t>
        </is>
      </c>
      <c r="H216" s="404" t="inlineStr">
        <is>
          <t>Стоимость оборудования (всего)</t>
        </is>
      </c>
      <c r="I216" s="404" t="n"/>
      <c r="J216" s="404" t="n"/>
      <c r="K216" s="404" t="n">
        <v>216</v>
      </c>
      <c r="L216" s="404" t="n">
        <v>8</v>
      </c>
      <c r="M216" s="404" t="n">
        <v>3</v>
      </c>
      <c r="N216" s="404" t="inlineStr"/>
      <c r="O216" s="404" t="n">
        <v>0</v>
      </c>
      <c r="P216" s="404" t="n"/>
      <c r="Q216" s="404" t="n"/>
      <c r="R216" s="404" t="n"/>
      <c r="S216" s="404" t="n"/>
      <c r="T216" s="404" t="n"/>
      <c r="U216" s="404" t="n"/>
      <c r="V216" s="404" t="n"/>
      <c r="W216" s="404" t="n">
        <v>0</v>
      </c>
      <c r="X216" s="404" t="n">
        <v>1</v>
      </c>
      <c r="Y216" s="404" t="n">
        <v>0</v>
      </c>
      <c r="Z216" s="404" t="n"/>
      <c r="AA216" s="404" t="n"/>
      <c r="AB216" s="404" t="n"/>
    </row>
    <row r="217">
      <c r="A217" s="404" t="n">
        <v>50</v>
      </c>
      <c r="B217" s="404" t="n">
        <v>0</v>
      </c>
      <c r="C217" s="404" t="n">
        <v>0</v>
      </c>
      <c r="D217" s="404" t="n">
        <v>1</v>
      </c>
      <c r="E217" s="404" t="n">
        <v>223</v>
      </c>
      <c r="F217" s="404">
        <f>ROUND(Source!AQ207,O217)</f>
        <v/>
      </c>
      <c r="G217" s="404" t="inlineStr">
        <is>
          <t>ОборудЗак</t>
        </is>
      </c>
      <c r="H217" s="404" t="inlineStr">
        <is>
          <t>Стоимость оборудования заказчика</t>
        </is>
      </c>
      <c r="I217" s="404" t="n"/>
      <c r="J217" s="404" t="n"/>
      <c r="K217" s="404" t="n">
        <v>223</v>
      </c>
      <c r="L217" s="404" t="n">
        <v>9</v>
      </c>
      <c r="M217" s="404" t="n">
        <v>3</v>
      </c>
      <c r="N217" s="404" t="inlineStr"/>
      <c r="O217" s="404" t="n">
        <v>0</v>
      </c>
      <c r="P217" s="404" t="n"/>
      <c r="Q217" s="404" t="n"/>
      <c r="R217" s="404" t="n"/>
      <c r="S217" s="404" t="n"/>
      <c r="T217" s="404" t="n"/>
      <c r="U217" s="404" t="n"/>
      <c r="V217" s="404" t="n"/>
      <c r="W217" s="404" t="n">
        <v>0</v>
      </c>
      <c r="X217" s="404" t="n">
        <v>1</v>
      </c>
      <c r="Y217" s="404" t="n">
        <v>0</v>
      </c>
      <c r="Z217" s="404" t="n"/>
      <c r="AA217" s="404" t="n"/>
      <c r="AB217" s="404" t="n"/>
    </row>
    <row r="218">
      <c r="A218" s="404" t="n">
        <v>50</v>
      </c>
      <c r="B218" s="404" t="n">
        <v>0</v>
      </c>
      <c r="C218" s="404" t="n">
        <v>0</v>
      </c>
      <c r="D218" s="404" t="n">
        <v>1</v>
      </c>
      <c r="E218" s="404" t="n">
        <v>229</v>
      </c>
      <c r="F218" s="404">
        <f>ROUND(Source!AZ207,O218)</f>
        <v/>
      </c>
      <c r="G218" s="404" t="inlineStr">
        <is>
          <t>ОборудПод</t>
        </is>
      </c>
      <c r="H218" s="404" t="inlineStr">
        <is>
          <t>Стоимость оборудования подрядчика</t>
        </is>
      </c>
      <c r="I218" s="404" t="n"/>
      <c r="J218" s="404" t="n"/>
      <c r="K218" s="404" t="n">
        <v>229</v>
      </c>
      <c r="L218" s="404" t="n">
        <v>10</v>
      </c>
      <c r="M218" s="404" t="n">
        <v>3</v>
      </c>
      <c r="N218" s="404" t="inlineStr"/>
      <c r="O218" s="404" t="n">
        <v>0</v>
      </c>
      <c r="P218" s="404" t="n"/>
      <c r="Q218" s="404" t="n"/>
      <c r="R218" s="404" t="n"/>
      <c r="S218" s="404" t="n"/>
      <c r="T218" s="404" t="n"/>
      <c r="U218" s="404" t="n"/>
      <c r="V218" s="404" t="n"/>
      <c r="W218" s="404" t="n">
        <v>0</v>
      </c>
      <c r="X218" s="404" t="n">
        <v>1</v>
      </c>
      <c r="Y218" s="404" t="n">
        <v>0</v>
      </c>
      <c r="Z218" s="404" t="n"/>
      <c r="AA218" s="404" t="n"/>
      <c r="AB218" s="404" t="n"/>
    </row>
    <row r="219">
      <c r="A219" s="404" t="n">
        <v>50</v>
      </c>
      <c r="B219" s="404" t="n">
        <v>0</v>
      </c>
      <c r="C219" s="404" t="n">
        <v>0</v>
      </c>
      <c r="D219" s="404" t="n">
        <v>1</v>
      </c>
      <c r="E219" s="404" t="n">
        <v>203</v>
      </c>
      <c r="F219" s="404">
        <f>ROUND(Source!Q207,O219)</f>
        <v/>
      </c>
      <c r="G219" s="404" t="inlineStr">
        <is>
          <t>ЭММ</t>
        </is>
      </c>
      <c r="H219" s="404" t="inlineStr">
        <is>
          <t>Эксплуатация машин</t>
        </is>
      </c>
      <c r="I219" s="404" t="n"/>
      <c r="J219" s="404" t="n"/>
      <c r="K219" s="404" t="n">
        <v>203</v>
      </c>
      <c r="L219" s="404" t="n">
        <v>11</v>
      </c>
      <c r="M219" s="404" t="n">
        <v>3</v>
      </c>
      <c r="N219" s="404" t="inlineStr"/>
      <c r="O219" s="404" t="n">
        <v>0</v>
      </c>
      <c r="P219" s="404" t="n"/>
      <c r="Q219" s="404" t="n"/>
      <c r="R219" s="404" t="n"/>
      <c r="S219" s="404" t="n"/>
      <c r="T219" s="404" t="n"/>
      <c r="U219" s="404" t="n"/>
      <c r="V219" s="404" t="n"/>
      <c r="W219" s="404" t="n">
        <v>0</v>
      </c>
      <c r="X219" s="404" t="n">
        <v>1</v>
      </c>
      <c r="Y219" s="404" t="n">
        <v>0</v>
      </c>
      <c r="Z219" s="404" t="n"/>
      <c r="AA219" s="404" t="n"/>
      <c r="AB219" s="404" t="n"/>
    </row>
    <row r="220">
      <c r="A220" s="404" t="n">
        <v>50</v>
      </c>
      <c r="B220" s="404" t="n">
        <v>0</v>
      </c>
      <c r="C220" s="404" t="n">
        <v>0</v>
      </c>
      <c r="D220" s="404" t="n">
        <v>1</v>
      </c>
      <c r="E220" s="404" t="n">
        <v>231</v>
      </c>
      <c r="F220" s="404">
        <f>ROUND(Source!BB207,O220)</f>
        <v/>
      </c>
      <c r="G220" s="404" t="inlineStr">
        <is>
          <t>ЭММсНРиСП</t>
        </is>
      </c>
      <c r="H220" s="404" t="inlineStr">
        <is>
          <t>Эксплуатация машин по ТСН-2001.16</t>
        </is>
      </c>
      <c r="I220" s="404" t="n"/>
      <c r="J220" s="404" t="n"/>
      <c r="K220" s="404" t="n">
        <v>231</v>
      </c>
      <c r="L220" s="404" t="n">
        <v>12</v>
      </c>
      <c r="M220" s="404" t="n">
        <v>3</v>
      </c>
      <c r="N220" s="404" t="inlineStr"/>
      <c r="O220" s="404" t="n">
        <v>0</v>
      </c>
      <c r="P220" s="404" t="n"/>
      <c r="Q220" s="404" t="n"/>
      <c r="R220" s="404" t="n"/>
      <c r="S220" s="404" t="n"/>
      <c r="T220" s="404" t="n"/>
      <c r="U220" s="404" t="n"/>
      <c r="V220" s="404" t="n"/>
      <c r="W220" s="404" t="n">
        <v>0</v>
      </c>
      <c r="X220" s="404" t="n">
        <v>1</v>
      </c>
      <c r="Y220" s="404" t="n">
        <v>0</v>
      </c>
      <c r="Z220" s="404" t="n"/>
      <c r="AA220" s="404" t="n"/>
      <c r="AB220" s="404" t="n"/>
    </row>
    <row r="221">
      <c r="A221" s="404" t="n">
        <v>50</v>
      </c>
      <c r="B221" s="404" t="n">
        <v>0</v>
      </c>
      <c r="C221" s="404" t="n">
        <v>0</v>
      </c>
      <c r="D221" s="404" t="n">
        <v>1</v>
      </c>
      <c r="E221" s="404" t="n">
        <v>204</v>
      </c>
      <c r="F221" s="404">
        <f>ROUND(Source!R207,O221)</f>
        <v/>
      </c>
      <c r="G221" s="404" t="inlineStr">
        <is>
          <t>ЗПМ</t>
        </is>
      </c>
      <c r="H221" s="404" t="inlineStr">
        <is>
          <t>ЗП машинистов</t>
        </is>
      </c>
      <c r="I221" s="404" t="n"/>
      <c r="J221" s="404" t="n"/>
      <c r="K221" s="404" t="n">
        <v>204</v>
      </c>
      <c r="L221" s="404" t="n">
        <v>13</v>
      </c>
      <c r="M221" s="404" t="n">
        <v>3</v>
      </c>
      <c r="N221" s="404" t="inlineStr"/>
      <c r="O221" s="404" t="n">
        <v>0</v>
      </c>
      <c r="P221" s="404" t="n"/>
      <c r="Q221" s="404" t="n"/>
      <c r="R221" s="404" t="n"/>
      <c r="S221" s="404" t="n"/>
      <c r="T221" s="404" t="n"/>
      <c r="U221" s="404" t="n"/>
      <c r="V221" s="404" t="n"/>
      <c r="W221" s="404" t="n">
        <v>0</v>
      </c>
      <c r="X221" s="404" t="n">
        <v>1</v>
      </c>
      <c r="Y221" s="404" t="n">
        <v>0</v>
      </c>
      <c r="Z221" s="404" t="n"/>
      <c r="AA221" s="404" t="n"/>
      <c r="AB221" s="404" t="n"/>
    </row>
    <row r="222">
      <c r="A222" s="404" t="n">
        <v>50</v>
      </c>
      <c r="B222" s="404" t="n">
        <v>0</v>
      </c>
      <c r="C222" s="404" t="n">
        <v>0</v>
      </c>
      <c r="D222" s="404" t="n">
        <v>1</v>
      </c>
      <c r="E222" s="404" t="n">
        <v>205</v>
      </c>
      <c r="F222" s="404">
        <f>ROUND(Source!S207,O222)</f>
        <v/>
      </c>
      <c r="G222" s="404" t="inlineStr">
        <is>
          <t>ОЗП</t>
        </is>
      </c>
      <c r="H222" s="404" t="inlineStr">
        <is>
          <t>Основная ЗП рабочих</t>
        </is>
      </c>
      <c r="I222" s="404" t="n"/>
      <c r="J222" s="404" t="n"/>
      <c r="K222" s="404" t="n">
        <v>205</v>
      </c>
      <c r="L222" s="404" t="n">
        <v>14</v>
      </c>
      <c r="M222" s="404" t="n">
        <v>3</v>
      </c>
      <c r="N222" s="404" t="inlineStr"/>
      <c r="O222" s="404" t="n">
        <v>0</v>
      </c>
      <c r="P222" s="404" t="n"/>
      <c r="Q222" s="404" t="n"/>
      <c r="R222" s="404" t="n"/>
      <c r="S222" s="404" t="n"/>
      <c r="T222" s="404" t="n"/>
      <c r="U222" s="404" t="n"/>
      <c r="V222" s="404" t="n"/>
      <c r="W222" s="404" t="n">
        <v>0</v>
      </c>
      <c r="X222" s="404" t="n">
        <v>1</v>
      </c>
      <c r="Y222" s="404" t="n">
        <v>0</v>
      </c>
      <c r="Z222" s="404" t="n"/>
      <c r="AA222" s="404" t="n"/>
      <c r="AB222" s="404" t="n"/>
    </row>
    <row r="223">
      <c r="A223" s="404" t="n">
        <v>50</v>
      </c>
      <c r="B223" s="404" t="n">
        <v>0</v>
      </c>
      <c r="C223" s="404" t="n">
        <v>0</v>
      </c>
      <c r="D223" s="404" t="n">
        <v>1</v>
      </c>
      <c r="E223" s="404" t="n">
        <v>232</v>
      </c>
      <c r="F223" s="404">
        <f>ROUND(Source!BC207,O223)</f>
        <v/>
      </c>
      <c r="G223" s="404" t="inlineStr">
        <is>
          <t>ОЗПсНРиСП</t>
        </is>
      </c>
      <c r="H223" s="404" t="inlineStr">
        <is>
          <t>Основная ЗП рабочих по ТСН-2001.16</t>
        </is>
      </c>
      <c r="I223" s="404" t="n"/>
      <c r="J223" s="404" t="n"/>
      <c r="K223" s="404" t="n">
        <v>232</v>
      </c>
      <c r="L223" s="404" t="n">
        <v>15</v>
      </c>
      <c r="M223" s="404" t="n">
        <v>3</v>
      </c>
      <c r="N223" s="404" t="inlineStr"/>
      <c r="O223" s="404" t="n">
        <v>0</v>
      </c>
      <c r="P223" s="404" t="n"/>
      <c r="Q223" s="404" t="n"/>
      <c r="R223" s="404" t="n"/>
      <c r="S223" s="404" t="n"/>
      <c r="T223" s="404" t="n"/>
      <c r="U223" s="404" t="n"/>
      <c r="V223" s="404" t="n"/>
      <c r="W223" s="404" t="n">
        <v>0</v>
      </c>
      <c r="X223" s="404" t="n">
        <v>1</v>
      </c>
      <c r="Y223" s="404" t="n">
        <v>0</v>
      </c>
      <c r="Z223" s="404" t="n"/>
      <c r="AA223" s="404" t="n"/>
      <c r="AB223" s="404" t="n"/>
    </row>
    <row r="224">
      <c r="A224" s="404" t="n">
        <v>50</v>
      </c>
      <c r="B224" s="404" t="n">
        <v>0</v>
      </c>
      <c r="C224" s="404" t="n">
        <v>0</v>
      </c>
      <c r="D224" s="404" t="n">
        <v>1</v>
      </c>
      <c r="E224" s="404" t="n">
        <v>214</v>
      </c>
      <c r="F224" s="404">
        <f>ROUND(Source!AS207,O224)</f>
        <v/>
      </c>
      <c r="G224" s="404" t="inlineStr">
        <is>
          <t>Строит</t>
        </is>
      </c>
      <c r="H224" s="404" t="inlineStr">
        <is>
          <t>Строительные работы с НР и СП</t>
        </is>
      </c>
      <c r="I224" s="404" t="n"/>
      <c r="J224" s="404" t="n"/>
      <c r="K224" s="404" t="n">
        <v>214</v>
      </c>
      <c r="L224" s="404" t="n">
        <v>16</v>
      </c>
      <c r="M224" s="404" t="n">
        <v>3</v>
      </c>
      <c r="N224" s="404" t="inlineStr"/>
      <c r="O224" s="404" t="n">
        <v>0</v>
      </c>
      <c r="P224" s="404" t="n"/>
      <c r="Q224" s="404" t="n"/>
      <c r="R224" s="404" t="n"/>
      <c r="S224" s="404" t="n"/>
      <c r="T224" s="404" t="n"/>
      <c r="U224" s="404" t="n"/>
      <c r="V224" s="404" t="n"/>
      <c r="W224" s="404" t="n">
        <v>0</v>
      </c>
      <c r="X224" s="404" t="n">
        <v>1</v>
      </c>
      <c r="Y224" s="404" t="n">
        <v>0</v>
      </c>
      <c r="Z224" s="404" t="n"/>
      <c r="AA224" s="404" t="n"/>
      <c r="AB224" s="404" t="n"/>
    </row>
    <row r="225">
      <c r="A225" s="404" t="n">
        <v>50</v>
      </c>
      <c r="B225" s="404" t="n">
        <v>0</v>
      </c>
      <c r="C225" s="404" t="n">
        <v>0</v>
      </c>
      <c r="D225" s="404" t="n">
        <v>1</v>
      </c>
      <c r="E225" s="404" t="n">
        <v>215</v>
      </c>
      <c r="F225" s="404">
        <f>ROUND(Source!AT207,O225)</f>
        <v/>
      </c>
      <c r="G225" s="404" t="inlineStr">
        <is>
          <t>Монтаж</t>
        </is>
      </c>
      <c r="H225" s="404" t="inlineStr">
        <is>
          <t>Монтажные работы с НР и СП</t>
        </is>
      </c>
      <c r="I225" s="404" t="n"/>
      <c r="J225" s="404" t="n"/>
      <c r="K225" s="404" t="n">
        <v>215</v>
      </c>
      <c r="L225" s="404" t="n">
        <v>17</v>
      </c>
      <c r="M225" s="404" t="n">
        <v>3</v>
      </c>
      <c r="N225" s="404" t="inlineStr"/>
      <c r="O225" s="404" t="n">
        <v>0</v>
      </c>
      <c r="P225" s="404" t="n"/>
      <c r="Q225" s="404" t="n"/>
      <c r="R225" s="404" t="n"/>
      <c r="S225" s="404" t="n"/>
      <c r="T225" s="404" t="n"/>
      <c r="U225" s="404" t="n"/>
      <c r="V225" s="404" t="n"/>
      <c r="W225" s="404" t="n">
        <v>0</v>
      </c>
      <c r="X225" s="404" t="n">
        <v>1</v>
      </c>
      <c r="Y225" s="404" t="n">
        <v>0</v>
      </c>
      <c r="Z225" s="404" t="n"/>
      <c r="AA225" s="404" t="n"/>
      <c r="AB225" s="404" t="n"/>
    </row>
    <row r="226">
      <c r="A226" s="404" t="n">
        <v>50</v>
      </c>
      <c r="B226" s="404" t="n">
        <v>0</v>
      </c>
      <c r="C226" s="404" t="n">
        <v>0</v>
      </c>
      <c r="D226" s="404" t="n">
        <v>1</v>
      </c>
      <c r="E226" s="404" t="n">
        <v>217</v>
      </c>
      <c r="F226" s="404">
        <f>ROUND(Source!AU207,O226)</f>
        <v/>
      </c>
      <c r="G226" s="404" t="inlineStr">
        <is>
          <t>Прочие</t>
        </is>
      </c>
      <c r="H226" s="404" t="inlineStr">
        <is>
          <t>Прочие работы с НР и СП</t>
        </is>
      </c>
      <c r="I226" s="404" t="n"/>
      <c r="J226" s="404" t="n"/>
      <c r="K226" s="404" t="n">
        <v>217</v>
      </c>
      <c r="L226" s="404" t="n">
        <v>18</v>
      </c>
      <c r="M226" s="404" t="n">
        <v>3</v>
      </c>
      <c r="N226" s="404" t="inlineStr"/>
      <c r="O226" s="404" t="n">
        <v>0</v>
      </c>
      <c r="P226" s="404" t="n"/>
      <c r="Q226" s="404" t="n"/>
      <c r="R226" s="404" t="n"/>
      <c r="S226" s="404" t="n"/>
      <c r="T226" s="404" t="n"/>
      <c r="U226" s="404" t="n"/>
      <c r="V226" s="404" t="n"/>
      <c r="W226" s="404" t="n">
        <v>0</v>
      </c>
      <c r="X226" s="404" t="n">
        <v>1</v>
      </c>
      <c r="Y226" s="404" t="n">
        <v>0</v>
      </c>
      <c r="Z226" s="404" t="n"/>
      <c r="AA226" s="404" t="n"/>
      <c r="AB226" s="404" t="n"/>
    </row>
    <row r="227">
      <c r="A227" s="404" t="n">
        <v>50</v>
      </c>
      <c r="B227" s="404" t="n">
        <v>0</v>
      </c>
      <c r="C227" s="404" t="n">
        <v>0</v>
      </c>
      <c r="D227" s="404" t="n">
        <v>1</v>
      </c>
      <c r="E227" s="404" t="n">
        <v>230</v>
      </c>
      <c r="F227" s="404">
        <f>ROUND(Source!BA207,O227)</f>
        <v/>
      </c>
      <c r="G227" s="404" t="inlineStr">
        <is>
          <t>ПрочиеЗатр</t>
        </is>
      </c>
      <c r="H227" s="404" t="inlineStr">
        <is>
          <t>Прочие затраты по ТСН-2001.16</t>
        </is>
      </c>
      <c r="I227" s="404" t="n"/>
      <c r="J227" s="404" t="n"/>
      <c r="K227" s="404" t="n">
        <v>230</v>
      </c>
      <c r="L227" s="404" t="n">
        <v>19</v>
      </c>
      <c r="M227" s="404" t="n">
        <v>3</v>
      </c>
      <c r="N227" s="404" t="inlineStr"/>
      <c r="O227" s="404" t="n">
        <v>0</v>
      </c>
      <c r="P227" s="404" t="n"/>
      <c r="Q227" s="404" t="n"/>
      <c r="R227" s="404" t="n"/>
      <c r="S227" s="404" t="n"/>
      <c r="T227" s="404" t="n"/>
      <c r="U227" s="404" t="n"/>
      <c r="V227" s="404" t="n"/>
      <c r="W227" s="404" t="n">
        <v>0</v>
      </c>
      <c r="X227" s="404" t="n">
        <v>1</v>
      </c>
      <c r="Y227" s="404" t="n">
        <v>0</v>
      </c>
      <c r="Z227" s="404" t="n"/>
      <c r="AA227" s="404" t="n"/>
      <c r="AB227" s="404" t="n"/>
    </row>
    <row r="228">
      <c r="A228" s="404" t="n">
        <v>50</v>
      </c>
      <c r="B228" s="404" t="n">
        <v>0</v>
      </c>
      <c r="C228" s="404" t="n">
        <v>0</v>
      </c>
      <c r="D228" s="404" t="n">
        <v>1</v>
      </c>
      <c r="E228" s="404" t="n">
        <v>206</v>
      </c>
      <c r="F228" s="404">
        <f>ROUND(Source!T207,O228)</f>
        <v/>
      </c>
      <c r="G228" s="404" t="inlineStr">
        <is>
          <t>ВозврМат</t>
        </is>
      </c>
      <c r="H228" s="404" t="inlineStr">
        <is>
          <t>Возврат материалов</t>
        </is>
      </c>
      <c r="I228" s="404" t="n"/>
      <c r="J228" s="404" t="n"/>
      <c r="K228" s="404" t="n">
        <v>206</v>
      </c>
      <c r="L228" s="404" t="n">
        <v>20</v>
      </c>
      <c r="M228" s="404" t="n">
        <v>3</v>
      </c>
      <c r="N228" s="404" t="inlineStr"/>
      <c r="O228" s="404" t="n">
        <v>0</v>
      </c>
      <c r="P228" s="404" t="n"/>
      <c r="Q228" s="404" t="n"/>
      <c r="R228" s="404" t="n"/>
      <c r="S228" s="404" t="n"/>
      <c r="T228" s="404" t="n"/>
      <c r="U228" s="404" t="n"/>
      <c r="V228" s="404" t="n"/>
      <c r="W228" s="404" t="n">
        <v>0</v>
      </c>
      <c r="X228" s="404" t="n">
        <v>1</v>
      </c>
      <c r="Y228" s="404" t="n">
        <v>0</v>
      </c>
      <c r="Z228" s="404" t="n"/>
      <c r="AA228" s="404" t="n"/>
      <c r="AB228" s="404" t="n"/>
    </row>
    <row r="229">
      <c r="A229" s="404" t="n">
        <v>50</v>
      </c>
      <c r="B229" s="404" t="n">
        <v>0</v>
      </c>
      <c r="C229" s="404" t="n">
        <v>0</v>
      </c>
      <c r="D229" s="404" t="n">
        <v>1</v>
      </c>
      <c r="E229" s="404" t="n">
        <v>207</v>
      </c>
      <c r="F229" s="404">
        <f>ROUND(Source!U207,O229)</f>
        <v/>
      </c>
      <c r="G229" s="404" t="inlineStr">
        <is>
          <t>ТрудСтр</t>
        </is>
      </c>
      <c r="H229" s="404" t="inlineStr">
        <is>
          <t>Трудозатраты строителей</t>
        </is>
      </c>
      <c r="I229" s="404" t="n"/>
      <c r="J229" s="404" t="n"/>
      <c r="K229" s="404" t="n">
        <v>207</v>
      </c>
      <c r="L229" s="404" t="n">
        <v>21</v>
      </c>
      <c r="M229" s="404" t="n">
        <v>3</v>
      </c>
      <c r="N229" s="404" t="inlineStr"/>
      <c r="O229" s="404" t="n">
        <v>7</v>
      </c>
      <c r="P229" s="404" t="n"/>
      <c r="Q229" s="404" t="n"/>
      <c r="R229" s="404" t="n"/>
      <c r="S229" s="404" t="n"/>
      <c r="T229" s="404" t="n"/>
      <c r="U229" s="404" t="n"/>
      <c r="V229" s="404" t="n"/>
      <c r="W229" s="404" t="n">
        <v>0</v>
      </c>
      <c r="X229" s="404" t="n">
        <v>1</v>
      </c>
      <c r="Y229" s="404" t="n">
        <v>0</v>
      </c>
      <c r="Z229" s="404" t="n"/>
      <c r="AA229" s="404" t="n"/>
      <c r="AB229" s="404" t="n"/>
    </row>
    <row r="230">
      <c r="A230" s="404" t="n">
        <v>50</v>
      </c>
      <c r="B230" s="404" t="n">
        <v>0</v>
      </c>
      <c r="C230" s="404" t="n">
        <v>0</v>
      </c>
      <c r="D230" s="404" t="n">
        <v>1</v>
      </c>
      <c r="E230" s="404" t="n">
        <v>208</v>
      </c>
      <c r="F230" s="404">
        <f>ROUND(Source!V207,O230)</f>
        <v/>
      </c>
      <c r="G230" s="404" t="inlineStr">
        <is>
          <t>ТрудМаш</t>
        </is>
      </c>
      <c r="H230" s="404" t="inlineStr">
        <is>
          <t>Трудозатраты машинистов</t>
        </is>
      </c>
      <c r="I230" s="404" t="n"/>
      <c r="J230" s="404" t="n"/>
      <c r="K230" s="404" t="n">
        <v>208</v>
      </c>
      <c r="L230" s="404" t="n">
        <v>22</v>
      </c>
      <c r="M230" s="404" t="n">
        <v>3</v>
      </c>
      <c r="N230" s="404" t="inlineStr"/>
      <c r="O230" s="404" t="n">
        <v>7</v>
      </c>
      <c r="P230" s="404" t="n"/>
      <c r="Q230" s="404" t="n"/>
      <c r="R230" s="404" t="n"/>
      <c r="S230" s="404" t="n"/>
      <c r="T230" s="404" t="n"/>
      <c r="U230" s="404" t="n"/>
      <c r="V230" s="404" t="n"/>
      <c r="W230" s="404" t="n">
        <v>0</v>
      </c>
      <c r="X230" s="404" t="n">
        <v>1</v>
      </c>
      <c r="Y230" s="404" t="n">
        <v>0</v>
      </c>
      <c r="Z230" s="404" t="n"/>
      <c r="AA230" s="404" t="n"/>
      <c r="AB230" s="404" t="n"/>
    </row>
    <row r="231">
      <c r="A231" s="404" t="n">
        <v>50</v>
      </c>
      <c r="B231" s="404" t="n">
        <v>0</v>
      </c>
      <c r="C231" s="404" t="n">
        <v>0</v>
      </c>
      <c r="D231" s="404" t="n">
        <v>1</v>
      </c>
      <c r="E231" s="404" t="n">
        <v>209</v>
      </c>
      <c r="F231" s="404">
        <f>ROUND(Source!W207,O231)</f>
        <v/>
      </c>
      <c r="G231" s="404" t="inlineStr">
        <is>
          <t>ТранспМат</t>
        </is>
      </c>
      <c r="H231" s="404" t="inlineStr">
        <is>
          <t>Транспорт материалов</t>
        </is>
      </c>
      <c r="I231" s="404" t="n"/>
      <c r="J231" s="404" t="n"/>
      <c r="K231" s="404" t="n">
        <v>209</v>
      </c>
      <c r="L231" s="404" t="n">
        <v>23</v>
      </c>
      <c r="M231" s="404" t="n">
        <v>3</v>
      </c>
      <c r="N231" s="404" t="inlineStr"/>
      <c r="O231" s="404" t="n">
        <v>0</v>
      </c>
      <c r="P231" s="404" t="n"/>
      <c r="Q231" s="404" t="n"/>
      <c r="R231" s="404" t="n"/>
      <c r="S231" s="404" t="n"/>
      <c r="T231" s="404" t="n"/>
      <c r="U231" s="404" t="n"/>
      <c r="V231" s="404" t="n"/>
      <c r="W231" s="404" t="n">
        <v>0</v>
      </c>
      <c r="X231" s="404" t="n">
        <v>1</v>
      </c>
      <c r="Y231" s="404" t="n">
        <v>0</v>
      </c>
      <c r="Z231" s="404" t="n"/>
      <c r="AA231" s="404" t="n"/>
      <c r="AB231" s="404" t="n"/>
    </row>
    <row r="232">
      <c r="A232" s="404" t="n">
        <v>50</v>
      </c>
      <c r="B232" s="404" t="n">
        <v>0</v>
      </c>
      <c r="C232" s="404" t="n">
        <v>0</v>
      </c>
      <c r="D232" s="404" t="n">
        <v>1</v>
      </c>
      <c r="E232" s="404" t="n">
        <v>233</v>
      </c>
      <c r="F232" s="404">
        <f>ROUND(Source!BD207,O232)</f>
        <v/>
      </c>
      <c r="G232" s="404" t="inlineStr">
        <is>
          <t>Перевозка</t>
        </is>
      </c>
      <c r="H232" s="404" t="inlineStr">
        <is>
          <t>Перевозка грузов</t>
        </is>
      </c>
      <c r="I232" s="404" t="n"/>
      <c r="J232" s="404" t="n"/>
      <c r="K232" s="404" t="n">
        <v>233</v>
      </c>
      <c r="L232" s="404" t="n">
        <v>24</v>
      </c>
      <c r="M232" s="404" t="n">
        <v>3</v>
      </c>
      <c r="N232" s="404" t="inlineStr"/>
      <c r="O232" s="404" t="n">
        <v>0</v>
      </c>
      <c r="P232" s="404" t="n"/>
      <c r="Q232" s="404" t="n"/>
      <c r="R232" s="404" t="n"/>
      <c r="S232" s="404" t="n"/>
      <c r="T232" s="404" t="n"/>
      <c r="U232" s="404" t="n"/>
      <c r="V232" s="404" t="n"/>
      <c r="W232" s="404" t="n">
        <v>0</v>
      </c>
      <c r="X232" s="404" t="n">
        <v>1</v>
      </c>
      <c r="Y232" s="404" t="n">
        <v>0</v>
      </c>
      <c r="Z232" s="404" t="n"/>
      <c r="AA232" s="404" t="n"/>
      <c r="AB232" s="404" t="n"/>
    </row>
    <row r="233">
      <c r="A233" s="404" t="n">
        <v>50</v>
      </c>
      <c r="B233" s="404" t="n">
        <v>0</v>
      </c>
      <c r="C233" s="404" t="n">
        <v>0</v>
      </c>
      <c r="D233" s="404" t="n">
        <v>1</v>
      </c>
      <c r="E233" s="404" t="n">
        <v>210</v>
      </c>
      <c r="F233" s="404">
        <f>ROUND(Source!X207,O233)</f>
        <v/>
      </c>
      <c r="G233" s="404" t="inlineStr">
        <is>
          <t>НР</t>
        </is>
      </c>
      <c r="H233" s="404" t="inlineStr">
        <is>
          <t>Накладные расходы</t>
        </is>
      </c>
      <c r="I233" s="404" t="n"/>
      <c r="J233" s="404" t="n"/>
      <c r="K233" s="404" t="n">
        <v>210</v>
      </c>
      <c r="L233" s="404" t="n">
        <v>25</v>
      </c>
      <c r="M233" s="404" t="n">
        <v>3</v>
      </c>
      <c r="N233" s="404" t="inlineStr"/>
      <c r="O233" s="404" t="n">
        <v>0</v>
      </c>
      <c r="P233" s="404" t="n"/>
      <c r="Q233" s="404" t="n"/>
      <c r="R233" s="404" t="n"/>
      <c r="S233" s="404" t="n"/>
      <c r="T233" s="404" t="n"/>
      <c r="U233" s="404" t="n"/>
      <c r="V233" s="404" t="n"/>
      <c r="W233" s="404" t="n">
        <v>0</v>
      </c>
      <c r="X233" s="404" t="n">
        <v>1</v>
      </c>
      <c r="Y233" s="404" t="n">
        <v>0</v>
      </c>
      <c r="Z233" s="404" t="n"/>
      <c r="AA233" s="404" t="n"/>
      <c r="AB233" s="404" t="n"/>
    </row>
    <row r="234">
      <c r="A234" s="404" t="n">
        <v>50</v>
      </c>
      <c r="B234" s="404" t="n">
        <v>0</v>
      </c>
      <c r="C234" s="404" t="n">
        <v>0</v>
      </c>
      <c r="D234" s="404" t="n">
        <v>1</v>
      </c>
      <c r="E234" s="404" t="n">
        <v>211</v>
      </c>
      <c r="F234" s="404">
        <f>ROUND(Source!Y207,O234)</f>
        <v/>
      </c>
      <c r="G234" s="404" t="inlineStr">
        <is>
          <t>СмПриб</t>
        </is>
      </c>
      <c r="H234" s="404" t="inlineStr">
        <is>
          <t>Сметная прибыль</t>
        </is>
      </c>
      <c r="I234" s="404" t="n"/>
      <c r="J234" s="404" t="n"/>
      <c r="K234" s="404" t="n">
        <v>211</v>
      </c>
      <c r="L234" s="404" t="n">
        <v>26</v>
      </c>
      <c r="M234" s="404" t="n">
        <v>3</v>
      </c>
      <c r="N234" s="404" t="inlineStr"/>
      <c r="O234" s="404" t="n">
        <v>0</v>
      </c>
      <c r="P234" s="404" t="n"/>
      <c r="Q234" s="404" t="n"/>
      <c r="R234" s="404" t="n"/>
      <c r="S234" s="404" t="n"/>
      <c r="T234" s="404" t="n"/>
      <c r="U234" s="404" t="n"/>
      <c r="V234" s="404" t="n"/>
      <c r="W234" s="404" t="n">
        <v>0</v>
      </c>
      <c r="X234" s="404" t="n">
        <v>1</v>
      </c>
      <c r="Y234" s="404" t="n">
        <v>0</v>
      </c>
      <c r="Z234" s="404" t="n"/>
      <c r="AA234" s="404" t="n"/>
      <c r="AB234" s="404" t="n"/>
    </row>
    <row r="235">
      <c r="A235" s="404" t="n">
        <v>50</v>
      </c>
      <c r="B235" s="404" t="n">
        <v>0</v>
      </c>
      <c r="C235" s="404" t="n">
        <v>0</v>
      </c>
      <c r="D235" s="404" t="n">
        <v>1</v>
      </c>
      <c r="E235" s="404" t="n">
        <v>224</v>
      </c>
      <c r="F235" s="404">
        <f>ROUND(Source!AR207,O235)</f>
        <v/>
      </c>
      <c r="G235" s="404" t="inlineStr">
        <is>
          <t>Всего</t>
        </is>
      </c>
      <c r="H235" s="404" t="inlineStr">
        <is>
          <t>Всего с НР и СП</t>
        </is>
      </c>
      <c r="I235" s="404" t="n"/>
      <c r="J235" s="404" t="n"/>
      <c r="K235" s="404" t="n">
        <v>224</v>
      </c>
      <c r="L235" s="404" t="n">
        <v>27</v>
      </c>
      <c r="M235" s="404" t="n">
        <v>3</v>
      </c>
      <c r="N235" s="404" t="inlineStr"/>
      <c r="O235" s="404" t="n">
        <v>0</v>
      </c>
      <c r="P235" s="404" t="n"/>
      <c r="Q235" s="404" t="n"/>
      <c r="R235" s="404" t="n"/>
      <c r="S235" s="404" t="n"/>
      <c r="T235" s="404" t="n"/>
      <c r="U235" s="404" t="n"/>
      <c r="V235" s="404" t="n"/>
      <c r="W235" s="404" t="n">
        <v>0</v>
      </c>
      <c r="X235" s="404" t="n">
        <v>1</v>
      </c>
      <c r="Y235" s="404" t="n">
        <v>0</v>
      </c>
      <c r="Z235" s="404" t="n"/>
      <c r="AA235" s="404" t="n"/>
      <c r="AB235" s="404" t="n"/>
    </row>
    <row r="236">
      <c r="A236" s="404" t="n">
        <v>50</v>
      </c>
      <c r="B236" s="404" t="n">
        <v>0</v>
      </c>
      <c r="C236" s="404" t="n">
        <v>0</v>
      </c>
      <c r="D236" s="404" t="n">
        <v>2</v>
      </c>
      <c r="E236" s="404" t="n">
        <v>0</v>
      </c>
      <c r="F236" s="404">
        <f>ROUND(F235,O236)</f>
        <v/>
      </c>
      <c r="G236" s="404" t="inlineStr">
        <is>
          <t>и1</t>
        </is>
      </c>
      <c r="H236" s="404" t="inlineStr">
        <is>
          <t>Итого</t>
        </is>
      </c>
      <c r="I236" s="404" t="n"/>
      <c r="J236" s="404" t="n"/>
      <c r="K236" s="404" t="n">
        <v>212</v>
      </c>
      <c r="L236" s="404" t="n">
        <v>28</v>
      </c>
      <c r="M236" s="404" t="n">
        <v>0</v>
      </c>
      <c r="N236" s="404" t="inlineStr"/>
      <c r="O236" s="404" t="n">
        <v>0</v>
      </c>
      <c r="P236" s="404" t="n"/>
      <c r="Q236" s="404" t="n"/>
      <c r="R236" s="404" t="n"/>
      <c r="S236" s="404" t="n"/>
      <c r="T236" s="404" t="n"/>
      <c r="U236" s="404" t="n"/>
      <c r="V236" s="404" t="n"/>
      <c r="W236" s="404" t="n">
        <v>0</v>
      </c>
      <c r="X236" s="404" t="n">
        <v>1</v>
      </c>
      <c r="Y236" s="404" t="n">
        <v>0</v>
      </c>
      <c r="Z236" s="404" t="n"/>
      <c r="AA236" s="404" t="n"/>
      <c r="AB236" s="404" t="n"/>
    </row>
    <row r="237">
      <c r="A237" s="404" t="n">
        <v>50</v>
      </c>
      <c r="B237" s="404" t="n">
        <v>0</v>
      </c>
      <c r="C237" s="404" t="n">
        <v>0</v>
      </c>
      <c r="D237" s="404" t="n">
        <v>2</v>
      </c>
      <c r="E237" s="404" t="n">
        <v>0</v>
      </c>
      <c r="F237" s="404">
        <f>ROUND(F236*0.22,O237)</f>
        <v/>
      </c>
      <c r="G237" s="404" t="inlineStr">
        <is>
          <t>и2</t>
        </is>
      </c>
      <c r="H237" s="404" t="inlineStr">
        <is>
          <t>НДС 22%</t>
        </is>
      </c>
      <c r="I237" s="404" t="n"/>
      <c r="J237" s="404" t="n"/>
      <c r="K237" s="404" t="n">
        <v>212</v>
      </c>
      <c r="L237" s="404" t="n">
        <v>29</v>
      </c>
      <c r="M237" s="404" t="n">
        <v>0</v>
      </c>
      <c r="N237" s="404" t="inlineStr"/>
      <c r="O237" s="404" t="n">
        <v>0</v>
      </c>
      <c r="P237" s="404" t="n"/>
      <c r="Q237" s="404" t="n"/>
      <c r="R237" s="404" t="n"/>
      <c r="S237" s="404" t="n"/>
      <c r="T237" s="404" t="n"/>
      <c r="U237" s="404" t="n"/>
      <c r="V237" s="404" t="n"/>
      <c r="W237" s="404" t="n">
        <v>0</v>
      </c>
      <c r="X237" s="404" t="n">
        <v>1</v>
      </c>
      <c r="Y237" s="404" t="n">
        <v>0</v>
      </c>
      <c r="Z237" s="404" t="n"/>
      <c r="AA237" s="404" t="n"/>
      <c r="AB237" s="404" t="n"/>
    </row>
    <row r="238">
      <c r="A238" s="404" t="n">
        <v>50</v>
      </c>
      <c r="B238" s="404" t="n">
        <v>0</v>
      </c>
      <c r="C238" s="404" t="n">
        <v>0</v>
      </c>
      <c r="D238" s="404" t="n">
        <v>2</v>
      </c>
      <c r="E238" s="404" t="n">
        <v>213</v>
      </c>
      <c r="F238" s="404">
        <f>ROUND(F236+F237,O238)</f>
        <v/>
      </c>
      <c r="G238" s="404" t="inlineStr">
        <is>
          <t>и3</t>
        </is>
      </c>
      <c r="H238" s="404" t="inlineStr">
        <is>
          <t>Всего</t>
        </is>
      </c>
      <c r="I238" s="404" t="n"/>
      <c r="J238" s="404" t="n"/>
      <c r="K238" s="404" t="n">
        <v>212</v>
      </c>
      <c r="L238" s="404" t="n">
        <v>30</v>
      </c>
      <c r="M238" s="404" t="n">
        <v>0</v>
      </c>
      <c r="N238" s="404" t="inlineStr"/>
      <c r="O238" s="404" t="n">
        <v>0</v>
      </c>
      <c r="P238" s="404" t="n"/>
      <c r="Q238" s="404" t="n"/>
      <c r="R238" s="404" t="n"/>
      <c r="S238" s="404" t="n"/>
      <c r="T238" s="404" t="n"/>
      <c r="U238" s="404" t="n"/>
      <c r="V238" s="404" t="n"/>
      <c r="W238" s="404" t="n">
        <v>0</v>
      </c>
      <c r="X238" s="404" t="n">
        <v>1</v>
      </c>
      <c r="Y238" s="404" t="n">
        <v>0</v>
      </c>
      <c r="Z238" s="404" t="n"/>
      <c r="AA238" s="404" t="n"/>
      <c r="AB238" s="404" t="n"/>
    </row>
    <row r="239"/>
    <row r="240">
      <c r="A240" s="401" t="n">
        <v>3</v>
      </c>
      <c r="B240" s="401" t="n">
        <v>0</v>
      </c>
      <c r="C240" s="401" t="n"/>
      <c r="D240" s="401">
        <f>ROW(A252)</f>
        <v/>
      </c>
      <c r="E240" s="401" t="n"/>
      <c r="F240" s="401" t="inlineStr">
        <is>
          <t>Новая локальная смета</t>
        </is>
      </c>
      <c r="G240" s="401" t="inlineStr">
        <is>
          <t>Текстильщиков 7</t>
        </is>
      </c>
      <c r="H240" s="401" t="inlineStr"/>
      <c r="I240" s="401" t="n">
        <v>0</v>
      </c>
      <c r="J240" s="401" t="inlineStr"/>
      <c r="K240" s="401" t="n">
        <v>0</v>
      </c>
      <c r="L240" s="401" t="inlineStr">
        <is>
          <t>Новая локальная смета</t>
        </is>
      </c>
      <c r="M240" s="401" t="inlineStr"/>
      <c r="N240" s="401" t="n"/>
      <c r="O240" s="401" t="n"/>
      <c r="P240" s="401" t="n"/>
      <c r="Q240" s="401" t="n"/>
      <c r="R240" s="401" t="n"/>
      <c r="S240" s="401" t="n">
        <v>0</v>
      </c>
      <c r="T240" s="401" t="n"/>
      <c r="U240" s="401" t="inlineStr"/>
      <c r="V240" s="401" t="n">
        <v>0</v>
      </c>
      <c r="W240" s="401" t="n"/>
      <c r="X240" s="401" t="n"/>
      <c r="Y240" s="401" t="n"/>
      <c r="Z240" s="401" t="n"/>
      <c r="AA240" s="401" t="n"/>
      <c r="AB240" s="401" t="inlineStr"/>
      <c r="AC240" s="401" t="inlineStr"/>
      <c r="AD240" s="401" t="inlineStr"/>
      <c r="AE240" s="401" t="inlineStr"/>
      <c r="AF240" s="401" t="inlineStr"/>
      <c r="AG240" s="401" t="inlineStr"/>
      <c r="AH240" s="401" t="n"/>
      <c r="AI240" s="401" t="n"/>
      <c r="AJ240" s="401" t="n"/>
      <c r="AK240" s="401" t="n"/>
      <c r="AL240" s="401" t="n"/>
      <c r="AM240" s="401" t="n"/>
      <c r="AN240" s="401" t="n"/>
      <c r="AO240" s="401" t="n"/>
      <c r="AP240" s="401" t="inlineStr"/>
      <c r="AQ240" s="401" t="inlineStr"/>
      <c r="AR240" s="401" t="inlineStr"/>
      <c r="AS240" s="401" t="n"/>
      <c r="AT240" s="401" t="n"/>
      <c r="AU240" s="401" t="n"/>
      <c r="AV240" s="401" t="n"/>
      <c r="AW240" s="401" t="n"/>
      <c r="AX240" s="401" t="n"/>
      <c r="AY240" s="401" t="n"/>
      <c r="AZ240" s="401" t="inlineStr"/>
      <c r="BA240" s="401" t="n"/>
      <c r="BB240" s="401" t="inlineStr"/>
      <c r="BC240" s="401" t="inlineStr"/>
      <c r="BD240" s="401" t="inlineStr"/>
      <c r="BE240" s="401" t="inlineStr"/>
      <c r="BF240" s="401" t="inlineStr"/>
      <c r="BG240" s="401" t="inlineStr"/>
      <c r="BH240" s="401" t="inlineStr"/>
      <c r="BI240" s="401" t="inlineStr"/>
      <c r="BJ240" s="401" t="inlineStr"/>
      <c r="BK240" s="401" t="inlineStr"/>
      <c r="BL240" s="401" t="inlineStr"/>
      <c r="BM240" s="401" t="inlineStr"/>
      <c r="BN240" s="401" t="inlineStr"/>
      <c r="BO240" s="401" t="inlineStr"/>
      <c r="BP240" s="401" t="inlineStr"/>
      <c r="BQ240" s="401" t="n"/>
      <c r="BR240" s="401" t="n"/>
      <c r="BS240" s="401" t="n"/>
      <c r="BT240" s="401" t="n"/>
      <c r="BU240" s="401" t="n"/>
      <c r="BV240" s="401" t="n"/>
      <c r="BW240" s="401" t="n"/>
      <c r="BX240" s="401" t="n">
        <v>0</v>
      </c>
      <c r="BY240" s="401" t="n"/>
      <c r="BZ240" s="401" t="n"/>
      <c r="CA240" s="401" t="n"/>
      <c r="CB240" s="401" t="n"/>
      <c r="CC240" s="401" t="n"/>
      <c r="CD240" s="401" t="n"/>
      <c r="CE240" s="401" t="n"/>
      <c r="CF240" s="401" t="n">
        <v>0</v>
      </c>
      <c r="CG240" s="401" t="n">
        <v>0</v>
      </c>
      <c r="CH240" s="401" t="n"/>
      <c r="CI240" s="401" t="inlineStr"/>
      <c r="CJ240" s="401" t="inlineStr"/>
      <c r="CK240" t="inlineStr"/>
      <c r="CL240" t="inlineStr"/>
      <c r="CM240" t="inlineStr"/>
      <c r="CN240" t="inlineStr"/>
      <c r="CO240" t="inlineStr"/>
      <c r="CP240" t="inlineStr"/>
      <c r="CQ240" t="inlineStr"/>
    </row>
    <row r="241"/>
    <row r="242">
      <c r="A242" s="402" t="n">
        <v>52</v>
      </c>
      <c r="B242" s="402">
        <f>B252</f>
        <v/>
      </c>
      <c r="C242" s="402">
        <f>C252</f>
        <v/>
      </c>
      <c r="D242" s="402">
        <f>D252</f>
        <v/>
      </c>
      <c r="E242" s="402">
        <f>E252</f>
        <v/>
      </c>
      <c r="F242" s="402">
        <f>F252</f>
        <v/>
      </c>
      <c r="G242" s="402">
        <f>G252</f>
        <v/>
      </c>
      <c r="H242" s="402" t="n"/>
      <c r="I242" s="402" t="n"/>
      <c r="J242" s="402" t="n"/>
      <c r="K242" s="402" t="n"/>
      <c r="L242" s="402" t="n"/>
      <c r="M242" s="402" t="n"/>
      <c r="N242" s="402" t="n"/>
      <c r="O242" s="402">
        <f>O252</f>
        <v/>
      </c>
      <c r="P242" s="402">
        <f>P252</f>
        <v/>
      </c>
      <c r="Q242" s="402">
        <f>Q252</f>
        <v/>
      </c>
      <c r="R242" s="402">
        <f>R252</f>
        <v/>
      </c>
      <c r="S242" s="402">
        <f>S252</f>
        <v/>
      </c>
      <c r="T242" s="402">
        <f>T252</f>
        <v/>
      </c>
      <c r="U242" s="402">
        <f>U252</f>
        <v/>
      </c>
      <c r="V242" s="402">
        <f>V252</f>
        <v/>
      </c>
      <c r="W242" s="402">
        <f>W252</f>
        <v/>
      </c>
      <c r="X242" s="402">
        <f>X252</f>
        <v/>
      </c>
      <c r="Y242" s="402">
        <f>Y252</f>
        <v/>
      </c>
      <c r="Z242" s="402">
        <f>Z252</f>
        <v/>
      </c>
      <c r="AA242" s="402">
        <f>AA252</f>
        <v/>
      </c>
      <c r="AB242" s="402">
        <f>AB252</f>
        <v/>
      </c>
      <c r="AC242" s="402">
        <f>AC252</f>
        <v/>
      </c>
      <c r="AD242" s="402">
        <f>AD252</f>
        <v/>
      </c>
      <c r="AE242" s="402">
        <f>AE252</f>
        <v/>
      </c>
      <c r="AF242" s="402">
        <f>AF252</f>
        <v/>
      </c>
      <c r="AG242" s="402">
        <f>AG252</f>
        <v/>
      </c>
      <c r="AH242" s="402">
        <f>AH252</f>
        <v/>
      </c>
      <c r="AI242" s="402">
        <f>AI252</f>
        <v/>
      </c>
      <c r="AJ242" s="402">
        <f>AJ252</f>
        <v/>
      </c>
      <c r="AK242" s="402">
        <f>AK252</f>
        <v/>
      </c>
      <c r="AL242" s="402">
        <f>AL252</f>
        <v/>
      </c>
      <c r="AM242" s="402">
        <f>AM252</f>
        <v/>
      </c>
      <c r="AN242" s="402">
        <f>AN252</f>
        <v/>
      </c>
      <c r="AO242" s="402">
        <f>AO252</f>
        <v/>
      </c>
      <c r="AP242" s="402">
        <f>AP252</f>
        <v/>
      </c>
      <c r="AQ242" s="402">
        <f>AQ252</f>
        <v/>
      </c>
      <c r="AR242" s="402">
        <f>AR252</f>
        <v/>
      </c>
      <c r="AS242" s="402">
        <f>AS252</f>
        <v/>
      </c>
      <c r="AT242" s="402">
        <f>AT252</f>
        <v/>
      </c>
      <c r="AU242" s="402">
        <f>AU252</f>
        <v/>
      </c>
      <c r="AV242" s="402">
        <f>AV252</f>
        <v/>
      </c>
      <c r="AW242" s="402">
        <f>AW252</f>
        <v/>
      </c>
      <c r="AX242" s="402">
        <f>AX252</f>
        <v/>
      </c>
      <c r="AY242" s="402">
        <f>AY252</f>
        <v/>
      </c>
      <c r="AZ242" s="402">
        <f>AZ252</f>
        <v/>
      </c>
      <c r="BA242" s="402">
        <f>BA252</f>
        <v/>
      </c>
      <c r="BB242" s="402">
        <f>BB252</f>
        <v/>
      </c>
      <c r="BC242" s="402">
        <f>BC252</f>
        <v/>
      </c>
      <c r="BD242" s="402">
        <f>BD252</f>
        <v/>
      </c>
      <c r="BE242" s="402">
        <f>BE252</f>
        <v/>
      </c>
      <c r="BF242" s="402">
        <f>BF252</f>
        <v/>
      </c>
      <c r="BG242" s="402">
        <f>BG252</f>
        <v/>
      </c>
      <c r="BH242" s="402">
        <f>BH252</f>
        <v/>
      </c>
      <c r="BI242" s="402">
        <f>BI252</f>
        <v/>
      </c>
      <c r="BJ242" s="402">
        <f>BJ252</f>
        <v/>
      </c>
      <c r="BK242" s="402">
        <f>BK252</f>
        <v/>
      </c>
      <c r="BL242" s="402">
        <f>BL252</f>
        <v/>
      </c>
      <c r="BM242" s="402">
        <f>BM252</f>
        <v/>
      </c>
      <c r="BN242" s="402">
        <f>BN252</f>
        <v/>
      </c>
      <c r="BO242" s="402">
        <f>BO252</f>
        <v/>
      </c>
      <c r="BP242" s="402">
        <f>BP252</f>
        <v/>
      </c>
      <c r="BQ242" s="402">
        <f>BQ252</f>
        <v/>
      </c>
      <c r="BR242" s="402">
        <f>BR252</f>
        <v/>
      </c>
      <c r="BS242" s="402">
        <f>BS252</f>
        <v/>
      </c>
      <c r="BT242" s="402">
        <f>BT252</f>
        <v/>
      </c>
      <c r="BU242" s="402">
        <f>BU252</f>
        <v/>
      </c>
      <c r="BV242" s="402">
        <f>BV252</f>
        <v/>
      </c>
      <c r="BW242" s="402">
        <f>BW252</f>
        <v/>
      </c>
      <c r="BX242" s="402">
        <f>BX252</f>
        <v/>
      </c>
      <c r="BY242" s="402">
        <f>BY252</f>
        <v/>
      </c>
      <c r="BZ242" s="402">
        <f>BZ252</f>
        <v/>
      </c>
      <c r="CA242" s="402">
        <f>CA252</f>
        <v/>
      </c>
      <c r="CB242" s="402">
        <f>CB252</f>
        <v/>
      </c>
      <c r="CC242" s="402">
        <f>CC252</f>
        <v/>
      </c>
      <c r="CD242" s="402">
        <f>CD252</f>
        <v/>
      </c>
      <c r="CE242" s="402">
        <f>CE252</f>
        <v/>
      </c>
      <c r="CF242" s="402">
        <f>CF252</f>
        <v/>
      </c>
      <c r="CG242" s="402">
        <f>CG252</f>
        <v/>
      </c>
      <c r="CH242" s="402">
        <f>CH252</f>
        <v/>
      </c>
      <c r="CI242" s="402">
        <f>CI252</f>
        <v/>
      </c>
      <c r="CJ242" s="402">
        <f>CJ252</f>
        <v/>
      </c>
      <c r="CK242" s="402">
        <f>CK252</f>
        <v/>
      </c>
      <c r="CL242" s="402">
        <f>CL252</f>
        <v/>
      </c>
      <c r="CM242" s="402">
        <f>CM252</f>
        <v/>
      </c>
      <c r="CN242" s="402">
        <f>CN252</f>
        <v/>
      </c>
      <c r="CO242" s="402">
        <f>CO252</f>
        <v/>
      </c>
      <c r="CP242" s="402">
        <f>CP252</f>
        <v/>
      </c>
      <c r="CQ242" s="402">
        <f>CQ252</f>
        <v/>
      </c>
      <c r="CR242" s="402">
        <f>CR252</f>
        <v/>
      </c>
      <c r="CS242" s="402">
        <f>CS252</f>
        <v/>
      </c>
      <c r="CT242" s="402">
        <f>CT252</f>
        <v/>
      </c>
      <c r="CU242" s="402">
        <f>CU252</f>
        <v/>
      </c>
      <c r="CV242" s="402">
        <f>CV252</f>
        <v/>
      </c>
      <c r="CW242" s="402">
        <f>CW252</f>
        <v/>
      </c>
      <c r="CX242" s="402">
        <f>CX252</f>
        <v/>
      </c>
      <c r="CY242" s="402">
        <f>CY252</f>
        <v/>
      </c>
      <c r="CZ242" s="402">
        <f>CZ252</f>
        <v/>
      </c>
      <c r="DA242" s="402">
        <f>DA252</f>
        <v/>
      </c>
      <c r="DB242" s="402">
        <f>DB252</f>
        <v/>
      </c>
      <c r="DC242" s="402">
        <f>DC252</f>
        <v/>
      </c>
      <c r="DD242" s="402">
        <f>DD252</f>
        <v/>
      </c>
      <c r="DE242" s="402">
        <f>DE252</f>
        <v/>
      </c>
      <c r="DF242" s="402">
        <f>DF252</f>
        <v/>
      </c>
      <c r="DG242" s="403">
        <f>DG252</f>
        <v/>
      </c>
      <c r="DH242" s="403">
        <f>DH252</f>
        <v/>
      </c>
      <c r="DI242" s="403">
        <f>DI252</f>
        <v/>
      </c>
      <c r="DJ242" s="403">
        <f>DJ252</f>
        <v/>
      </c>
      <c r="DK242" s="403">
        <f>DK252</f>
        <v/>
      </c>
      <c r="DL242" s="403">
        <f>DL252</f>
        <v/>
      </c>
      <c r="DM242" s="403">
        <f>DM252</f>
        <v/>
      </c>
      <c r="DN242" s="403">
        <f>DN252</f>
        <v/>
      </c>
      <c r="DO242" s="403">
        <f>DO252</f>
        <v/>
      </c>
      <c r="DP242" s="403">
        <f>DP252</f>
        <v/>
      </c>
      <c r="DQ242" s="403">
        <f>DQ252</f>
        <v/>
      </c>
      <c r="DR242" s="403">
        <f>DR252</f>
        <v/>
      </c>
      <c r="DS242" s="403">
        <f>DS252</f>
        <v/>
      </c>
      <c r="DT242" s="403">
        <f>DT252</f>
        <v/>
      </c>
      <c r="DU242" s="403">
        <f>DU252</f>
        <v/>
      </c>
      <c r="DV242" s="403">
        <f>DV252</f>
        <v/>
      </c>
      <c r="DW242" s="403">
        <f>DW252</f>
        <v/>
      </c>
      <c r="DX242" s="403">
        <f>DX252</f>
        <v/>
      </c>
      <c r="DY242" s="403">
        <f>DY252</f>
        <v/>
      </c>
      <c r="DZ242" s="403">
        <f>DZ252</f>
        <v/>
      </c>
      <c r="EA242" s="403">
        <f>EA252</f>
        <v/>
      </c>
      <c r="EB242" s="403">
        <f>EB252</f>
        <v/>
      </c>
      <c r="EC242" s="403">
        <f>EC252</f>
        <v/>
      </c>
      <c r="ED242" s="403">
        <f>ED252</f>
        <v/>
      </c>
      <c r="EE242" s="403">
        <f>EE252</f>
        <v/>
      </c>
      <c r="EF242" s="403">
        <f>EF252</f>
        <v/>
      </c>
      <c r="EG242" s="403">
        <f>EG252</f>
        <v/>
      </c>
      <c r="EH242" s="403">
        <f>EH252</f>
        <v/>
      </c>
      <c r="EI242" s="403">
        <f>EI252</f>
        <v/>
      </c>
      <c r="EJ242" s="403">
        <f>EJ252</f>
        <v/>
      </c>
      <c r="EK242" s="403">
        <f>EK252</f>
        <v/>
      </c>
      <c r="EL242" s="403">
        <f>EL252</f>
        <v/>
      </c>
      <c r="EM242" s="403">
        <f>EM252</f>
        <v/>
      </c>
      <c r="EN242" s="403">
        <f>EN252</f>
        <v/>
      </c>
      <c r="EO242" s="403">
        <f>EO252</f>
        <v/>
      </c>
      <c r="EP242" s="403">
        <f>EP252</f>
        <v/>
      </c>
      <c r="EQ242" s="403">
        <f>EQ252</f>
        <v/>
      </c>
      <c r="ER242" s="403">
        <f>ER252</f>
        <v/>
      </c>
      <c r="ES242" s="403">
        <f>ES252</f>
        <v/>
      </c>
      <c r="ET242" s="403">
        <f>ET252</f>
        <v/>
      </c>
      <c r="EU242" s="403">
        <f>EU252</f>
        <v/>
      </c>
      <c r="EV242" s="403">
        <f>EV252</f>
        <v/>
      </c>
      <c r="EW242" s="403">
        <f>EW252</f>
        <v/>
      </c>
      <c r="EX242" s="403">
        <f>EX252</f>
        <v/>
      </c>
      <c r="EY242" s="403">
        <f>EY252</f>
        <v/>
      </c>
      <c r="EZ242" s="403">
        <f>EZ252</f>
        <v/>
      </c>
      <c r="FA242" s="403">
        <f>FA252</f>
        <v/>
      </c>
      <c r="FB242" s="403">
        <f>FB252</f>
        <v/>
      </c>
      <c r="FC242" s="403">
        <f>FC252</f>
        <v/>
      </c>
      <c r="FD242" s="403">
        <f>FD252</f>
        <v/>
      </c>
      <c r="FE242" s="403">
        <f>FE252</f>
        <v/>
      </c>
      <c r="FF242" s="403">
        <f>FF252</f>
        <v/>
      </c>
      <c r="FG242" s="403">
        <f>FG252</f>
        <v/>
      </c>
      <c r="FH242" s="403">
        <f>FH252</f>
        <v/>
      </c>
      <c r="FI242" s="403">
        <f>FI252</f>
        <v/>
      </c>
      <c r="FJ242" s="403">
        <f>FJ252</f>
        <v/>
      </c>
      <c r="FK242" s="403">
        <f>FK252</f>
        <v/>
      </c>
      <c r="FL242" s="403">
        <f>FL252</f>
        <v/>
      </c>
      <c r="FM242" s="403">
        <f>FM252</f>
        <v/>
      </c>
      <c r="FN242" s="403">
        <f>FN252</f>
        <v/>
      </c>
      <c r="FO242" s="403">
        <f>FO252</f>
        <v/>
      </c>
      <c r="FP242" s="403">
        <f>FP252</f>
        <v/>
      </c>
      <c r="FQ242" s="403">
        <f>FQ252</f>
        <v/>
      </c>
      <c r="FR242" s="403">
        <f>FR252</f>
        <v/>
      </c>
      <c r="FS242" s="403">
        <f>FS252</f>
        <v/>
      </c>
      <c r="FT242" s="403">
        <f>FT252</f>
        <v/>
      </c>
      <c r="FU242" s="403">
        <f>FU252</f>
        <v/>
      </c>
      <c r="FV242" s="403">
        <f>FV252</f>
        <v/>
      </c>
      <c r="FW242" s="403">
        <f>FW252</f>
        <v/>
      </c>
      <c r="FX242" s="403">
        <f>FX252</f>
        <v/>
      </c>
      <c r="FY242" s="403">
        <f>FY252</f>
        <v/>
      </c>
      <c r="FZ242" s="403">
        <f>FZ252</f>
        <v/>
      </c>
      <c r="GA242" s="403">
        <f>GA252</f>
        <v/>
      </c>
      <c r="GB242" s="403">
        <f>GB252</f>
        <v/>
      </c>
      <c r="GC242" s="403">
        <f>GC252</f>
        <v/>
      </c>
      <c r="GD242" s="403">
        <f>GD252</f>
        <v/>
      </c>
      <c r="GE242" s="403">
        <f>GE252</f>
        <v/>
      </c>
      <c r="GF242" s="403">
        <f>GF252</f>
        <v/>
      </c>
      <c r="GG242" s="403">
        <f>GG252</f>
        <v/>
      </c>
      <c r="GH242" s="403">
        <f>GH252</f>
        <v/>
      </c>
      <c r="GI242" s="403">
        <f>GI252</f>
        <v/>
      </c>
      <c r="GJ242" s="403">
        <f>GJ252</f>
        <v/>
      </c>
      <c r="GK242" s="403">
        <f>GK252</f>
        <v/>
      </c>
      <c r="GL242" s="403">
        <f>GL252</f>
        <v/>
      </c>
      <c r="GM242" s="403">
        <f>GM252</f>
        <v/>
      </c>
      <c r="GN242" s="403">
        <f>GN252</f>
        <v/>
      </c>
      <c r="GO242" s="403">
        <f>GO252</f>
        <v/>
      </c>
      <c r="GP242" s="403">
        <f>GP252</f>
        <v/>
      </c>
      <c r="GQ242" s="403">
        <f>GQ252</f>
        <v/>
      </c>
      <c r="GR242" s="403">
        <f>GR252</f>
        <v/>
      </c>
      <c r="GS242" s="403">
        <f>GS252</f>
        <v/>
      </c>
      <c r="GT242" s="403">
        <f>GT252</f>
        <v/>
      </c>
      <c r="GU242" s="403">
        <f>GU252</f>
        <v/>
      </c>
      <c r="GV242" s="403">
        <f>GV252</f>
        <v/>
      </c>
      <c r="GW242" s="403">
        <f>GW252</f>
        <v/>
      </c>
      <c r="GX242" s="403">
        <f>GX252</f>
        <v/>
      </c>
    </row>
    <row r="243"/>
    <row r="244">
      <c r="A244" t="n">
        <v>17</v>
      </c>
      <c r="B244" t="n">
        <v>0</v>
      </c>
      <c r="C244">
        <f>ROW(SmtRes!A115)</f>
        <v/>
      </c>
      <c r="D244">
        <f>ROW(EtalonRes!A109)</f>
        <v/>
      </c>
      <c r="E244" t="inlineStr">
        <is>
          <t>1</t>
        </is>
      </c>
      <c r="F244" t="inlineStr">
        <is>
          <t>65-10-1</t>
        </is>
      </c>
      <c r="G244" t="inlineStr">
        <is>
          <t>Очистка канализационной сети внутренней</t>
        </is>
      </c>
      <c r="H244" t="inlineStr">
        <is>
          <t>100 м трубопровода</t>
        </is>
      </c>
      <c r="I244">
        <f>ROUND(ROUND(85/100,4),7)</f>
        <v/>
      </c>
      <c r="J244" t="n">
        <v>0</v>
      </c>
      <c r="K244">
        <f>ROUND(ROUND(85/100,4),7)</f>
        <v/>
      </c>
      <c r="O244">
        <f>ROUND(CP244,0)</f>
        <v/>
      </c>
      <c r="P244">
        <f>ROUND(CQ244*I244,0)</f>
        <v/>
      </c>
      <c r="Q244">
        <f>(ROUND((ROUND(((ET244)*I244),0)*BB244),0)+ROUND((ROUND(((AE244-(EU244))*I244),0)*BS244),0))</f>
        <v/>
      </c>
      <c r="R244">
        <f>(ROUND((ROUND(((EU244)*I244),0)*BS244),0)+ROUND((ROUND(((AE244-(EU244))*I244),0)*BS244),0))</f>
        <v/>
      </c>
      <c r="S244">
        <f>ROUND(CT244*I244,0)</f>
        <v/>
      </c>
      <c r="T244">
        <f>ROUND(CU244*I244,0)</f>
        <v/>
      </c>
      <c r="U244">
        <f>ROUND(CV244*I244,7)</f>
        <v/>
      </c>
      <c r="V244">
        <f>ROUND(CW244*I244,7)</f>
        <v/>
      </c>
      <c r="W244">
        <f>ROUND(CX244*I244,0)</f>
        <v/>
      </c>
      <c r="X244">
        <f>ROUND(CY244,0)</f>
        <v/>
      </c>
      <c r="Y244">
        <f>ROUND(CZ244,0)</f>
        <v/>
      </c>
      <c r="AA244" t="n">
        <v>78869116</v>
      </c>
      <c r="AB244">
        <f>ROUND((AC244+AD244+AF244),2)</f>
        <v/>
      </c>
      <c r="AC244">
        <f>ROUND((ES244),2)</f>
        <v/>
      </c>
      <c r="AD244">
        <f>ROUND((((ET244)-(EU244))+AE244),2)</f>
        <v/>
      </c>
      <c r="AE244">
        <f>ROUND((EU244),2)</f>
        <v/>
      </c>
      <c r="AF244">
        <f>ROUND((EV244),2)</f>
        <v/>
      </c>
      <c r="AG244">
        <f>ROUND((AP244),2)</f>
        <v/>
      </c>
      <c r="AH244">
        <f>(EW244)</f>
        <v/>
      </c>
      <c r="AI244">
        <f>(EX244)</f>
        <v/>
      </c>
      <c r="AJ244">
        <f>(AS244)</f>
        <v/>
      </c>
      <c r="AK244" t="n">
        <v>403.3</v>
      </c>
      <c r="AL244" t="n">
        <v>139.36</v>
      </c>
      <c r="AM244" t="n">
        <v>0.87</v>
      </c>
      <c r="AN244" t="n">
        <v>0</v>
      </c>
      <c r="AO244" t="n">
        <v>263.07</v>
      </c>
      <c r="AP244" t="n">
        <v>0</v>
      </c>
      <c r="AQ244" t="n">
        <v>32.2</v>
      </c>
      <c r="AR244" t="n">
        <v>0</v>
      </c>
      <c r="AS244" t="n">
        <v>0</v>
      </c>
      <c r="AT244" t="n">
        <v>103</v>
      </c>
      <c r="AU244" t="n">
        <v>52</v>
      </c>
      <c r="AV244" t="n">
        <v>1</v>
      </c>
      <c r="AW244" t="n">
        <v>1</v>
      </c>
      <c r="AZ244" t="n">
        <v>1</v>
      </c>
      <c r="BA244" t="n">
        <v>52.25</v>
      </c>
      <c r="BB244" t="n">
        <v>25.03</v>
      </c>
      <c r="BC244" t="n">
        <v>11.85</v>
      </c>
      <c r="BD244" t="inlineStr"/>
      <c r="BE244" t="inlineStr"/>
      <c r="BF244" t="inlineStr"/>
      <c r="BG244" t="inlineStr"/>
      <c r="BH244" t="n">
        <v>0</v>
      </c>
      <c r="BI244" t="n">
        <v>1</v>
      </c>
      <c r="BJ244" t="inlineStr">
        <is>
          <t>ТЕРр Московской обл., 65-10-1, приказ Минстроя России №675/пр от 28.02.2017 № 263/пр</t>
        </is>
      </c>
      <c r="BM244" t="n">
        <v>65007</v>
      </c>
      <c r="BN244" t="n">
        <v>0</v>
      </c>
      <c r="BO244" t="inlineStr">
        <is>
          <t>65-10-1</t>
        </is>
      </c>
      <c r="BP244" t="n">
        <v>1</v>
      </c>
      <c r="BQ244" t="n">
        <v>6</v>
      </c>
      <c r="BR244" t="n">
        <v>0</v>
      </c>
      <c r="BS244" t="n">
        <v>52.25</v>
      </c>
      <c r="BT244" t="n">
        <v>1</v>
      </c>
      <c r="BU244" t="n">
        <v>1</v>
      </c>
      <c r="BV244" t="n">
        <v>1</v>
      </c>
      <c r="BW244" t="n">
        <v>1</v>
      </c>
      <c r="BX244" t="n">
        <v>1</v>
      </c>
      <c r="BY244" t="inlineStr"/>
      <c r="BZ244" t="n">
        <v>103</v>
      </c>
      <c r="CA244" t="n">
        <v>52</v>
      </c>
      <c r="CB244" t="inlineStr"/>
      <c r="CE244" t="n">
        <v>12</v>
      </c>
      <c r="CF244" t="n">
        <v>0</v>
      </c>
      <c r="CG244" t="n">
        <v>0</v>
      </c>
      <c r="CM244" t="n">
        <v>0</v>
      </c>
      <c r="CN244" t="inlineStr"/>
      <c r="CO244" t="n">
        <v>0</v>
      </c>
      <c r="CP244">
        <f>(P244+Q244+S244)</f>
        <v/>
      </c>
      <c r="CQ244">
        <f>AC244*BC244</f>
        <v/>
      </c>
      <c r="CR244">
        <f>(ROUND((ROUND(((ET244)*1),0)*BB244),0)+ROUND((ROUND(((AE244-(EU244))*1),0)*BS244),0))</f>
        <v/>
      </c>
      <c r="CS244">
        <f>(ROUND((ROUND(((EU244)*1),0)*BS244),0)+ROUND((ROUND(((AE244-(EU244))*1),0)*BS244),0))</f>
        <v/>
      </c>
      <c r="CT244">
        <f>AF244*BA244</f>
        <v/>
      </c>
      <c r="CU244">
        <f>AG244</f>
        <v/>
      </c>
      <c r="CV244">
        <f>AH244</f>
        <v/>
      </c>
      <c r="CW244">
        <f>AI244</f>
        <v/>
      </c>
      <c r="CX244">
        <f>AJ244</f>
        <v/>
      </c>
      <c r="CY244">
        <f>(((S244+R244)*AT244)/100)</f>
        <v/>
      </c>
      <c r="CZ244">
        <f>(((S244+R244)*AU244)/100)</f>
        <v/>
      </c>
      <c r="DC244" t="inlineStr"/>
      <c r="DD244" t="inlineStr"/>
      <c r="DE244" t="inlineStr"/>
      <c r="DF244" t="inlineStr"/>
      <c r="DG244" t="inlineStr"/>
      <c r="DH244" t="inlineStr"/>
      <c r="DI244" t="inlineStr"/>
      <c r="DJ244" t="inlineStr"/>
      <c r="DK244" t="inlineStr"/>
      <c r="DL244" t="inlineStr"/>
      <c r="DM244" t="inlineStr"/>
      <c r="DN244" t="n">
        <v>0</v>
      </c>
      <c r="DO244" t="n">
        <v>0</v>
      </c>
      <c r="DP244" t="n">
        <v>1</v>
      </c>
      <c r="DQ244" t="n">
        <v>1</v>
      </c>
      <c r="DU244" t="n">
        <v>1013</v>
      </c>
      <c r="DV244" t="inlineStr">
        <is>
          <t>100 м трубопровода</t>
        </is>
      </c>
      <c r="DW244" t="inlineStr">
        <is>
          <t>100 м трубопровода</t>
        </is>
      </c>
      <c r="DX244" t="n">
        <v>1</v>
      </c>
      <c r="DZ244" t="inlineStr"/>
      <c r="EA244" t="inlineStr"/>
      <c r="EB244" t="inlineStr"/>
      <c r="EC244" t="inlineStr"/>
      <c r="EE244" t="n">
        <v>78726000</v>
      </c>
      <c r="EF244" t="n">
        <v>6</v>
      </c>
      <c r="EG244" t="inlineStr">
        <is>
          <t>Ремонтно-строительные работы</t>
        </is>
      </c>
      <c r="EH244" t="n">
        <v>99</v>
      </c>
      <c r="EI244" t="inlineStr">
        <is>
          <t>Внутренние санитарно-технические работы</t>
        </is>
      </c>
      <c r="EJ244" t="n">
        <v>1</v>
      </c>
      <c r="EK244" t="n">
        <v>65007</v>
      </c>
      <c r="EL244" t="inlineStr">
        <is>
          <t>Внутренние санитарнотехнические работы: смена труб, санприборов, запорной арматуры и другое</t>
        </is>
      </c>
      <c r="EM244" t="inlineStr">
        <is>
          <t>рФЕР-65</t>
        </is>
      </c>
      <c r="EO244" t="inlineStr"/>
      <c r="EQ244" t="n">
        <v>0</v>
      </c>
      <c r="ER244" t="n">
        <v>403.3</v>
      </c>
      <c r="ES244" t="n">
        <v>139.36</v>
      </c>
      <c r="ET244" t="n">
        <v>0.87</v>
      </c>
      <c r="EU244" t="n">
        <v>0</v>
      </c>
      <c r="EV244" t="n">
        <v>263.07</v>
      </c>
      <c r="EW244" t="n">
        <v>32.2</v>
      </c>
      <c r="EX244" t="n">
        <v>0</v>
      </c>
      <c r="EY244" t="n">
        <v>0</v>
      </c>
      <c r="FQ244" t="n">
        <v>0</v>
      </c>
      <c r="FR244" t="n">
        <v>0</v>
      </c>
      <c r="FS244" t="n">
        <v>0</v>
      </c>
      <c r="FX244" t="n">
        <v>103</v>
      </c>
      <c r="FY244" t="n">
        <v>52</v>
      </c>
      <c r="GA244" t="inlineStr"/>
      <c r="GD244" t="n">
        <v>1</v>
      </c>
      <c r="GF244" t="n">
        <v>-66904957</v>
      </c>
      <c r="GG244" t="n">
        <v>2</v>
      </c>
      <c r="GH244" t="n">
        <v>1</v>
      </c>
      <c r="GI244" t="n">
        <v>2</v>
      </c>
      <c r="GJ244" t="n">
        <v>0</v>
      </c>
      <c r="GK244" t="n">
        <v>0</v>
      </c>
      <c r="GL244">
        <f>ROUND(IF(AND(BH244=3,BI244=3,FS244&lt;&gt;0),P244,0),0)</f>
        <v/>
      </c>
      <c r="GM244">
        <f>ROUND(O244+X244+Y244,0)+GX244</f>
        <v/>
      </c>
      <c r="GN244">
        <f>IF(OR(BI244=0,BI244=1),GM244-GX244,0)</f>
        <v/>
      </c>
      <c r="GO244">
        <f>IF(BI244=2,GM244-GX244,0)</f>
        <v/>
      </c>
      <c r="GP244">
        <f>IF(BI244=4,GM244-GX244,0)</f>
        <v/>
      </c>
      <c r="GR244" t="n">
        <v>0</v>
      </c>
      <c r="GS244" t="n">
        <v>3</v>
      </c>
      <c r="GT244" t="n">
        <v>0</v>
      </c>
      <c r="GU244" t="inlineStr"/>
      <c r="GV244">
        <f>ROUND((GT244),2)</f>
        <v/>
      </c>
      <c r="GW244" t="n">
        <v>1</v>
      </c>
      <c r="GX244">
        <f>ROUND(HC244*I244,0)</f>
        <v/>
      </c>
      <c r="HA244" t="n">
        <v>0</v>
      </c>
      <c r="HB244" t="n">
        <v>0</v>
      </c>
      <c r="HC244">
        <f>GV244*GW244</f>
        <v/>
      </c>
      <c r="HE244" t="inlineStr"/>
      <c r="HF244" t="inlineStr"/>
      <c r="HM244" t="inlineStr"/>
      <c r="HN244" t="inlineStr">
        <is>
          <t>Пр/812-099.2-1</t>
        </is>
      </c>
      <c r="HO244" t="inlineStr">
        <is>
          <t>Пр/774-099.2</t>
        </is>
      </c>
      <c r="HP244" t="inlineStr">
        <is>
          <t>Внутренние санитарнотехнические работы: смена труб, санприборов, запорной арматуры и другое</t>
        </is>
      </c>
      <c r="HQ244" t="inlineStr">
        <is>
          <t>Внутренние санитарнотехнические работы: смена труб, санприборов, запорной арматуры и другое</t>
        </is>
      </c>
      <c r="HS244" t="n">
        <v>0</v>
      </c>
      <c r="IK244" t="n">
        <v>0</v>
      </c>
    </row>
    <row r="245">
      <c r="A245" t="n">
        <v>17</v>
      </c>
      <c r="B245" t="n">
        <v>0</v>
      </c>
      <c r="C245">
        <f>ROW(SmtRes!A118)</f>
        <v/>
      </c>
      <c r="D245">
        <f>ROW(EtalonRes!A111)</f>
        <v/>
      </c>
      <c r="E245" t="inlineStr">
        <is>
          <t>2</t>
        </is>
      </c>
      <c r="F245" t="inlineStr">
        <is>
          <t>67-5-2</t>
        </is>
      </c>
      <c r="G245" t="inlineStr">
        <is>
          <t>Смена ламп люминесцентных</t>
        </is>
      </c>
      <c r="H245" t="inlineStr">
        <is>
          <t>100 шт.</t>
        </is>
      </c>
      <c r="I245">
        <f>ROUND(ROUND(3/100,4),7)</f>
        <v/>
      </c>
      <c r="J245" t="n">
        <v>0</v>
      </c>
      <c r="K245">
        <f>ROUND(ROUND(3/100,4),7)</f>
        <v/>
      </c>
      <c r="O245">
        <f>ROUND(CP245,0)</f>
        <v/>
      </c>
      <c r="P245">
        <f>ROUND(CQ245*I245,0)</f>
        <v/>
      </c>
      <c r="Q245">
        <f>(ROUND((ROUND(((ET245)*I245),0)*BB245),0)+ROUND((ROUND(((AE245-(EU245))*I245),0)*BS245),0))</f>
        <v/>
      </c>
      <c r="R245">
        <f>(ROUND((ROUND(((EU245)*I245),0)*BS245),0)+ROUND((ROUND(((AE245-(EU245))*I245),0)*BS245),0))</f>
        <v/>
      </c>
      <c r="S245">
        <f>ROUND(CT245*I245,0)</f>
        <v/>
      </c>
      <c r="T245">
        <f>ROUND(CU245*I245,0)</f>
        <v/>
      </c>
      <c r="U245">
        <f>ROUND(CV245*I245,7)</f>
        <v/>
      </c>
      <c r="V245">
        <f>ROUND(CW245*I245,7)</f>
        <v/>
      </c>
      <c r="W245">
        <f>ROUND(CX245*I245,0)</f>
        <v/>
      </c>
      <c r="X245">
        <f>ROUND(CY245,0)</f>
        <v/>
      </c>
      <c r="Y245">
        <f>ROUND(CZ245,0)</f>
        <v/>
      </c>
      <c r="AA245" t="n">
        <v>78869116</v>
      </c>
      <c r="AB245">
        <f>ROUND((AC245+AD245+AF245),2)</f>
        <v/>
      </c>
      <c r="AC245">
        <f>ROUND((ES245),2)</f>
        <v/>
      </c>
      <c r="AD245">
        <f>ROUND((((ET245)-(EU245))+AE245),2)</f>
        <v/>
      </c>
      <c r="AE245">
        <f>ROUND((EU245),2)</f>
        <v/>
      </c>
      <c r="AF245">
        <f>ROUND((EV245),2)</f>
        <v/>
      </c>
      <c r="AG245">
        <f>ROUND((AP245),2)</f>
        <v/>
      </c>
      <c r="AH245">
        <f>(EW245)</f>
        <v/>
      </c>
      <c r="AI245">
        <f>(EX245)</f>
        <v/>
      </c>
      <c r="AJ245">
        <f>(AS245)</f>
        <v/>
      </c>
      <c r="AK245" t="n">
        <v>970.5700000000001</v>
      </c>
      <c r="AL245" t="n">
        <v>852</v>
      </c>
      <c r="AM245" t="n">
        <v>0</v>
      </c>
      <c r="AN245" t="n">
        <v>0</v>
      </c>
      <c r="AO245" t="n">
        <v>118.57</v>
      </c>
      <c r="AP245" t="n">
        <v>0</v>
      </c>
      <c r="AQ245" t="n">
        <v>13.9</v>
      </c>
      <c r="AR245" t="n">
        <v>0</v>
      </c>
      <c r="AS245" t="n">
        <v>0</v>
      </c>
      <c r="AT245" t="n">
        <v>91</v>
      </c>
      <c r="AU245" t="n">
        <v>48</v>
      </c>
      <c r="AV245" t="n">
        <v>1</v>
      </c>
      <c r="AW245" t="n">
        <v>1</v>
      </c>
      <c r="AZ245" t="n">
        <v>1</v>
      </c>
      <c r="BA245" t="n">
        <v>52.25</v>
      </c>
      <c r="BB245" t="n">
        <v>1</v>
      </c>
      <c r="BC245" t="n">
        <v>4.14</v>
      </c>
      <c r="BD245" t="inlineStr"/>
      <c r="BE245" t="inlineStr"/>
      <c r="BF245" t="inlineStr"/>
      <c r="BG245" t="inlineStr"/>
      <c r="BH245" t="n">
        <v>0</v>
      </c>
      <c r="BI245" t="n">
        <v>1</v>
      </c>
      <c r="BJ245" t="inlineStr">
        <is>
          <t>ТЕРр Московской обл., 67-5-2, приказ Минстроя России №675/пр от 28.02.2017 № 263/пр</t>
        </is>
      </c>
      <c r="BM245" t="n">
        <v>67001</v>
      </c>
      <c r="BN245" t="n">
        <v>0</v>
      </c>
      <c r="BO245" t="inlineStr">
        <is>
          <t>67-5-2</t>
        </is>
      </c>
      <c r="BP245" t="n">
        <v>1</v>
      </c>
      <c r="BQ245" t="n">
        <v>6</v>
      </c>
      <c r="BR245" t="n">
        <v>0</v>
      </c>
      <c r="BS245" t="n">
        <v>52.25</v>
      </c>
      <c r="BT245" t="n">
        <v>1</v>
      </c>
      <c r="BU245" t="n">
        <v>1</v>
      </c>
      <c r="BV245" t="n">
        <v>1</v>
      </c>
      <c r="BW245" t="n">
        <v>1</v>
      </c>
      <c r="BX245" t="n">
        <v>1</v>
      </c>
      <c r="BY245" t="inlineStr"/>
      <c r="BZ245" t="n">
        <v>91</v>
      </c>
      <c r="CA245" t="n">
        <v>48</v>
      </c>
      <c r="CB245" t="inlineStr"/>
      <c r="CE245" t="n">
        <v>12</v>
      </c>
      <c r="CF245" t="n">
        <v>0</v>
      </c>
      <c r="CG245" t="n">
        <v>0</v>
      </c>
      <c r="CM245" t="n">
        <v>0</v>
      </c>
      <c r="CN245" t="inlineStr"/>
      <c r="CO245" t="n">
        <v>0</v>
      </c>
      <c r="CP245">
        <f>(P245+Q245+S245)</f>
        <v/>
      </c>
      <c r="CQ245">
        <f>AC245*BC245</f>
        <v/>
      </c>
      <c r="CR245">
        <f>(ROUND((ROUND(((ET245)*1),0)*BB245),0)+ROUND((ROUND(((AE245-(EU245))*1),0)*BS245),0))</f>
        <v/>
      </c>
      <c r="CS245">
        <f>(ROUND((ROUND(((EU245)*1),0)*BS245),0)+ROUND((ROUND(((AE245-(EU245))*1),0)*BS245),0))</f>
        <v/>
      </c>
      <c r="CT245">
        <f>AF245*BA245</f>
        <v/>
      </c>
      <c r="CU245">
        <f>AG245</f>
        <v/>
      </c>
      <c r="CV245">
        <f>AH245</f>
        <v/>
      </c>
      <c r="CW245">
        <f>AI245</f>
        <v/>
      </c>
      <c r="CX245">
        <f>AJ245</f>
        <v/>
      </c>
      <c r="CY245">
        <f>(((S245+R245)*AT245)/100)</f>
        <v/>
      </c>
      <c r="CZ245">
        <f>(((S245+R245)*AU245)/100)</f>
        <v/>
      </c>
      <c r="DC245" t="inlineStr"/>
      <c r="DD245" t="inlineStr"/>
      <c r="DE245" t="inlineStr"/>
      <c r="DF245" t="inlineStr"/>
      <c r="DG245" t="inlineStr"/>
      <c r="DH245" t="inlineStr"/>
      <c r="DI245" t="inlineStr"/>
      <c r="DJ245" t="inlineStr"/>
      <c r="DK245" t="inlineStr"/>
      <c r="DL245" t="inlineStr"/>
      <c r="DM245" t="inlineStr"/>
      <c r="DN245" t="n">
        <v>0</v>
      </c>
      <c r="DO245" t="n">
        <v>0</v>
      </c>
      <c r="DP245" t="n">
        <v>1</v>
      </c>
      <c r="DQ245" t="n">
        <v>1</v>
      </c>
      <c r="DU245" t="n">
        <v>1010</v>
      </c>
      <c r="DV245" t="inlineStr">
        <is>
          <t>100 шт.</t>
        </is>
      </c>
      <c r="DW245" t="inlineStr">
        <is>
          <t>100 шт.</t>
        </is>
      </c>
      <c r="DX245" t="n">
        <v>100</v>
      </c>
      <c r="DZ245" t="inlineStr"/>
      <c r="EA245" t="inlineStr"/>
      <c r="EB245" t="inlineStr"/>
      <c r="EC245" t="inlineStr"/>
      <c r="EE245" t="n">
        <v>78726030</v>
      </c>
      <c r="EF245" t="n">
        <v>6</v>
      </c>
      <c r="EG245" t="inlineStr">
        <is>
          <t>Ремонтно-строительные работы</t>
        </is>
      </c>
      <c r="EH245" t="n">
        <v>101</v>
      </c>
      <c r="EI245" t="inlineStr">
        <is>
          <t>Электромонтажные работы</t>
        </is>
      </c>
      <c r="EJ245" t="n">
        <v>1</v>
      </c>
      <c r="EK245" t="n">
        <v>67001</v>
      </c>
      <c r="EL245" t="inlineStr">
        <is>
          <t>Электромонтажные работы</t>
        </is>
      </c>
      <c r="EM245" t="inlineStr">
        <is>
          <t>рФЕР-67</t>
        </is>
      </c>
      <c r="EO245" t="inlineStr"/>
      <c r="EQ245" t="n">
        <v>0</v>
      </c>
      <c r="ER245" t="n">
        <v>970.5700000000001</v>
      </c>
      <c r="ES245" t="n">
        <v>852</v>
      </c>
      <c r="ET245" t="n">
        <v>0</v>
      </c>
      <c r="EU245" t="n">
        <v>0</v>
      </c>
      <c r="EV245" t="n">
        <v>118.57</v>
      </c>
      <c r="EW245" t="n">
        <v>13.9</v>
      </c>
      <c r="EX245" t="n">
        <v>0</v>
      </c>
      <c r="EY245" t="n">
        <v>0</v>
      </c>
      <c r="FQ245" t="n">
        <v>0</v>
      </c>
      <c r="FR245" t="n">
        <v>0</v>
      </c>
      <c r="FS245" t="n">
        <v>0</v>
      </c>
      <c r="FX245" t="n">
        <v>91</v>
      </c>
      <c r="FY245" t="n">
        <v>48</v>
      </c>
      <c r="GA245" t="inlineStr"/>
      <c r="GD245" t="n">
        <v>1</v>
      </c>
      <c r="GF245" t="n">
        <v>1400342257</v>
      </c>
      <c r="GG245" t="n">
        <v>2</v>
      </c>
      <c r="GH245" t="n">
        <v>1</v>
      </c>
      <c r="GI245" t="n">
        <v>2</v>
      </c>
      <c r="GJ245" t="n">
        <v>0</v>
      </c>
      <c r="GK245" t="n">
        <v>0</v>
      </c>
      <c r="GL245">
        <f>ROUND(IF(AND(BH245=3,BI245=3,FS245&lt;&gt;0),P245,0),0)</f>
        <v/>
      </c>
      <c r="GM245">
        <f>ROUND(O245+X245+Y245,0)+GX245</f>
        <v/>
      </c>
      <c r="GN245">
        <f>IF(OR(BI245=0,BI245=1),GM245-GX245,0)</f>
        <v/>
      </c>
      <c r="GO245">
        <f>IF(BI245=2,GM245-GX245,0)</f>
        <v/>
      </c>
      <c r="GP245">
        <f>IF(BI245=4,GM245-GX245,0)</f>
        <v/>
      </c>
      <c r="GR245" t="n">
        <v>0</v>
      </c>
      <c r="GS245" t="n">
        <v>3</v>
      </c>
      <c r="GT245" t="n">
        <v>0</v>
      </c>
      <c r="GU245" t="inlineStr"/>
      <c r="GV245">
        <f>ROUND((GT245),2)</f>
        <v/>
      </c>
      <c r="GW245" t="n">
        <v>1</v>
      </c>
      <c r="GX245">
        <f>ROUND(HC245*I245,0)</f>
        <v/>
      </c>
      <c r="HA245" t="n">
        <v>0</v>
      </c>
      <c r="HB245" t="n">
        <v>0</v>
      </c>
      <c r="HC245">
        <f>GV245*GW245</f>
        <v/>
      </c>
      <c r="HE245" t="inlineStr"/>
      <c r="HF245" t="inlineStr"/>
      <c r="HM245" t="inlineStr"/>
      <c r="HN245" t="inlineStr">
        <is>
          <t>Пр/812-101.0-1</t>
        </is>
      </c>
      <c r="HO245" t="inlineStr">
        <is>
          <t>Пр/774-101.0</t>
        </is>
      </c>
      <c r="HP245" t="inlineStr">
        <is>
          <t>Электромонтажные работы</t>
        </is>
      </c>
      <c r="HQ245" t="inlineStr">
        <is>
          <t>Электромонтажные работы</t>
        </is>
      </c>
      <c r="HS245" t="n">
        <v>0</v>
      </c>
      <c r="IK245" t="n">
        <v>0</v>
      </c>
    </row>
    <row r="246">
      <c r="A246" t="n">
        <v>18</v>
      </c>
      <c r="B246" t="n">
        <v>0</v>
      </c>
      <c r="C246" t="n">
        <v>118</v>
      </c>
      <c r="E246" t="inlineStr">
        <is>
          <t>2,1</t>
        </is>
      </c>
      <c r="F246" t="inlineStr">
        <is>
          <t>509-6744</t>
        </is>
      </c>
      <c r="G246" t="inlineStr">
        <is>
          <t>Лампы люминесцентные компактные энергосберегающие с цоколем Е27 мощностью 55 Вт</t>
        </is>
      </c>
      <c r="H246" t="inlineStr">
        <is>
          <t>шт.</t>
        </is>
      </c>
      <c r="I246">
        <f>I245*J246</f>
        <v/>
      </c>
      <c r="J246" t="n">
        <v>100</v>
      </c>
      <c r="K246" t="n">
        <v>100</v>
      </c>
      <c r="O246">
        <f>ROUND(CP246,0)</f>
        <v/>
      </c>
      <c r="P246">
        <f>ROUND(CQ246*I246,0)</f>
        <v/>
      </c>
      <c r="Q246">
        <f>(ROUND((ROUND(((ET246)*I246),0)*BB246),0)+ROUND((ROUND(((AE246-(EU246))*I246),0)*BS246),0))</f>
        <v/>
      </c>
      <c r="R246">
        <f>(ROUND((ROUND(((EU246)*I246),0)*BS246),0)+ROUND((ROUND(((AE246-(EU246))*I246),0)*BS246),0))</f>
        <v/>
      </c>
      <c r="S246">
        <f>ROUND(CT246*I246,0)</f>
        <v/>
      </c>
      <c r="T246">
        <f>ROUND(CU246*I246,0)</f>
        <v/>
      </c>
      <c r="U246">
        <f>ROUND(CV246*I246,7)</f>
        <v/>
      </c>
      <c r="V246">
        <f>ROUND(CW246*I246,7)</f>
        <v/>
      </c>
      <c r="W246">
        <f>ROUND(CX246*I246,0)</f>
        <v/>
      </c>
      <c r="X246">
        <f>ROUND(CY246,0)</f>
        <v/>
      </c>
      <c r="Y246">
        <f>ROUND(CZ246,0)</f>
        <v/>
      </c>
      <c r="AA246" t="n">
        <v>78869116</v>
      </c>
      <c r="AB246">
        <f>ROUND((AC246+AD246+AF246),2)</f>
        <v/>
      </c>
      <c r="AC246">
        <f>ROUND((ES246),2)</f>
        <v/>
      </c>
      <c r="AD246">
        <f>ROUND((((ET246)-(EU246))+AE246),2)</f>
        <v/>
      </c>
      <c r="AE246">
        <f>ROUND((EU246),2)</f>
        <v/>
      </c>
      <c r="AF246">
        <f>ROUND((EV246),2)</f>
        <v/>
      </c>
      <c r="AG246">
        <f>ROUND((AP246),2)</f>
        <v/>
      </c>
      <c r="AH246">
        <f>(EW246)</f>
        <v/>
      </c>
      <c r="AI246">
        <f>(EX246)</f>
        <v/>
      </c>
      <c r="AJ246">
        <f>(AS246)</f>
        <v/>
      </c>
      <c r="AK246" t="n">
        <v>140.69</v>
      </c>
      <c r="AL246" t="n">
        <v>140.69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  <c r="AS246" t="n">
        <v>0.02</v>
      </c>
      <c r="AT246" t="n">
        <v>91</v>
      </c>
      <c r="AU246" t="n">
        <v>48</v>
      </c>
      <c r="AV246" t="n">
        <v>1</v>
      </c>
      <c r="AW246" t="n">
        <v>1</v>
      </c>
      <c r="AZ246" t="n">
        <v>1</v>
      </c>
      <c r="BA246" t="n">
        <v>1</v>
      </c>
      <c r="BB246" t="n">
        <v>1</v>
      </c>
      <c r="BC246" t="n">
        <v>1.69</v>
      </c>
      <c r="BD246" t="inlineStr"/>
      <c r="BE246" t="inlineStr"/>
      <c r="BF246" t="inlineStr"/>
      <c r="BG246" t="inlineStr"/>
      <c r="BH246" t="n">
        <v>3</v>
      </c>
      <c r="BI246" t="n">
        <v>1</v>
      </c>
      <c r="BJ246" t="inlineStr">
        <is>
          <t>ТССЦ Московской обл., 509-6744, приказ Минстроя России №675/пр от 28.02.2017 № 258/пр</t>
        </is>
      </c>
      <c r="BM246" t="n">
        <v>67001</v>
      </c>
      <c r="BN246" t="n">
        <v>0</v>
      </c>
      <c r="BO246" t="inlineStr">
        <is>
          <t>509-6744</t>
        </is>
      </c>
      <c r="BP246" t="n">
        <v>1</v>
      </c>
      <c r="BQ246" t="n">
        <v>6</v>
      </c>
      <c r="BR246" t="n">
        <v>0</v>
      </c>
      <c r="BS246" t="n">
        <v>1</v>
      </c>
      <c r="BT246" t="n">
        <v>1</v>
      </c>
      <c r="BU246" t="n">
        <v>1</v>
      </c>
      <c r="BV246" t="n">
        <v>1</v>
      </c>
      <c r="BW246" t="n">
        <v>1</v>
      </c>
      <c r="BX246" t="n">
        <v>1</v>
      </c>
      <c r="BY246" t="inlineStr"/>
      <c r="BZ246" t="n">
        <v>91</v>
      </c>
      <c r="CA246" t="n">
        <v>48</v>
      </c>
      <c r="CB246" t="inlineStr"/>
      <c r="CE246" t="n">
        <v>12</v>
      </c>
      <c r="CF246" t="n">
        <v>0</v>
      </c>
      <c r="CG246" t="n">
        <v>0</v>
      </c>
      <c r="CM246" t="n">
        <v>0</v>
      </c>
      <c r="CN246" t="inlineStr"/>
      <c r="CO246" t="n">
        <v>0</v>
      </c>
      <c r="CP246">
        <f>(P246+Q246+S246)</f>
        <v/>
      </c>
      <c r="CQ246">
        <f>AC246*BC246</f>
        <v/>
      </c>
      <c r="CR246">
        <f>(ROUND((ROUND(((ET246)*1),0)*BB246),0)+ROUND((ROUND(((AE246-(EU246))*1),0)*BS246),0))</f>
        <v/>
      </c>
      <c r="CS246">
        <f>(ROUND((ROUND(((EU246)*1),0)*BS246),0)+ROUND((ROUND(((AE246-(EU246))*1),0)*BS246),0))</f>
        <v/>
      </c>
      <c r="CT246">
        <f>AF246*BA246</f>
        <v/>
      </c>
      <c r="CU246">
        <f>AG246</f>
        <v/>
      </c>
      <c r="CV246">
        <f>AH246</f>
        <v/>
      </c>
      <c r="CW246">
        <f>AI246</f>
        <v/>
      </c>
      <c r="CX246">
        <f>AJ246</f>
        <v/>
      </c>
      <c r="CY246">
        <f>(((S246+R246)*AT246)/100)</f>
        <v/>
      </c>
      <c r="CZ246">
        <f>(((S246+R246)*AU246)/100)</f>
        <v/>
      </c>
      <c r="DC246" t="inlineStr"/>
      <c r="DD246" t="inlineStr"/>
      <c r="DE246" t="inlineStr"/>
      <c r="DF246" t="inlineStr"/>
      <c r="DG246" t="inlineStr"/>
      <c r="DH246" t="inlineStr"/>
      <c r="DI246" t="inlineStr"/>
      <c r="DJ246" t="inlineStr"/>
      <c r="DK246" t="inlineStr"/>
      <c r="DL246" t="inlineStr"/>
      <c r="DM246" t="inlineStr"/>
      <c r="DN246" t="n">
        <v>0</v>
      </c>
      <c r="DO246" t="n">
        <v>0</v>
      </c>
      <c r="DP246" t="n">
        <v>1</v>
      </c>
      <c r="DQ246" t="n">
        <v>1</v>
      </c>
      <c r="DU246" t="n">
        <v>1010</v>
      </c>
      <c r="DV246" t="inlineStr">
        <is>
          <t>шт.</t>
        </is>
      </c>
      <c r="DW246" t="inlineStr">
        <is>
          <t>шт.</t>
        </is>
      </c>
      <c r="DX246" t="n">
        <v>1</v>
      </c>
      <c r="DZ246" t="inlineStr"/>
      <c r="EA246" t="inlineStr"/>
      <c r="EB246" t="inlineStr"/>
      <c r="EC246" t="inlineStr"/>
      <c r="EE246" t="n">
        <v>78726030</v>
      </c>
      <c r="EF246" t="n">
        <v>6</v>
      </c>
      <c r="EG246" t="inlineStr">
        <is>
          <t>Ремонтно-строительные работы</t>
        </is>
      </c>
      <c r="EH246" t="n">
        <v>101</v>
      </c>
      <c r="EI246" t="inlineStr">
        <is>
          <t>Электромонтажные работы</t>
        </is>
      </c>
      <c r="EJ246" t="n">
        <v>1</v>
      </c>
      <c r="EK246" t="n">
        <v>67001</v>
      </c>
      <c r="EL246" t="inlineStr">
        <is>
          <t>Электромонтажные работы</t>
        </is>
      </c>
      <c r="EM246" t="inlineStr">
        <is>
          <t>рФЕР-67</t>
        </is>
      </c>
      <c r="EO246" t="inlineStr"/>
      <c r="EQ246" t="n">
        <v>0</v>
      </c>
      <c r="ER246" t="n">
        <v>140.69</v>
      </c>
      <c r="ES246" t="n">
        <v>140.69</v>
      </c>
      <c r="ET246" t="n">
        <v>0</v>
      </c>
      <c r="EU246" t="n">
        <v>0</v>
      </c>
      <c r="EV246" t="n">
        <v>0</v>
      </c>
      <c r="EW246" t="n">
        <v>0</v>
      </c>
      <c r="EX246" t="n">
        <v>0</v>
      </c>
      <c r="FQ246" t="n">
        <v>0</v>
      </c>
      <c r="FR246" t="n">
        <v>0</v>
      </c>
      <c r="FS246" t="n">
        <v>0</v>
      </c>
      <c r="FX246" t="n">
        <v>91</v>
      </c>
      <c r="FY246" t="n">
        <v>48</v>
      </c>
      <c r="GA246" t="inlineStr"/>
      <c r="GD246" t="n">
        <v>1</v>
      </c>
      <c r="GF246" t="n">
        <v>-228955380</v>
      </c>
      <c r="GG246" t="n">
        <v>2</v>
      </c>
      <c r="GH246" t="n">
        <v>1</v>
      </c>
      <c r="GI246" t="n">
        <v>2</v>
      </c>
      <c r="GJ246" t="n">
        <v>0</v>
      </c>
      <c r="GK246" t="n">
        <v>0</v>
      </c>
      <c r="GL246">
        <f>ROUND(IF(AND(BH246=3,BI246=3,FS246&lt;&gt;0),P246,0),0)</f>
        <v/>
      </c>
      <c r="GM246">
        <f>ROUND(O246+X246+Y246,0)+GX246</f>
        <v/>
      </c>
      <c r="GN246">
        <f>IF(OR(BI246=0,BI246=1),GM246-GX246,0)</f>
        <v/>
      </c>
      <c r="GO246">
        <f>IF(BI246=2,GM246-GX246,0)</f>
        <v/>
      </c>
      <c r="GP246">
        <f>IF(BI246=4,GM246-GX246,0)</f>
        <v/>
      </c>
      <c r="GR246" t="n">
        <v>0</v>
      </c>
      <c r="GS246" t="n">
        <v>3</v>
      </c>
      <c r="GT246" t="n">
        <v>0</v>
      </c>
      <c r="GU246" t="inlineStr"/>
      <c r="GV246">
        <f>ROUND((GT246),2)</f>
        <v/>
      </c>
      <c r="GW246" t="n">
        <v>1</v>
      </c>
      <c r="GX246">
        <f>ROUND(HC246*I246,0)</f>
        <v/>
      </c>
      <c r="HA246" t="n">
        <v>0</v>
      </c>
      <c r="HB246" t="n">
        <v>0</v>
      </c>
      <c r="HC246">
        <f>GV246*GW246</f>
        <v/>
      </c>
      <c r="HE246" t="inlineStr"/>
      <c r="HF246" t="inlineStr"/>
      <c r="HM246" t="inlineStr"/>
      <c r="HN246" t="inlineStr">
        <is>
          <t>Пр/812-101.0-1</t>
        </is>
      </c>
      <c r="HO246" t="inlineStr">
        <is>
          <t>Пр/774-101.0</t>
        </is>
      </c>
      <c r="HP246" t="inlineStr">
        <is>
          <t>Электромонтажные работы</t>
        </is>
      </c>
      <c r="HQ246" t="inlineStr">
        <is>
          <t>Электромонтажные работы</t>
        </is>
      </c>
      <c r="HS246" t="n">
        <v>0</v>
      </c>
      <c r="IK246" t="n">
        <v>0</v>
      </c>
    </row>
    <row r="247">
      <c r="A247" t="n">
        <v>17</v>
      </c>
      <c r="B247" t="n">
        <v>0</v>
      </c>
      <c r="C247">
        <f>ROW(SmtRes!A126)</f>
        <v/>
      </c>
      <c r="D247">
        <f>ROW(EtalonRes!A118)</f>
        <v/>
      </c>
      <c r="E247" t="inlineStr">
        <is>
          <t>3</t>
        </is>
      </c>
      <c r="F247" t="inlineStr">
        <is>
          <t>65-5-1</t>
        </is>
      </c>
      <c r="G247" t="inlineStr">
        <is>
          <t>Смена вентилей и клапанов обратных муфтовых диаметром до 20 мм</t>
        </is>
      </c>
      <c r="H247" t="inlineStr">
        <is>
          <t>100 шт.</t>
        </is>
      </c>
      <c r="I247">
        <f>ROUND(ROUND(1/100,4),7)</f>
        <v/>
      </c>
      <c r="J247" t="n">
        <v>0</v>
      </c>
      <c r="K247">
        <f>ROUND(ROUND(1/100,4),7)</f>
        <v/>
      </c>
      <c r="O247">
        <f>ROUND(CP247,0)</f>
        <v/>
      </c>
      <c r="P247">
        <f>ROUND(CQ247*I247,0)</f>
        <v/>
      </c>
      <c r="Q247">
        <f>(ROUND((ROUND(((ET247)*I247),0)*BB247),0)+ROUND((ROUND(((AE247-(EU247))*I247),0)*BS247),0))</f>
        <v/>
      </c>
      <c r="R247">
        <f>(ROUND((ROUND(((EU247)*I247),0)*BS247),0)+ROUND((ROUND(((AE247-(EU247))*I247),0)*BS247),0))</f>
        <v/>
      </c>
      <c r="S247">
        <f>ROUND(CT247*I247,0)</f>
        <v/>
      </c>
      <c r="T247">
        <f>ROUND(CU247*I247,0)</f>
        <v/>
      </c>
      <c r="U247">
        <f>ROUND(CV247*I247,7)</f>
        <v/>
      </c>
      <c r="V247">
        <f>ROUND(CW247*I247,7)</f>
        <v/>
      </c>
      <c r="W247">
        <f>ROUND(CX247*I247,0)</f>
        <v/>
      </c>
      <c r="X247">
        <f>ROUND(CY247,0)</f>
        <v/>
      </c>
      <c r="Y247">
        <f>ROUND(CZ247,0)</f>
        <v/>
      </c>
      <c r="AA247" t="n">
        <v>78869116</v>
      </c>
      <c r="AB247">
        <f>ROUND((AC247+AD247+AF247),2)</f>
        <v/>
      </c>
      <c r="AC247">
        <f>ROUND((ES247),2)</f>
        <v/>
      </c>
      <c r="AD247">
        <f>ROUND((((ET247)-(EU247))+AE247),2)</f>
        <v/>
      </c>
      <c r="AE247">
        <f>ROUND((EU247),2)</f>
        <v/>
      </c>
      <c r="AF247">
        <f>ROUND((EV247),2)</f>
        <v/>
      </c>
      <c r="AG247">
        <f>ROUND((AP247),2)</f>
        <v/>
      </c>
      <c r="AH247">
        <f>(EW247)</f>
        <v/>
      </c>
      <c r="AI247">
        <f>(EX247)</f>
        <v/>
      </c>
      <c r="AJ247">
        <f>(AS247)</f>
        <v/>
      </c>
      <c r="AK247" t="n">
        <v>2979.16</v>
      </c>
      <c r="AL247" t="n">
        <v>2240.13</v>
      </c>
      <c r="AM247" t="n">
        <v>4.36</v>
      </c>
      <c r="AN247" t="n">
        <v>0</v>
      </c>
      <c r="AO247" t="n">
        <v>734.67</v>
      </c>
      <c r="AP247" t="n">
        <v>0</v>
      </c>
      <c r="AQ247" t="n">
        <v>81</v>
      </c>
      <c r="AR247" t="n">
        <v>0</v>
      </c>
      <c r="AS247" t="n">
        <v>0</v>
      </c>
      <c r="AT247" t="n">
        <v>103</v>
      </c>
      <c r="AU247" t="n">
        <v>52</v>
      </c>
      <c r="AV247" t="n">
        <v>1</v>
      </c>
      <c r="AW247" t="n">
        <v>1</v>
      </c>
      <c r="AZ247" t="n">
        <v>1</v>
      </c>
      <c r="BA247" t="n">
        <v>52.25</v>
      </c>
      <c r="BB247" t="n">
        <v>24.98</v>
      </c>
      <c r="BC247" t="n">
        <v>10.16</v>
      </c>
      <c r="BD247" t="inlineStr"/>
      <c r="BE247" t="inlineStr"/>
      <c r="BF247" t="inlineStr"/>
      <c r="BG247" t="inlineStr"/>
      <c r="BH247" t="n">
        <v>0</v>
      </c>
      <c r="BI247" t="n">
        <v>1</v>
      </c>
      <c r="BJ247" t="inlineStr">
        <is>
          <t>ТЕРр Московской обл., 65-5-1, приказ Минстроя России №675/пр от 28.02.2017 № 263/пр</t>
        </is>
      </c>
      <c r="BM247" t="n">
        <v>65007</v>
      </c>
      <c r="BN247" t="n">
        <v>0</v>
      </c>
      <c r="BO247" t="inlineStr">
        <is>
          <t>65-5-1</t>
        </is>
      </c>
      <c r="BP247" t="n">
        <v>1</v>
      </c>
      <c r="BQ247" t="n">
        <v>6</v>
      </c>
      <c r="BR247" t="n">
        <v>0</v>
      </c>
      <c r="BS247" t="n">
        <v>52.25</v>
      </c>
      <c r="BT247" t="n">
        <v>1</v>
      </c>
      <c r="BU247" t="n">
        <v>1</v>
      </c>
      <c r="BV247" t="n">
        <v>1</v>
      </c>
      <c r="BW247" t="n">
        <v>1</v>
      </c>
      <c r="BX247" t="n">
        <v>1</v>
      </c>
      <c r="BY247" t="inlineStr"/>
      <c r="BZ247" t="n">
        <v>103</v>
      </c>
      <c r="CA247" t="n">
        <v>52</v>
      </c>
      <c r="CB247" t="inlineStr"/>
      <c r="CE247" t="n">
        <v>12</v>
      </c>
      <c r="CF247" t="n">
        <v>0</v>
      </c>
      <c r="CG247" t="n">
        <v>0</v>
      </c>
      <c r="CM247" t="n">
        <v>0</v>
      </c>
      <c r="CN247" t="inlineStr"/>
      <c r="CO247" t="n">
        <v>0</v>
      </c>
      <c r="CP247">
        <f>(P247+Q247+S247)</f>
        <v/>
      </c>
      <c r="CQ247">
        <f>AC247*BC247</f>
        <v/>
      </c>
      <c r="CR247">
        <f>(ROUND((ROUND(((ET247)*1),0)*BB247),0)+ROUND((ROUND(((AE247-(EU247))*1),0)*BS247),0))</f>
        <v/>
      </c>
      <c r="CS247">
        <f>(ROUND((ROUND(((EU247)*1),0)*BS247),0)+ROUND((ROUND(((AE247-(EU247))*1),0)*BS247),0))</f>
        <v/>
      </c>
      <c r="CT247">
        <f>AF247*BA247</f>
        <v/>
      </c>
      <c r="CU247">
        <f>AG247</f>
        <v/>
      </c>
      <c r="CV247">
        <f>AH247</f>
        <v/>
      </c>
      <c r="CW247">
        <f>AI247</f>
        <v/>
      </c>
      <c r="CX247">
        <f>AJ247</f>
        <v/>
      </c>
      <c r="CY247">
        <f>(((S247+R247)*AT247)/100)</f>
        <v/>
      </c>
      <c r="CZ247">
        <f>(((S247+R247)*AU247)/100)</f>
        <v/>
      </c>
      <c r="DC247" t="inlineStr"/>
      <c r="DD247" t="inlineStr"/>
      <c r="DE247" t="inlineStr"/>
      <c r="DF247" t="inlineStr"/>
      <c r="DG247" t="inlineStr"/>
      <c r="DH247" t="inlineStr"/>
      <c r="DI247" t="inlineStr"/>
      <c r="DJ247" t="inlineStr"/>
      <c r="DK247" t="inlineStr"/>
      <c r="DL247" t="inlineStr"/>
      <c r="DM247" t="inlineStr"/>
      <c r="DN247" t="n">
        <v>0</v>
      </c>
      <c r="DO247" t="n">
        <v>0</v>
      </c>
      <c r="DP247" t="n">
        <v>1</v>
      </c>
      <c r="DQ247" t="n">
        <v>1</v>
      </c>
      <c r="DU247" t="n">
        <v>1010</v>
      </c>
      <c r="DV247" t="inlineStr">
        <is>
          <t>100 шт.</t>
        </is>
      </c>
      <c r="DW247" t="inlineStr">
        <is>
          <t>100 шт.</t>
        </is>
      </c>
      <c r="DX247" t="n">
        <v>100</v>
      </c>
      <c r="DZ247" t="inlineStr"/>
      <c r="EA247" t="inlineStr"/>
      <c r="EB247" t="inlineStr"/>
      <c r="EC247" t="inlineStr"/>
      <c r="EE247" t="n">
        <v>78726000</v>
      </c>
      <c r="EF247" t="n">
        <v>6</v>
      </c>
      <c r="EG247" t="inlineStr">
        <is>
          <t>Ремонтно-строительные работы</t>
        </is>
      </c>
      <c r="EH247" t="n">
        <v>99</v>
      </c>
      <c r="EI247" t="inlineStr">
        <is>
          <t>Внутренние санитарно-технические работы</t>
        </is>
      </c>
      <c r="EJ247" t="n">
        <v>1</v>
      </c>
      <c r="EK247" t="n">
        <v>65007</v>
      </c>
      <c r="EL247" t="inlineStr">
        <is>
          <t>Внутренние санитарнотехнические работы: смена труб, санприборов, запорной арматуры и другое</t>
        </is>
      </c>
      <c r="EM247" t="inlineStr">
        <is>
          <t>рФЕР-65</t>
        </is>
      </c>
      <c r="EO247" t="inlineStr"/>
      <c r="EQ247" t="n">
        <v>0</v>
      </c>
      <c r="ER247" t="n">
        <v>2979.16</v>
      </c>
      <c r="ES247" t="n">
        <v>2240.13</v>
      </c>
      <c r="ET247" t="n">
        <v>4.36</v>
      </c>
      <c r="EU247" t="n">
        <v>0</v>
      </c>
      <c r="EV247" t="n">
        <v>734.67</v>
      </c>
      <c r="EW247" t="n">
        <v>81</v>
      </c>
      <c r="EX247" t="n">
        <v>0</v>
      </c>
      <c r="EY247" t="n">
        <v>0</v>
      </c>
      <c r="FQ247" t="n">
        <v>0</v>
      </c>
      <c r="FR247" t="n">
        <v>0</v>
      </c>
      <c r="FS247" t="n">
        <v>0</v>
      </c>
      <c r="FX247" t="n">
        <v>103</v>
      </c>
      <c r="FY247" t="n">
        <v>52</v>
      </c>
      <c r="GA247" t="inlineStr"/>
      <c r="GD247" t="n">
        <v>1</v>
      </c>
      <c r="GF247" t="n">
        <v>152852496</v>
      </c>
      <c r="GG247" t="n">
        <v>2</v>
      </c>
      <c r="GH247" t="n">
        <v>1</v>
      </c>
      <c r="GI247" t="n">
        <v>2</v>
      </c>
      <c r="GJ247" t="n">
        <v>0</v>
      </c>
      <c r="GK247" t="n">
        <v>0</v>
      </c>
      <c r="GL247">
        <f>ROUND(IF(AND(BH247=3,BI247=3,FS247&lt;&gt;0),P247,0),0)</f>
        <v/>
      </c>
      <c r="GM247">
        <f>ROUND(O247+X247+Y247,0)+GX247</f>
        <v/>
      </c>
      <c r="GN247">
        <f>IF(OR(BI247=0,BI247=1),GM247-GX247,0)</f>
        <v/>
      </c>
      <c r="GO247">
        <f>IF(BI247=2,GM247-GX247,0)</f>
        <v/>
      </c>
      <c r="GP247">
        <f>IF(BI247=4,GM247-GX247,0)</f>
        <v/>
      </c>
      <c r="GR247" t="n">
        <v>0</v>
      </c>
      <c r="GS247" t="n">
        <v>3</v>
      </c>
      <c r="GT247" t="n">
        <v>0</v>
      </c>
      <c r="GU247" t="inlineStr"/>
      <c r="GV247">
        <f>ROUND((GT247),2)</f>
        <v/>
      </c>
      <c r="GW247" t="n">
        <v>1</v>
      </c>
      <c r="GX247">
        <f>ROUND(HC247*I247,0)</f>
        <v/>
      </c>
      <c r="HA247" t="n">
        <v>0</v>
      </c>
      <c r="HB247" t="n">
        <v>0</v>
      </c>
      <c r="HC247">
        <f>GV247*GW247</f>
        <v/>
      </c>
      <c r="HE247" t="inlineStr"/>
      <c r="HF247" t="inlineStr"/>
      <c r="HM247" t="inlineStr"/>
      <c r="HN247" t="inlineStr">
        <is>
          <t>Пр/812-099.2-1</t>
        </is>
      </c>
      <c r="HO247" t="inlineStr">
        <is>
          <t>Пр/774-099.2</t>
        </is>
      </c>
      <c r="HP247" t="inlineStr">
        <is>
          <t>Внутренние санитарнотехнические работы: смена труб, санприборов, запорной арматуры и другое</t>
        </is>
      </c>
      <c r="HQ247" t="inlineStr">
        <is>
          <t>Внутренние санитарнотехнические работы: смена труб, санприборов, запорной арматуры и другое</t>
        </is>
      </c>
      <c r="HS247" t="n">
        <v>0</v>
      </c>
      <c r="IK247" t="n">
        <v>0</v>
      </c>
    </row>
    <row r="248">
      <c r="A248" t="n">
        <v>18</v>
      </c>
      <c r="B248" t="n">
        <v>0</v>
      </c>
      <c r="C248" t="n">
        <v>126</v>
      </c>
      <c r="E248" t="inlineStr">
        <is>
          <t>3,1</t>
        </is>
      </c>
      <c r="F248" t="inlineStr">
        <is>
          <t>509-9899</t>
        </is>
      </c>
      <c r="G248" t="inlineStr">
        <is>
          <t>Строительный мусор и масса возвратных материалов</t>
        </is>
      </c>
      <c r="H248" t="inlineStr">
        <is>
          <t>т</t>
        </is>
      </c>
      <c r="I248">
        <f>I247*J248</f>
        <v/>
      </c>
      <c r="J248" t="n">
        <v>0.04</v>
      </c>
      <c r="K248" t="n">
        <v>0.04</v>
      </c>
      <c r="O248">
        <f>ROUND(CP248,0)</f>
        <v/>
      </c>
      <c r="P248">
        <f>ROUND(CQ248*I248,0)</f>
        <v/>
      </c>
      <c r="Q248">
        <f>(ROUND((ROUND(((ET248)*I248),0)*BB248),0)+ROUND((ROUND(((AE248-(EU248))*I248),0)*BS248),0))</f>
        <v/>
      </c>
      <c r="R248">
        <f>(ROUND((ROUND(((EU248)*I248),0)*BS248),0)+ROUND((ROUND(((AE248-(EU248))*I248),0)*BS248),0))</f>
        <v/>
      </c>
      <c r="S248">
        <f>ROUND(CT248*I248,0)</f>
        <v/>
      </c>
      <c r="T248">
        <f>ROUND(CU248*I248,0)</f>
        <v/>
      </c>
      <c r="U248">
        <f>ROUND(CV248*I248,7)</f>
        <v/>
      </c>
      <c r="V248">
        <f>ROUND(CW248*I248,7)</f>
        <v/>
      </c>
      <c r="W248">
        <f>ROUND(CX248*I248,0)</f>
        <v/>
      </c>
      <c r="X248">
        <f>ROUND(CY248,0)</f>
        <v/>
      </c>
      <c r="Y248">
        <f>ROUND(CZ248,0)</f>
        <v/>
      </c>
      <c r="AA248" t="n">
        <v>78869116</v>
      </c>
      <c r="AB248">
        <f>ROUND((AC248+AD248+AF248),2)</f>
        <v/>
      </c>
      <c r="AC248">
        <f>ROUND((ES248),2)</f>
        <v/>
      </c>
      <c r="AD248">
        <f>ROUND((((ET248)-(EU248))+AE248),2)</f>
        <v/>
      </c>
      <c r="AE248">
        <f>ROUND((EU248),2)</f>
        <v/>
      </c>
      <c r="AF248">
        <f>ROUND((EV248),2)</f>
        <v/>
      </c>
      <c r="AG248">
        <f>ROUND((AP248),2)</f>
        <v/>
      </c>
      <c r="AH248">
        <f>(EW248)</f>
        <v/>
      </c>
      <c r="AI248">
        <f>(EX248)</f>
        <v/>
      </c>
      <c r="AJ248">
        <f>(AS248)</f>
        <v/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  <c r="AS248" t="n">
        <v>0</v>
      </c>
      <c r="AT248" t="n">
        <v>103</v>
      </c>
      <c r="AU248" t="n">
        <v>52</v>
      </c>
      <c r="AV248" t="n">
        <v>1</v>
      </c>
      <c r="AW248" t="n">
        <v>1</v>
      </c>
      <c r="AZ248" t="n">
        <v>1</v>
      </c>
      <c r="BA248" t="n">
        <v>1</v>
      </c>
      <c r="BB248" t="n">
        <v>1</v>
      </c>
      <c r="BC248" t="n">
        <v>1</v>
      </c>
      <c r="BD248" t="inlineStr"/>
      <c r="BE248" t="inlineStr"/>
      <c r="BF248" t="inlineStr"/>
      <c r="BG248" t="inlineStr"/>
      <c r="BH248" t="n">
        <v>3</v>
      </c>
      <c r="BI248" t="n">
        <v>1</v>
      </c>
      <c r="BJ248" t="inlineStr">
        <is>
          <t>ТССЦ Московской обл., 509-9899, приказ Минстроя России №675/пр от 28.02.2017 № 258/пр</t>
        </is>
      </c>
      <c r="BM248" t="n">
        <v>65007</v>
      </c>
      <c r="BN248" t="n">
        <v>0</v>
      </c>
      <c r="BO248" t="inlineStr"/>
      <c r="BP248" t="n">
        <v>0</v>
      </c>
      <c r="BQ248" t="n">
        <v>6</v>
      </c>
      <c r="BR248" t="n">
        <v>0</v>
      </c>
      <c r="BS248" t="n">
        <v>1</v>
      </c>
      <c r="BT248" t="n">
        <v>1</v>
      </c>
      <c r="BU248" t="n">
        <v>1</v>
      </c>
      <c r="BV248" t="n">
        <v>1</v>
      </c>
      <c r="BW248" t="n">
        <v>1</v>
      </c>
      <c r="BX248" t="n">
        <v>1</v>
      </c>
      <c r="BY248" t="inlineStr"/>
      <c r="BZ248" t="n">
        <v>103</v>
      </c>
      <c r="CA248" t="n">
        <v>52</v>
      </c>
      <c r="CB248" t="inlineStr"/>
      <c r="CE248" t="n">
        <v>12</v>
      </c>
      <c r="CF248" t="n">
        <v>0</v>
      </c>
      <c r="CG248" t="n">
        <v>0</v>
      </c>
      <c r="CM248" t="n">
        <v>0</v>
      </c>
      <c r="CN248" t="inlineStr"/>
      <c r="CO248" t="n">
        <v>0</v>
      </c>
      <c r="CP248">
        <f>(P248+Q248+S248)</f>
        <v/>
      </c>
      <c r="CQ248">
        <f>AC248*BC248</f>
        <v/>
      </c>
      <c r="CR248">
        <f>(ROUND((ROUND(((ET248)*1),0)*BB248),0)+ROUND((ROUND(((AE248-(EU248))*1),0)*BS248),0))</f>
        <v/>
      </c>
      <c r="CS248">
        <f>(ROUND((ROUND(((EU248)*1),0)*BS248),0)+ROUND((ROUND(((AE248-(EU248))*1),0)*BS248),0))</f>
        <v/>
      </c>
      <c r="CT248">
        <f>AF248*BA248</f>
        <v/>
      </c>
      <c r="CU248">
        <f>AG248</f>
        <v/>
      </c>
      <c r="CV248">
        <f>AH248</f>
        <v/>
      </c>
      <c r="CW248">
        <f>AI248</f>
        <v/>
      </c>
      <c r="CX248">
        <f>AJ248</f>
        <v/>
      </c>
      <c r="CY248">
        <f>(((S248+R248)*AT248)/100)</f>
        <v/>
      </c>
      <c r="CZ248">
        <f>(((S248+R248)*AU248)/100)</f>
        <v/>
      </c>
      <c r="DC248" t="inlineStr"/>
      <c r="DD248" t="inlineStr"/>
      <c r="DE248" t="inlineStr"/>
      <c r="DF248" t="inlineStr"/>
      <c r="DG248" t="inlineStr"/>
      <c r="DH248" t="inlineStr"/>
      <c r="DI248" t="inlineStr"/>
      <c r="DJ248" t="inlineStr"/>
      <c r="DK248" t="inlineStr"/>
      <c r="DL248" t="inlineStr"/>
      <c r="DM248" t="inlineStr"/>
      <c r="DN248" t="n">
        <v>0</v>
      </c>
      <c r="DO248" t="n">
        <v>0</v>
      </c>
      <c r="DP248" t="n">
        <v>1</v>
      </c>
      <c r="DQ248" t="n">
        <v>1</v>
      </c>
      <c r="DU248" t="n">
        <v>1009</v>
      </c>
      <c r="DV248" t="inlineStr">
        <is>
          <t>т</t>
        </is>
      </c>
      <c r="DW248" t="inlineStr">
        <is>
          <t>т</t>
        </is>
      </c>
      <c r="DX248" t="n">
        <v>1000</v>
      </c>
      <c r="DZ248" t="inlineStr"/>
      <c r="EA248" t="inlineStr"/>
      <c r="EB248" t="inlineStr"/>
      <c r="EC248" t="inlineStr"/>
      <c r="EE248" t="n">
        <v>78726000</v>
      </c>
      <c r="EF248" t="n">
        <v>6</v>
      </c>
      <c r="EG248" t="inlineStr">
        <is>
          <t>Ремонтно-строительные работы</t>
        </is>
      </c>
      <c r="EH248" t="n">
        <v>99</v>
      </c>
      <c r="EI248" t="inlineStr">
        <is>
          <t>Внутренние санитарно-технические работы</t>
        </is>
      </c>
      <c r="EJ248" t="n">
        <v>1</v>
      </c>
      <c r="EK248" t="n">
        <v>65007</v>
      </c>
      <c r="EL248" t="inlineStr">
        <is>
          <t>Внутренние санитарнотехнические работы: смена труб, санприборов, запорной арматуры и другое</t>
        </is>
      </c>
      <c r="EM248" t="inlineStr">
        <is>
          <t>рФЕР-65</t>
        </is>
      </c>
      <c r="EO248" t="inlineStr"/>
      <c r="EQ248" t="n">
        <v>0</v>
      </c>
      <c r="ER248" t="n">
        <v>0</v>
      </c>
      <c r="ES248" t="n">
        <v>0</v>
      </c>
      <c r="ET248" t="n">
        <v>0</v>
      </c>
      <c r="EU248" t="n">
        <v>0</v>
      </c>
      <c r="EV248" t="n">
        <v>0</v>
      </c>
      <c r="EW248" t="n">
        <v>0</v>
      </c>
      <c r="EX248" t="n">
        <v>0</v>
      </c>
      <c r="FQ248" t="n">
        <v>0</v>
      </c>
      <c r="FR248" t="n">
        <v>0</v>
      </c>
      <c r="FS248" t="n">
        <v>0</v>
      </c>
      <c r="FX248" t="n">
        <v>103</v>
      </c>
      <c r="FY248" t="n">
        <v>52</v>
      </c>
      <c r="GA248" t="inlineStr"/>
      <c r="GD248" t="n">
        <v>1</v>
      </c>
      <c r="GF248" t="n">
        <v>1839160745</v>
      </c>
      <c r="GG248" t="n">
        <v>2</v>
      </c>
      <c r="GH248" t="n">
        <v>1</v>
      </c>
      <c r="GI248" t="n">
        <v>-2</v>
      </c>
      <c r="GJ248" t="n">
        <v>0</v>
      </c>
      <c r="GK248" t="n">
        <v>0</v>
      </c>
      <c r="GL248">
        <f>ROUND(IF(AND(BH248=3,BI248=3,FS248&lt;&gt;0),P248,0),0)</f>
        <v/>
      </c>
      <c r="GM248">
        <f>ROUND(O248+X248+Y248,0)+GX248</f>
        <v/>
      </c>
      <c r="GN248">
        <f>IF(OR(BI248=0,BI248=1),GM248-GX248,0)</f>
        <v/>
      </c>
      <c r="GO248">
        <f>IF(BI248=2,GM248-GX248,0)</f>
        <v/>
      </c>
      <c r="GP248">
        <f>IF(BI248=4,GM248-GX248,0)</f>
        <v/>
      </c>
      <c r="GR248" t="n">
        <v>0</v>
      </c>
      <c r="GS248" t="n">
        <v>3</v>
      </c>
      <c r="GT248" t="n">
        <v>0</v>
      </c>
      <c r="GU248" t="inlineStr"/>
      <c r="GV248">
        <f>ROUND((GT248),2)</f>
        <v/>
      </c>
      <c r="GW248" t="n">
        <v>1</v>
      </c>
      <c r="GX248">
        <f>ROUND(HC248*I248,0)</f>
        <v/>
      </c>
      <c r="HA248" t="n">
        <v>0</v>
      </c>
      <c r="HB248" t="n">
        <v>0</v>
      </c>
      <c r="HC248">
        <f>GV248*GW248</f>
        <v/>
      </c>
      <c r="HE248" t="inlineStr"/>
      <c r="HF248" t="inlineStr"/>
      <c r="HM248" t="inlineStr"/>
      <c r="HN248" t="inlineStr">
        <is>
          <t>Пр/812-099.2-1</t>
        </is>
      </c>
      <c r="HO248" t="inlineStr">
        <is>
          <t>Пр/774-099.2</t>
        </is>
      </c>
      <c r="HP248" t="inlineStr">
        <is>
          <t>Внутренние санитарнотехнические работы: смена труб, санприборов, запорной арматуры и другое</t>
        </is>
      </c>
      <c r="HQ248" t="inlineStr">
        <is>
          <t>Внутренние санитарнотехнические работы: смена труб, санприборов, запорной арматуры и другое</t>
        </is>
      </c>
      <c r="HS248" t="n">
        <v>0</v>
      </c>
      <c r="IK248" t="n">
        <v>0</v>
      </c>
    </row>
    <row r="249">
      <c r="A249" t="n">
        <v>18</v>
      </c>
      <c r="B249" t="n">
        <v>0</v>
      </c>
      <c r="C249" t="n">
        <v>124</v>
      </c>
      <c r="E249" t="inlineStr">
        <is>
          <t>3,2</t>
        </is>
      </c>
      <c r="F249" t="inlineStr">
        <is>
          <t>302-0062</t>
        </is>
      </c>
      <c r="G249" t="inlineStr">
        <is>
          <t>Кран шаровый муфтовый Valtec для воды диаметром 15 мм, тип в/в</t>
        </is>
      </c>
      <c r="H249" t="inlineStr">
        <is>
          <t>шт.</t>
        </is>
      </c>
      <c r="I249">
        <f>I247*J249</f>
        <v/>
      </c>
      <c r="J249" t="n">
        <v>200</v>
      </c>
      <c r="K249" t="n">
        <v>200</v>
      </c>
      <c r="O249">
        <f>ROUND(CP249,0)</f>
        <v/>
      </c>
      <c r="P249">
        <f>ROUND(CQ249*I249,0)</f>
        <v/>
      </c>
      <c r="Q249">
        <f>(ROUND((ROUND(((ET249)*I249),0)*BB249),0)+ROUND((ROUND(((AE249-(EU249))*I249),0)*BS249),0))</f>
        <v/>
      </c>
      <c r="R249">
        <f>(ROUND((ROUND(((EU249)*I249),0)*BS249),0)+ROUND((ROUND(((AE249-(EU249))*I249),0)*BS249),0))</f>
        <v/>
      </c>
      <c r="S249">
        <f>ROUND(CT249*I249,0)</f>
        <v/>
      </c>
      <c r="T249">
        <f>ROUND(CU249*I249,0)</f>
        <v/>
      </c>
      <c r="U249">
        <f>ROUND(CV249*I249,7)</f>
        <v/>
      </c>
      <c r="V249">
        <f>ROUND(CW249*I249,7)</f>
        <v/>
      </c>
      <c r="W249">
        <f>ROUND(CX249*I249,0)</f>
        <v/>
      </c>
      <c r="X249">
        <f>ROUND(CY249,0)</f>
        <v/>
      </c>
      <c r="Y249">
        <f>ROUND(CZ249,0)</f>
        <v/>
      </c>
      <c r="AA249" t="n">
        <v>78869116</v>
      </c>
      <c r="AB249">
        <f>ROUND((AC249+AD249+AF249),2)</f>
        <v/>
      </c>
      <c r="AC249">
        <f>ROUND((ES249),2)</f>
        <v/>
      </c>
      <c r="AD249">
        <f>ROUND((((ET249)-(EU249))+AE249),2)</f>
        <v/>
      </c>
      <c r="AE249">
        <f>ROUND((EU249),2)</f>
        <v/>
      </c>
      <c r="AF249">
        <f>ROUND((EV249),2)</f>
        <v/>
      </c>
      <c r="AG249">
        <f>ROUND((AP249),2)</f>
        <v/>
      </c>
      <c r="AH249">
        <f>(EW249)</f>
        <v/>
      </c>
      <c r="AI249">
        <f>(EX249)</f>
        <v/>
      </c>
      <c r="AJ249">
        <f>(AS249)</f>
        <v/>
      </c>
      <c r="AK249" t="n">
        <v>28.53</v>
      </c>
      <c r="AL249" t="n">
        <v>28.53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  <c r="AS249" t="n">
        <v>0.01</v>
      </c>
      <c r="AT249" t="n">
        <v>103</v>
      </c>
      <c r="AU249" t="n">
        <v>52</v>
      </c>
      <c r="AV249" t="n">
        <v>1</v>
      </c>
      <c r="AW249" t="n">
        <v>1</v>
      </c>
      <c r="AZ249" t="n">
        <v>1</v>
      </c>
      <c r="BA249" t="n">
        <v>1</v>
      </c>
      <c r="BB249" t="n">
        <v>1</v>
      </c>
      <c r="BC249" t="n">
        <v>13.47</v>
      </c>
      <c r="BD249" t="inlineStr"/>
      <c r="BE249" t="inlineStr"/>
      <c r="BF249" t="inlineStr"/>
      <c r="BG249" t="inlineStr"/>
      <c r="BH249" t="n">
        <v>3</v>
      </c>
      <c r="BI249" t="n">
        <v>1</v>
      </c>
      <c r="BJ249" t="inlineStr">
        <is>
          <t>ТССЦ Московской обл., 302-0062, приказ Минстроя России №675/пр от 28.02.2017 № 256/пр</t>
        </is>
      </c>
      <c r="BM249" t="n">
        <v>65007</v>
      </c>
      <c r="BN249" t="n">
        <v>0</v>
      </c>
      <c r="BO249" t="inlineStr">
        <is>
          <t>302-0062</t>
        </is>
      </c>
      <c r="BP249" t="n">
        <v>1</v>
      </c>
      <c r="BQ249" t="n">
        <v>6</v>
      </c>
      <c r="BR249" t="n">
        <v>0</v>
      </c>
      <c r="BS249" t="n">
        <v>1</v>
      </c>
      <c r="BT249" t="n">
        <v>1</v>
      </c>
      <c r="BU249" t="n">
        <v>1</v>
      </c>
      <c r="BV249" t="n">
        <v>1</v>
      </c>
      <c r="BW249" t="n">
        <v>1</v>
      </c>
      <c r="BX249" t="n">
        <v>1</v>
      </c>
      <c r="BY249" t="inlineStr"/>
      <c r="BZ249" t="n">
        <v>103</v>
      </c>
      <c r="CA249" t="n">
        <v>52</v>
      </c>
      <c r="CB249" t="inlineStr"/>
      <c r="CE249" t="n">
        <v>12</v>
      </c>
      <c r="CF249" t="n">
        <v>0</v>
      </c>
      <c r="CG249" t="n">
        <v>0</v>
      </c>
      <c r="CM249" t="n">
        <v>0</v>
      </c>
      <c r="CN249" t="inlineStr"/>
      <c r="CO249" t="n">
        <v>0</v>
      </c>
      <c r="CP249">
        <f>(P249+Q249+S249)</f>
        <v/>
      </c>
      <c r="CQ249">
        <f>AC249*BC249</f>
        <v/>
      </c>
      <c r="CR249">
        <f>(ROUND((ROUND(((ET249)*1),0)*BB249),0)+ROUND((ROUND(((AE249-(EU249))*1),0)*BS249),0))</f>
        <v/>
      </c>
      <c r="CS249">
        <f>(ROUND((ROUND(((EU249)*1),0)*BS249),0)+ROUND((ROUND(((AE249-(EU249))*1),0)*BS249),0))</f>
        <v/>
      </c>
      <c r="CT249">
        <f>AF249*BA249</f>
        <v/>
      </c>
      <c r="CU249">
        <f>AG249</f>
        <v/>
      </c>
      <c r="CV249">
        <f>AH249</f>
        <v/>
      </c>
      <c r="CW249">
        <f>AI249</f>
        <v/>
      </c>
      <c r="CX249">
        <f>AJ249</f>
        <v/>
      </c>
      <c r="CY249">
        <f>(((S249+R249)*AT249)/100)</f>
        <v/>
      </c>
      <c r="CZ249">
        <f>(((S249+R249)*AU249)/100)</f>
        <v/>
      </c>
      <c r="DC249" t="inlineStr"/>
      <c r="DD249" t="inlineStr"/>
      <c r="DE249" t="inlineStr"/>
      <c r="DF249" t="inlineStr"/>
      <c r="DG249" t="inlineStr"/>
      <c r="DH249" t="inlineStr"/>
      <c r="DI249" t="inlineStr"/>
      <c r="DJ249" t="inlineStr"/>
      <c r="DK249" t="inlineStr"/>
      <c r="DL249" t="inlineStr"/>
      <c r="DM249" t="inlineStr"/>
      <c r="DN249" t="n">
        <v>0</v>
      </c>
      <c r="DO249" t="n">
        <v>0</v>
      </c>
      <c r="DP249" t="n">
        <v>1</v>
      </c>
      <c r="DQ249" t="n">
        <v>1</v>
      </c>
      <c r="DU249" t="n">
        <v>1010</v>
      </c>
      <c r="DV249" t="inlineStr">
        <is>
          <t>шт.</t>
        </is>
      </c>
      <c r="DW249" t="inlineStr">
        <is>
          <t>шт.</t>
        </is>
      </c>
      <c r="DX249" t="n">
        <v>1</v>
      </c>
      <c r="DZ249" t="inlineStr"/>
      <c r="EA249" t="inlineStr"/>
      <c r="EB249" t="inlineStr"/>
      <c r="EC249" t="inlineStr"/>
      <c r="EE249" t="n">
        <v>78726000</v>
      </c>
      <c r="EF249" t="n">
        <v>6</v>
      </c>
      <c r="EG249" t="inlineStr">
        <is>
          <t>Ремонтно-строительные работы</t>
        </is>
      </c>
      <c r="EH249" t="n">
        <v>99</v>
      </c>
      <c r="EI249" t="inlineStr">
        <is>
          <t>Внутренние санитарно-технические работы</t>
        </is>
      </c>
      <c r="EJ249" t="n">
        <v>1</v>
      </c>
      <c r="EK249" t="n">
        <v>65007</v>
      </c>
      <c r="EL249" t="inlineStr">
        <is>
          <t>Внутренние санитарнотехнические работы: смена труб, санприборов, запорной арматуры и другое</t>
        </is>
      </c>
      <c r="EM249" t="inlineStr">
        <is>
          <t>рФЕР-65</t>
        </is>
      </c>
      <c r="EO249" t="inlineStr"/>
      <c r="EQ249" t="n">
        <v>0</v>
      </c>
      <c r="ER249" t="n">
        <v>28.53</v>
      </c>
      <c r="ES249" t="n">
        <v>28.53</v>
      </c>
      <c r="ET249" t="n">
        <v>0</v>
      </c>
      <c r="EU249" t="n">
        <v>0</v>
      </c>
      <c r="EV249" t="n">
        <v>0</v>
      </c>
      <c r="EW249" t="n">
        <v>0</v>
      </c>
      <c r="EX249" t="n">
        <v>0</v>
      </c>
      <c r="FQ249" t="n">
        <v>0</v>
      </c>
      <c r="FR249" t="n">
        <v>0</v>
      </c>
      <c r="FS249" t="n">
        <v>0</v>
      </c>
      <c r="FX249" t="n">
        <v>103</v>
      </c>
      <c r="FY249" t="n">
        <v>52</v>
      </c>
      <c r="GA249" t="inlineStr"/>
      <c r="GD249" t="n">
        <v>1</v>
      </c>
      <c r="GF249" t="n">
        <v>-1687406522</v>
      </c>
      <c r="GG249" t="n">
        <v>2</v>
      </c>
      <c r="GH249" t="n">
        <v>1</v>
      </c>
      <c r="GI249" t="n">
        <v>2</v>
      </c>
      <c r="GJ249" t="n">
        <v>0</v>
      </c>
      <c r="GK249" t="n">
        <v>0</v>
      </c>
      <c r="GL249">
        <f>ROUND(IF(AND(BH249=3,BI249=3,FS249&lt;&gt;0),P249,0),0)</f>
        <v/>
      </c>
      <c r="GM249">
        <f>ROUND(O249+X249+Y249,0)+GX249</f>
        <v/>
      </c>
      <c r="GN249">
        <f>IF(OR(BI249=0,BI249=1),GM249-GX249,0)</f>
        <v/>
      </c>
      <c r="GO249">
        <f>IF(BI249=2,GM249-GX249,0)</f>
        <v/>
      </c>
      <c r="GP249">
        <f>IF(BI249=4,GM249-GX249,0)</f>
        <v/>
      </c>
      <c r="GR249" t="n">
        <v>0</v>
      </c>
      <c r="GS249" t="n">
        <v>3</v>
      </c>
      <c r="GT249" t="n">
        <v>0</v>
      </c>
      <c r="GU249" t="inlineStr"/>
      <c r="GV249">
        <f>ROUND((GT249),2)</f>
        <v/>
      </c>
      <c r="GW249" t="n">
        <v>1</v>
      </c>
      <c r="GX249">
        <f>ROUND(HC249*I249,0)</f>
        <v/>
      </c>
      <c r="HA249" t="n">
        <v>0</v>
      </c>
      <c r="HB249" t="n">
        <v>0</v>
      </c>
      <c r="HC249">
        <f>GV249*GW249</f>
        <v/>
      </c>
      <c r="HE249" t="inlineStr"/>
      <c r="HF249" t="inlineStr"/>
      <c r="HM249" t="inlineStr"/>
      <c r="HN249" t="inlineStr">
        <is>
          <t>Пр/812-099.2-1</t>
        </is>
      </c>
      <c r="HO249" t="inlineStr">
        <is>
          <t>Пр/774-099.2</t>
        </is>
      </c>
      <c r="HP249" t="inlineStr">
        <is>
          <t>Внутренние санитарнотехнические работы: смена труб, санприборов, запорной арматуры и другое</t>
        </is>
      </c>
      <c r="HQ249" t="inlineStr">
        <is>
          <t>Внутренние санитарнотехнические работы: смена труб, санприборов, запорной арматуры и другое</t>
        </is>
      </c>
      <c r="HS249" t="n">
        <v>0</v>
      </c>
      <c r="IK249" t="n">
        <v>0</v>
      </c>
    </row>
    <row r="250">
      <c r="A250" t="n">
        <v>17</v>
      </c>
      <c r="B250" t="n">
        <v>0</v>
      </c>
      <c r="C250">
        <f>ROW(SmtRes!A132)</f>
        <v/>
      </c>
      <c r="D250">
        <f>ROW(EtalonRes!A124)</f>
        <v/>
      </c>
      <c r="E250" t="inlineStr">
        <is>
          <t>4</t>
        </is>
      </c>
      <c r="F250" t="inlineStr">
        <is>
          <t>16-07-005-1</t>
        </is>
      </c>
      <c r="G25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50" t="inlineStr">
        <is>
          <t>100 м трубопровода</t>
        </is>
      </c>
      <c r="I250">
        <f>ROUND(ROUND(90/100,4),7)</f>
        <v/>
      </c>
      <c r="J250" t="n">
        <v>0</v>
      </c>
      <c r="K250">
        <f>ROUND(ROUND(90/100,4),7)</f>
        <v/>
      </c>
      <c r="O250">
        <f>ROUND(CP250,0)</f>
        <v/>
      </c>
      <c r="P250">
        <f>ROUND(CQ250*I250,0)</f>
        <v/>
      </c>
      <c r="Q250">
        <f>(ROUND((ROUND((((ET250*ROUND(4,7)))*I250),0)*BB250),0)+ROUND((ROUND(((AE250-((EU250*ROUND(4,7))))*I250),0)*BS250),0))</f>
        <v/>
      </c>
      <c r="R250">
        <f>(ROUND((ROUND((((EU250*ROUND(4,7)))*I250),0)*BS250),0)+ROUND((ROUND(((AE250-((EU250*ROUND(4,7))))*I250),0)*BS250),0))</f>
        <v/>
      </c>
      <c r="S250">
        <f>ROUND(CT250*I250,0)</f>
        <v/>
      </c>
      <c r="T250">
        <f>ROUND(CU250*I250,0)</f>
        <v/>
      </c>
      <c r="U250">
        <f>ROUND(CV250*I250,7)</f>
        <v/>
      </c>
      <c r="V250">
        <f>ROUND(CW250*I250,7)</f>
        <v/>
      </c>
      <c r="W250">
        <f>ROUND(CX250*I250,0)</f>
        <v/>
      </c>
      <c r="X250">
        <f>ROUND(CY250,0)</f>
        <v/>
      </c>
      <c r="Y250">
        <f>ROUND(CZ250,0)</f>
        <v/>
      </c>
      <c r="AA250" t="n">
        <v>78869116</v>
      </c>
      <c r="AB250">
        <f>ROUND((AC250+AD250+AF250),2)</f>
        <v/>
      </c>
      <c r="AC250">
        <f>ROUND((ES250),2)</f>
        <v/>
      </c>
      <c r="AD250">
        <f>ROUND(((((ET250*ROUND(4,7)))-((EU250*ROUND(4,7))))+AE250),2)</f>
        <v/>
      </c>
      <c r="AE250">
        <f>ROUND(((EU250*ROUND(4,7))),2)</f>
        <v/>
      </c>
      <c r="AF250">
        <f>ROUND(((EV250*ROUND(4,7))),2)</f>
        <v/>
      </c>
      <c r="AG250">
        <f>ROUND((AP250),2)</f>
        <v/>
      </c>
      <c r="AH250">
        <f>((EW250*ROUND(4,7)))</f>
        <v/>
      </c>
      <c r="AI250">
        <f>((EX250*ROUND(4,7)))</f>
        <v/>
      </c>
      <c r="AJ250">
        <f>(AS250)</f>
        <v/>
      </c>
      <c r="AK250" t="n">
        <v>107.11</v>
      </c>
      <c r="AL250" t="n">
        <v>4.28</v>
      </c>
      <c r="AM250" t="n">
        <v>44.51</v>
      </c>
      <c r="AN250" t="n">
        <v>0</v>
      </c>
      <c r="AO250" t="n">
        <v>58.32</v>
      </c>
      <c r="AP250" t="n">
        <v>0</v>
      </c>
      <c r="AQ250" t="n">
        <v>5.01</v>
      </c>
      <c r="AR250" t="n">
        <v>0</v>
      </c>
      <c r="AS250" t="n">
        <v>0</v>
      </c>
      <c r="AT250" t="n">
        <v>121</v>
      </c>
      <c r="AU250" t="n">
        <v>72</v>
      </c>
      <c r="AV250" t="n">
        <v>1</v>
      </c>
      <c r="AW250" t="n">
        <v>1</v>
      </c>
      <c r="AZ250" t="n">
        <v>1</v>
      </c>
      <c r="BA250" t="n">
        <v>52.25</v>
      </c>
      <c r="BB250" t="n">
        <v>5.97</v>
      </c>
      <c r="BC250" t="n">
        <v>11.38</v>
      </c>
      <c r="BD250" t="inlineStr"/>
      <c r="BE250" t="inlineStr"/>
      <c r="BF250" t="inlineStr"/>
      <c r="BG250" t="inlineStr"/>
      <c r="BH250" t="n">
        <v>0</v>
      </c>
      <c r="BI250" t="n">
        <v>1</v>
      </c>
      <c r="BJ250" t="inlineStr">
        <is>
          <t>ТЕР Московской обл., 16-07-005-1, приказ Минстроя России №675/пр от 28.02.2017 № 260/пр</t>
        </is>
      </c>
      <c r="BM250" t="n">
        <v>16001</v>
      </c>
      <c r="BN250" t="n">
        <v>0</v>
      </c>
      <c r="BO250" t="inlineStr">
        <is>
          <t>16-07-005-1</t>
        </is>
      </c>
      <c r="BP250" t="n">
        <v>1</v>
      </c>
      <c r="BQ250" t="n">
        <v>2</v>
      </c>
      <c r="BR250" t="n">
        <v>0</v>
      </c>
      <c r="BS250" t="n">
        <v>52.25</v>
      </c>
      <c r="BT250" t="n">
        <v>1</v>
      </c>
      <c r="BU250" t="n">
        <v>1</v>
      </c>
      <c r="BV250" t="n">
        <v>1</v>
      </c>
      <c r="BW250" t="n">
        <v>1</v>
      </c>
      <c r="BX250" t="n">
        <v>1</v>
      </c>
      <c r="BY250" t="inlineStr"/>
      <c r="BZ250" t="n">
        <v>121</v>
      </c>
      <c r="CA250" t="n">
        <v>72</v>
      </c>
      <c r="CB250" t="inlineStr"/>
      <c r="CE250" t="n">
        <v>12</v>
      </c>
      <c r="CF250" t="n">
        <v>0</v>
      </c>
      <c r="CG250" t="n">
        <v>0</v>
      </c>
      <c r="CM250" t="n">
        <v>0</v>
      </c>
      <c r="CN250" t="inlineStr"/>
      <c r="CO250" t="n">
        <v>0</v>
      </c>
      <c r="CP250">
        <f>(P250+Q250+S250)</f>
        <v/>
      </c>
      <c r="CQ250">
        <f>AC250*BC250</f>
        <v/>
      </c>
      <c r="CR250">
        <f>(ROUND((ROUND((((ET250*ROUND(4,7)))*1),0)*BB250),0)+ROUND((ROUND(((AE250-((EU250*ROUND(4,7))))*1),0)*BS250),0))</f>
        <v/>
      </c>
      <c r="CS250">
        <f>(ROUND((ROUND((((EU250*ROUND(4,7)))*1),0)*BS250),0)+ROUND((ROUND(((AE250-((EU250*ROUND(4,7))))*1),0)*BS250),0))</f>
        <v/>
      </c>
      <c r="CT250">
        <f>AF250*BA250</f>
        <v/>
      </c>
      <c r="CU250">
        <f>AG250</f>
        <v/>
      </c>
      <c r="CV250">
        <f>AH250</f>
        <v/>
      </c>
      <c r="CW250">
        <f>AI250</f>
        <v/>
      </c>
      <c r="CX250">
        <f>AJ250</f>
        <v/>
      </c>
      <c r="CY250">
        <f>(((S250+R250)*AT250)/100)</f>
        <v/>
      </c>
      <c r="CZ250">
        <f>(((S250+R250)*AU250)/100)</f>
        <v/>
      </c>
      <c r="DC250" t="inlineStr"/>
      <c r="DD250" t="inlineStr"/>
      <c r="DE250" t="inlineStr">
        <is>
          <t>)*4</t>
        </is>
      </c>
      <c r="DF250" t="inlineStr">
        <is>
          <t>)*4</t>
        </is>
      </c>
      <c r="DG250" t="inlineStr">
        <is>
          <t>)*4</t>
        </is>
      </c>
      <c r="DH250" t="inlineStr"/>
      <c r="DI250" t="inlineStr">
        <is>
          <t>)*4</t>
        </is>
      </c>
      <c r="DJ250" t="inlineStr">
        <is>
          <t>)*4</t>
        </is>
      </c>
      <c r="DK250" t="inlineStr"/>
      <c r="DL250" t="inlineStr"/>
      <c r="DM250" t="inlineStr"/>
      <c r="DN250" t="n">
        <v>0</v>
      </c>
      <c r="DO250" t="n">
        <v>0</v>
      </c>
      <c r="DP250" t="n">
        <v>1</v>
      </c>
      <c r="DQ250" t="n">
        <v>1</v>
      </c>
      <c r="DU250" t="n">
        <v>1013</v>
      </c>
      <c r="DV250" t="inlineStr">
        <is>
          <t>100 м трубопровода</t>
        </is>
      </c>
      <c r="DW250" t="inlineStr">
        <is>
          <t>100 м трубопровода</t>
        </is>
      </c>
      <c r="DX250" t="n">
        <v>1</v>
      </c>
      <c r="DZ250" t="inlineStr"/>
      <c r="EA250" t="inlineStr"/>
      <c r="EB250" t="inlineStr"/>
      <c r="EC250" t="inlineStr"/>
      <c r="EE250" t="n">
        <v>78725882</v>
      </c>
      <c r="EF250" t="n">
        <v>2</v>
      </c>
      <c r="EG250" t="inlineStr">
        <is>
          <t>Общестроительные работы</t>
        </is>
      </c>
      <c r="EH250" t="n">
        <v>16</v>
      </c>
      <c r="EI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0" t="n">
        <v>1</v>
      </c>
      <c r="EK250" t="n">
        <v>16001</v>
      </c>
      <c r="EL250" t="inlineStr">
        <is>
          <t>Трубопроводы внутренние</t>
        </is>
      </c>
      <c r="EM250" t="inlineStr">
        <is>
          <t>ФЕР-16</t>
        </is>
      </c>
      <c r="EO250" t="inlineStr"/>
      <c r="EQ250" t="n">
        <v>0</v>
      </c>
      <c r="ER250" t="n">
        <v>107.11</v>
      </c>
      <c r="ES250" t="n">
        <v>4.28</v>
      </c>
      <c r="ET250" t="n">
        <v>44.51</v>
      </c>
      <c r="EU250" t="n">
        <v>0</v>
      </c>
      <c r="EV250" t="n">
        <v>58.32</v>
      </c>
      <c r="EW250" t="n">
        <v>5.01</v>
      </c>
      <c r="EX250" t="n">
        <v>0</v>
      </c>
      <c r="EY250" t="n">
        <v>0</v>
      </c>
      <c r="FQ250" t="n">
        <v>0</v>
      </c>
      <c r="FR250" t="n">
        <v>0</v>
      </c>
      <c r="FS250" t="n">
        <v>0</v>
      </c>
      <c r="FX250" t="n">
        <v>121</v>
      </c>
      <c r="FY250" t="n">
        <v>72</v>
      </c>
      <c r="GA250" t="inlineStr"/>
      <c r="GD250" t="n">
        <v>1</v>
      </c>
      <c r="GF250" t="n">
        <v>635989612</v>
      </c>
      <c r="GG250" t="n">
        <v>2</v>
      </c>
      <c r="GH250" t="n">
        <v>1</v>
      </c>
      <c r="GI250" t="n">
        <v>2</v>
      </c>
      <c r="GJ250" t="n">
        <v>0</v>
      </c>
      <c r="GK250" t="n">
        <v>0</v>
      </c>
      <c r="GL250">
        <f>ROUND(IF(AND(BH250=3,BI250=3,FS250&lt;&gt;0),P250,0),0)</f>
        <v/>
      </c>
      <c r="GM250">
        <f>ROUND(O250+X250+Y250,0)+GX250</f>
        <v/>
      </c>
      <c r="GN250">
        <f>IF(OR(BI250=0,BI250=1),GM250-GX250,0)</f>
        <v/>
      </c>
      <c r="GO250">
        <f>IF(BI250=2,GM250-GX250,0)</f>
        <v/>
      </c>
      <c r="GP250">
        <f>IF(BI250=4,GM250-GX250,0)</f>
        <v/>
      </c>
      <c r="GR250" t="n">
        <v>0</v>
      </c>
      <c r="GS250" t="n">
        <v>3</v>
      </c>
      <c r="GT250" t="n">
        <v>0</v>
      </c>
      <c r="GU250" t="inlineStr"/>
      <c r="GV250">
        <f>ROUND((GT250),2)</f>
        <v/>
      </c>
      <c r="GW250" t="n">
        <v>1</v>
      </c>
      <c r="GX250">
        <f>ROUND(HC250*I250,0)</f>
        <v/>
      </c>
      <c r="HA250" t="n">
        <v>0</v>
      </c>
      <c r="HB250" t="n">
        <v>0</v>
      </c>
      <c r="HC250">
        <f>GV250*GW250</f>
        <v/>
      </c>
      <c r="HE250" t="inlineStr"/>
      <c r="HF250" t="inlineStr"/>
      <c r="HM250" t="inlineStr"/>
      <c r="HN250" t="inlineStr">
        <is>
          <t>Пр/812-016.0-1</t>
        </is>
      </c>
      <c r="HO250" t="inlineStr">
        <is>
          <t>Пр/774-016.0</t>
        </is>
      </c>
      <c r="HP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0" t="n">
        <v>0</v>
      </c>
      <c r="IK250" t="n">
        <v>0</v>
      </c>
    </row>
    <row r="251"/>
    <row r="252">
      <c r="A252" s="402" t="n">
        <v>51</v>
      </c>
      <c r="B252" s="402">
        <f>B240</f>
        <v/>
      </c>
      <c r="C252" s="402">
        <f>A240</f>
        <v/>
      </c>
      <c r="D252" s="402">
        <f>ROW(A240)</f>
        <v/>
      </c>
      <c r="E252" s="402" t="n"/>
      <c r="F252" s="402">
        <f>IF(F240&lt;&gt;"",F240,"")</f>
        <v/>
      </c>
      <c r="G252" s="402">
        <f>IF(G240&lt;&gt;"",G240,"")</f>
        <v/>
      </c>
      <c r="H252" s="402" t="n">
        <v>0</v>
      </c>
      <c r="I252" s="402" t="n"/>
      <c r="J252" s="402" t="n"/>
      <c r="K252" s="402" t="n"/>
      <c r="L252" s="402" t="n"/>
      <c r="M252" s="402" t="n"/>
      <c r="N252" s="402" t="n"/>
      <c r="O252" s="402" t="n">
        <v>0</v>
      </c>
      <c r="P252" s="402" t="n">
        <v>0</v>
      </c>
      <c r="Q252" s="402" t="n">
        <v>0</v>
      </c>
      <c r="R252" s="402" t="n">
        <v>0</v>
      </c>
      <c r="S252" s="402" t="n">
        <v>0</v>
      </c>
      <c r="T252" s="402" t="n">
        <v>0</v>
      </c>
      <c r="U252" s="402" t="n">
        <v>0</v>
      </c>
      <c r="V252" s="402" t="n">
        <v>0</v>
      </c>
      <c r="W252" s="402" t="n">
        <v>0</v>
      </c>
      <c r="X252" s="402" t="n">
        <v>0</v>
      </c>
      <c r="Y252" s="402" t="n">
        <v>0</v>
      </c>
      <c r="Z252" s="402" t="n"/>
      <c r="AA252" s="402" t="n"/>
      <c r="AB252" s="402" t="n"/>
      <c r="AC252" s="402" t="n"/>
      <c r="AD252" s="402" t="n"/>
      <c r="AE252" s="402" t="n"/>
      <c r="AF252" s="402" t="n"/>
      <c r="AG252" s="402" t="n"/>
      <c r="AH252" s="402" t="n"/>
      <c r="AI252" s="402" t="n"/>
      <c r="AJ252" s="402" t="n"/>
      <c r="AK252" s="402" t="n"/>
      <c r="AL252" s="402" t="n"/>
      <c r="AM252" s="402" t="n"/>
      <c r="AN252" s="402" t="n"/>
      <c r="AO252" s="402">
        <f>ROUND(BX252,0)</f>
        <v/>
      </c>
      <c r="AP252" s="402">
        <f>ROUND(BY252,0)</f>
        <v/>
      </c>
      <c r="AQ252" s="402">
        <f>ROUND(BZ252,0)</f>
        <v/>
      </c>
      <c r="AR252" s="402">
        <f>ROUND(CA252,0)</f>
        <v/>
      </c>
      <c r="AS252" s="402">
        <f>ROUND(CB252,0)</f>
        <v/>
      </c>
      <c r="AT252" s="402">
        <f>ROUND(CC252,0)</f>
        <v/>
      </c>
      <c r="AU252" s="402">
        <f>ROUND(CD252,0)</f>
        <v/>
      </c>
      <c r="AV252" s="402">
        <f>ROUND(CE252,0)</f>
        <v/>
      </c>
      <c r="AW252" s="402">
        <f>ROUND(CF252,0)</f>
        <v/>
      </c>
      <c r="AX252" s="402">
        <f>ROUND(CG252,0)</f>
        <v/>
      </c>
      <c r="AY252" s="402">
        <f>ROUND(CH252,0)</f>
        <v/>
      </c>
      <c r="AZ252" s="402">
        <f>ROUND(CI252,0)</f>
        <v/>
      </c>
      <c r="BA252" s="402">
        <f>ROUND(CJ252,0)</f>
        <v/>
      </c>
      <c r="BB252" s="402">
        <f>ROUND(CK252,0)</f>
        <v/>
      </c>
      <c r="BC252" s="402">
        <f>ROUND(CL252,0)</f>
        <v/>
      </c>
      <c r="BD252" s="402">
        <f>ROUND(CM252,0)</f>
        <v/>
      </c>
      <c r="BE252" s="402" t="n"/>
      <c r="BF252" s="402" t="n"/>
      <c r="BG252" s="402" t="n"/>
      <c r="BH252" s="402" t="n"/>
      <c r="BI252" s="402" t="n"/>
      <c r="BJ252" s="402" t="n"/>
      <c r="BK252" s="402" t="n"/>
      <c r="BL252" s="402" t="n"/>
      <c r="BM252" s="402" t="n"/>
      <c r="BN252" s="402" t="n"/>
      <c r="BO252" s="402" t="n"/>
      <c r="BP252" s="402" t="n"/>
      <c r="BQ252" s="402" t="n"/>
      <c r="BR252" s="402" t="n"/>
      <c r="BS252" s="402" t="n"/>
      <c r="BT252" s="402" t="n"/>
      <c r="BU252" s="402" t="n"/>
      <c r="BV252" s="402" t="n"/>
      <c r="BW252" s="402" t="n"/>
      <c r="BX252" s="402" t="n"/>
      <c r="BY252" s="402" t="n"/>
      <c r="BZ252" s="402" t="n"/>
      <c r="CA252" s="402" t="n"/>
      <c r="CB252" s="402" t="n"/>
      <c r="CC252" s="402" t="n"/>
      <c r="CD252" s="402" t="n"/>
      <c r="CE252" s="402" t="n"/>
      <c r="CF252" s="402" t="n"/>
      <c r="CG252" s="402" t="n"/>
      <c r="CH252" s="402" t="n"/>
      <c r="CI252" s="402" t="n"/>
      <c r="CJ252" s="402" t="n"/>
      <c r="CK252" s="402" t="n"/>
      <c r="CL252" s="402" t="n"/>
      <c r="CM252" s="402" t="n"/>
      <c r="CN252" s="402" t="n"/>
      <c r="CO252" s="402" t="n"/>
      <c r="CP252" s="402" t="n"/>
      <c r="CQ252" s="402" t="n"/>
      <c r="CR252" s="402" t="n"/>
      <c r="CS252" s="402" t="n"/>
      <c r="CT252" s="402" t="n"/>
      <c r="CU252" s="402" t="n"/>
      <c r="CV252" s="402" t="n"/>
      <c r="CW252" s="402" t="n"/>
      <c r="CX252" s="402" t="n"/>
      <c r="CY252" s="402" t="n"/>
      <c r="CZ252" s="402" t="n"/>
      <c r="DA252" s="402" t="n"/>
      <c r="DB252" s="402" t="n"/>
      <c r="DC252" s="402" t="n"/>
      <c r="DD252" s="402" t="n"/>
      <c r="DE252" s="402" t="n"/>
      <c r="DF252" s="402" t="n"/>
      <c r="DG252" s="403" t="n"/>
      <c r="DH252" s="403" t="n"/>
      <c r="DI252" s="403" t="n"/>
      <c r="DJ252" s="403" t="n"/>
      <c r="DK252" s="403" t="n"/>
      <c r="DL252" s="403" t="n"/>
      <c r="DM252" s="403" t="n"/>
      <c r="DN252" s="403" t="n"/>
      <c r="DO252" s="403" t="n"/>
      <c r="DP252" s="403" t="n"/>
      <c r="DQ252" s="403" t="n"/>
      <c r="DR252" s="403" t="n"/>
      <c r="DS252" s="403" t="n"/>
      <c r="DT252" s="403" t="n"/>
      <c r="DU252" s="403" t="n"/>
      <c r="DV252" s="403" t="n"/>
      <c r="DW252" s="403" t="n"/>
      <c r="DX252" s="403" t="n"/>
      <c r="DY252" s="403" t="n"/>
      <c r="DZ252" s="403" t="n"/>
      <c r="EA252" s="403" t="n"/>
      <c r="EB252" s="403" t="n"/>
      <c r="EC252" s="403" t="n"/>
      <c r="ED252" s="403" t="n"/>
      <c r="EE252" s="403" t="n"/>
      <c r="EF252" s="403" t="n"/>
      <c r="EG252" s="403" t="n"/>
      <c r="EH252" s="403" t="n"/>
      <c r="EI252" s="403" t="n"/>
      <c r="EJ252" s="403" t="n"/>
      <c r="EK252" s="403" t="n"/>
      <c r="EL252" s="403" t="n"/>
      <c r="EM252" s="403" t="n"/>
      <c r="EN252" s="403" t="n"/>
      <c r="EO252" s="403" t="n"/>
      <c r="EP252" s="403" t="n"/>
      <c r="EQ252" s="403" t="n"/>
      <c r="ER252" s="403" t="n"/>
      <c r="ES252" s="403" t="n"/>
      <c r="ET252" s="403" t="n"/>
      <c r="EU252" s="403" t="n"/>
      <c r="EV252" s="403" t="n"/>
      <c r="EW252" s="403" t="n"/>
      <c r="EX252" s="403" t="n"/>
      <c r="EY252" s="403" t="n"/>
      <c r="EZ252" s="403" t="n"/>
      <c r="FA252" s="403" t="n"/>
      <c r="FB252" s="403" t="n"/>
      <c r="FC252" s="403" t="n"/>
      <c r="FD252" s="403" t="n"/>
      <c r="FE252" s="403" t="n"/>
      <c r="FF252" s="403" t="n"/>
      <c r="FG252" s="403" t="n"/>
      <c r="FH252" s="403" t="n"/>
      <c r="FI252" s="403" t="n"/>
      <c r="FJ252" s="403" t="n"/>
      <c r="FK252" s="403" t="n"/>
      <c r="FL252" s="403" t="n"/>
      <c r="FM252" s="403" t="n"/>
      <c r="FN252" s="403" t="n"/>
      <c r="FO252" s="403" t="n"/>
      <c r="FP252" s="403" t="n"/>
      <c r="FQ252" s="403" t="n"/>
      <c r="FR252" s="403" t="n"/>
      <c r="FS252" s="403" t="n"/>
      <c r="FT252" s="403" t="n"/>
      <c r="FU252" s="403" t="n"/>
      <c r="FV252" s="403" t="n"/>
      <c r="FW252" s="403" t="n"/>
      <c r="FX252" s="403" t="n"/>
      <c r="FY252" s="403" t="n"/>
      <c r="FZ252" s="403" t="n"/>
      <c r="GA252" s="403" t="n"/>
      <c r="GB252" s="403" t="n"/>
      <c r="GC252" s="403" t="n"/>
      <c r="GD252" s="403" t="n"/>
      <c r="GE252" s="403" t="n"/>
      <c r="GF252" s="403" t="n"/>
      <c r="GG252" s="403" t="n"/>
      <c r="GH252" s="403" t="n"/>
      <c r="GI252" s="403" t="n"/>
      <c r="GJ252" s="403" t="n"/>
      <c r="GK252" s="403" t="n"/>
      <c r="GL252" s="403" t="n"/>
      <c r="GM252" s="403" t="n"/>
      <c r="GN252" s="403" t="n"/>
      <c r="GO252" s="403" t="n"/>
      <c r="GP252" s="403" t="n"/>
      <c r="GQ252" s="403" t="n"/>
      <c r="GR252" s="403" t="n"/>
      <c r="GS252" s="403" t="n"/>
      <c r="GT252" s="403" t="n"/>
      <c r="GU252" s="403" t="n"/>
      <c r="GV252" s="403" t="n"/>
      <c r="GW252" s="403" t="n"/>
      <c r="GX252" s="403" t="n">
        <v>0</v>
      </c>
    </row>
    <row r="253"/>
    <row r="254">
      <c r="A254" s="404" t="n">
        <v>50</v>
      </c>
      <c r="B254" s="404" t="n">
        <v>0</v>
      </c>
      <c r="C254" s="404" t="n">
        <v>0</v>
      </c>
      <c r="D254" s="404" t="n">
        <v>1</v>
      </c>
      <c r="E254" s="404" t="n">
        <v>201</v>
      </c>
      <c r="F254" s="404">
        <f>ROUND(Source!O252,O254)</f>
        <v/>
      </c>
      <c r="G254" s="404" t="inlineStr">
        <is>
          <t>ПЗ</t>
        </is>
      </c>
      <c r="H254" s="404" t="inlineStr">
        <is>
          <t>Прямые затраты</t>
        </is>
      </c>
      <c r="I254" s="404" t="n"/>
      <c r="J254" s="404" t="n"/>
      <c r="K254" s="404" t="n">
        <v>201</v>
      </c>
      <c r="L254" s="404" t="n">
        <v>1</v>
      </c>
      <c r="M254" s="404" t="n">
        <v>3</v>
      </c>
      <c r="N254" s="404" t="inlineStr"/>
      <c r="O254" s="404" t="n">
        <v>0</v>
      </c>
      <c r="P254" s="404" t="n"/>
      <c r="Q254" s="404" t="n"/>
      <c r="R254" s="404" t="n"/>
      <c r="S254" s="404" t="n"/>
      <c r="T254" s="404" t="n"/>
      <c r="U254" s="404" t="n"/>
      <c r="V254" s="404" t="n"/>
      <c r="W254" s="404" t="n">
        <v>0</v>
      </c>
      <c r="X254" s="404" t="n">
        <v>1</v>
      </c>
      <c r="Y254" s="404" t="n">
        <v>0</v>
      </c>
      <c r="Z254" s="404" t="n"/>
      <c r="AA254" s="404" t="n"/>
      <c r="AB254" s="404" t="n"/>
    </row>
    <row r="255">
      <c r="A255" s="404" t="n">
        <v>50</v>
      </c>
      <c r="B255" s="404" t="n">
        <v>0</v>
      </c>
      <c r="C255" s="404" t="n">
        <v>0</v>
      </c>
      <c r="D255" s="404" t="n">
        <v>1</v>
      </c>
      <c r="E255" s="404" t="n">
        <v>202</v>
      </c>
      <c r="F255" s="404">
        <f>ROUND(Source!P252,O255)</f>
        <v/>
      </c>
      <c r="G255" s="404" t="inlineStr">
        <is>
          <t>СтМатОб</t>
        </is>
      </c>
      <c r="H255" s="404" t="inlineStr">
        <is>
          <t>Стоимость материальных ресурсов (всего)</t>
        </is>
      </c>
      <c r="I255" s="404" t="n"/>
      <c r="J255" s="404" t="n"/>
      <c r="K255" s="404" t="n">
        <v>202</v>
      </c>
      <c r="L255" s="404" t="n">
        <v>2</v>
      </c>
      <c r="M255" s="404" t="n">
        <v>3</v>
      </c>
      <c r="N255" s="404" t="inlineStr"/>
      <c r="O255" s="404" t="n">
        <v>0</v>
      </c>
      <c r="P255" s="404" t="n"/>
      <c r="Q255" s="404" t="n"/>
      <c r="R255" s="404" t="n"/>
      <c r="S255" s="404" t="n"/>
      <c r="T255" s="404" t="n"/>
      <c r="U255" s="404" t="n"/>
      <c r="V255" s="404" t="n"/>
      <c r="W255" s="404" t="n">
        <v>0</v>
      </c>
      <c r="X255" s="404" t="n">
        <v>1</v>
      </c>
      <c r="Y255" s="404" t="n">
        <v>0</v>
      </c>
      <c r="Z255" s="404" t="n"/>
      <c r="AA255" s="404" t="n"/>
      <c r="AB255" s="404" t="n"/>
    </row>
    <row r="256">
      <c r="A256" s="404" t="n">
        <v>50</v>
      </c>
      <c r="B256" s="404" t="n">
        <v>0</v>
      </c>
      <c r="C256" s="404" t="n">
        <v>0</v>
      </c>
      <c r="D256" s="404" t="n">
        <v>1</v>
      </c>
      <c r="E256" s="404" t="n">
        <v>222</v>
      </c>
      <c r="F256" s="404">
        <f>ROUND(Source!AO252,O256)</f>
        <v/>
      </c>
      <c r="G256" s="404" t="inlineStr">
        <is>
          <t>СтМатОбЗак</t>
        </is>
      </c>
      <c r="H256" s="404" t="inlineStr">
        <is>
          <t>Стоимость материалов и оборудования заказчика</t>
        </is>
      </c>
      <c r="I256" s="404" t="n"/>
      <c r="J256" s="404" t="n"/>
      <c r="K256" s="404" t="n">
        <v>222</v>
      </c>
      <c r="L256" s="404" t="n">
        <v>3</v>
      </c>
      <c r="M256" s="404" t="n">
        <v>3</v>
      </c>
      <c r="N256" s="404" t="inlineStr"/>
      <c r="O256" s="404" t="n">
        <v>0</v>
      </c>
      <c r="P256" s="404" t="n"/>
      <c r="Q256" s="404" t="n"/>
      <c r="R256" s="404" t="n"/>
      <c r="S256" s="404" t="n"/>
      <c r="T256" s="404" t="n"/>
      <c r="U256" s="404" t="n"/>
      <c r="V256" s="404" t="n"/>
      <c r="W256" s="404" t="n">
        <v>0</v>
      </c>
      <c r="X256" s="404" t="n">
        <v>1</v>
      </c>
      <c r="Y256" s="404" t="n">
        <v>0</v>
      </c>
      <c r="Z256" s="404" t="n"/>
      <c r="AA256" s="404" t="n"/>
      <c r="AB256" s="404" t="n"/>
    </row>
    <row r="257">
      <c r="A257" s="404" t="n">
        <v>50</v>
      </c>
      <c r="B257" s="404" t="n">
        <v>0</v>
      </c>
      <c r="C257" s="404" t="n">
        <v>0</v>
      </c>
      <c r="D257" s="404" t="n">
        <v>1</v>
      </c>
      <c r="E257" s="404" t="n">
        <v>225</v>
      </c>
      <c r="F257" s="404">
        <f>ROUND(Source!AV252,O257)</f>
        <v/>
      </c>
      <c r="G257" s="404" t="inlineStr">
        <is>
          <t>СтМатОбПод</t>
        </is>
      </c>
      <c r="H257" s="404" t="inlineStr">
        <is>
          <t>Стоимость материалов и оборудования подрядчика</t>
        </is>
      </c>
      <c r="I257" s="404" t="n"/>
      <c r="J257" s="404" t="n"/>
      <c r="K257" s="404" t="n">
        <v>225</v>
      </c>
      <c r="L257" s="404" t="n">
        <v>4</v>
      </c>
      <c r="M257" s="404" t="n">
        <v>3</v>
      </c>
      <c r="N257" s="404" t="inlineStr"/>
      <c r="O257" s="404" t="n">
        <v>0</v>
      </c>
      <c r="P257" s="404" t="n"/>
      <c r="Q257" s="404" t="n"/>
      <c r="R257" s="404" t="n"/>
      <c r="S257" s="404" t="n"/>
      <c r="T257" s="404" t="n"/>
      <c r="U257" s="404" t="n"/>
      <c r="V257" s="404" t="n"/>
      <c r="W257" s="404" t="n">
        <v>0</v>
      </c>
      <c r="X257" s="404" t="n">
        <v>1</v>
      </c>
      <c r="Y257" s="404" t="n">
        <v>0</v>
      </c>
      <c r="Z257" s="404" t="n"/>
      <c r="AA257" s="404" t="n"/>
      <c r="AB257" s="404" t="n"/>
    </row>
    <row r="258">
      <c r="A258" s="404" t="n">
        <v>50</v>
      </c>
      <c r="B258" s="404" t="n">
        <v>0</v>
      </c>
      <c r="C258" s="404" t="n">
        <v>0</v>
      </c>
      <c r="D258" s="404" t="n">
        <v>1</v>
      </c>
      <c r="E258" s="404" t="n">
        <v>226</v>
      </c>
      <c r="F258" s="404">
        <f>ROUND(Source!AW252,O258)</f>
        <v/>
      </c>
      <c r="G258" s="404" t="inlineStr">
        <is>
          <t>СтМат</t>
        </is>
      </c>
      <c r="H258" s="404" t="inlineStr">
        <is>
          <t>Стоимость материалов (всего)</t>
        </is>
      </c>
      <c r="I258" s="404" t="n"/>
      <c r="J258" s="404" t="n"/>
      <c r="K258" s="404" t="n">
        <v>226</v>
      </c>
      <c r="L258" s="404" t="n">
        <v>5</v>
      </c>
      <c r="M258" s="404" t="n">
        <v>3</v>
      </c>
      <c r="N258" s="404" t="inlineStr"/>
      <c r="O258" s="404" t="n">
        <v>0</v>
      </c>
      <c r="P258" s="404" t="n"/>
      <c r="Q258" s="404" t="n"/>
      <c r="R258" s="404" t="n"/>
      <c r="S258" s="404" t="n"/>
      <c r="T258" s="404" t="n"/>
      <c r="U258" s="404" t="n"/>
      <c r="V258" s="404" t="n"/>
      <c r="W258" s="404" t="n">
        <v>0</v>
      </c>
      <c r="X258" s="404" t="n">
        <v>1</v>
      </c>
      <c r="Y258" s="404" t="n">
        <v>0</v>
      </c>
      <c r="Z258" s="404" t="n"/>
      <c r="AA258" s="404" t="n"/>
      <c r="AB258" s="404" t="n"/>
    </row>
    <row r="259">
      <c r="A259" s="404" t="n">
        <v>50</v>
      </c>
      <c r="B259" s="404" t="n">
        <v>0</v>
      </c>
      <c r="C259" s="404" t="n">
        <v>0</v>
      </c>
      <c r="D259" s="404" t="n">
        <v>1</v>
      </c>
      <c r="E259" s="404" t="n">
        <v>227</v>
      </c>
      <c r="F259" s="404">
        <f>ROUND(Source!AX252,O259)</f>
        <v/>
      </c>
      <c r="G259" s="404" t="inlineStr">
        <is>
          <t>СтМатЗак</t>
        </is>
      </c>
      <c r="H259" s="404" t="inlineStr">
        <is>
          <t>Стоимость материалов заказчика</t>
        </is>
      </c>
      <c r="I259" s="404" t="n"/>
      <c r="J259" s="404" t="n"/>
      <c r="K259" s="404" t="n">
        <v>227</v>
      </c>
      <c r="L259" s="404" t="n">
        <v>6</v>
      </c>
      <c r="M259" s="404" t="n">
        <v>3</v>
      </c>
      <c r="N259" s="404" t="inlineStr"/>
      <c r="O259" s="404" t="n">
        <v>0</v>
      </c>
      <c r="P259" s="404" t="n"/>
      <c r="Q259" s="404" t="n"/>
      <c r="R259" s="404" t="n"/>
      <c r="S259" s="404" t="n"/>
      <c r="T259" s="404" t="n"/>
      <c r="U259" s="404" t="n"/>
      <c r="V259" s="404" t="n"/>
      <c r="W259" s="404" t="n">
        <v>0</v>
      </c>
      <c r="X259" s="404" t="n">
        <v>1</v>
      </c>
      <c r="Y259" s="404" t="n">
        <v>0</v>
      </c>
      <c r="Z259" s="404" t="n"/>
      <c r="AA259" s="404" t="n"/>
      <c r="AB259" s="404" t="n"/>
    </row>
    <row r="260">
      <c r="A260" s="404" t="n">
        <v>50</v>
      </c>
      <c r="B260" s="404" t="n">
        <v>0</v>
      </c>
      <c r="C260" s="404" t="n">
        <v>0</v>
      </c>
      <c r="D260" s="404" t="n">
        <v>1</v>
      </c>
      <c r="E260" s="404" t="n">
        <v>228</v>
      </c>
      <c r="F260" s="404">
        <f>ROUND(Source!AY252,O260)</f>
        <v/>
      </c>
      <c r="G260" s="404" t="inlineStr">
        <is>
          <t>СтМатПод</t>
        </is>
      </c>
      <c r="H260" s="404" t="inlineStr">
        <is>
          <t>Стоимость материалов подрядчика</t>
        </is>
      </c>
      <c r="I260" s="404" t="n"/>
      <c r="J260" s="404" t="n"/>
      <c r="K260" s="404" t="n">
        <v>228</v>
      </c>
      <c r="L260" s="404" t="n">
        <v>7</v>
      </c>
      <c r="M260" s="404" t="n">
        <v>3</v>
      </c>
      <c r="N260" s="404" t="inlineStr"/>
      <c r="O260" s="404" t="n">
        <v>0</v>
      </c>
      <c r="P260" s="404" t="n"/>
      <c r="Q260" s="404" t="n"/>
      <c r="R260" s="404" t="n"/>
      <c r="S260" s="404" t="n"/>
      <c r="T260" s="404" t="n"/>
      <c r="U260" s="404" t="n"/>
      <c r="V260" s="404" t="n"/>
      <c r="W260" s="404" t="n">
        <v>0</v>
      </c>
      <c r="X260" s="404" t="n">
        <v>1</v>
      </c>
      <c r="Y260" s="404" t="n">
        <v>0</v>
      </c>
      <c r="Z260" s="404" t="n"/>
      <c r="AA260" s="404" t="n"/>
      <c r="AB260" s="404" t="n"/>
    </row>
    <row r="261">
      <c r="A261" s="404" t="n">
        <v>50</v>
      </c>
      <c r="B261" s="404" t="n">
        <v>0</v>
      </c>
      <c r="C261" s="404" t="n">
        <v>0</v>
      </c>
      <c r="D261" s="404" t="n">
        <v>1</v>
      </c>
      <c r="E261" s="404" t="n">
        <v>216</v>
      </c>
      <c r="F261" s="404">
        <f>ROUND(Source!AP252,O261)</f>
        <v/>
      </c>
      <c r="G261" s="404" t="inlineStr">
        <is>
          <t>Оборуд</t>
        </is>
      </c>
      <c r="H261" s="404" t="inlineStr">
        <is>
          <t>Стоимость оборудования (всего)</t>
        </is>
      </c>
      <c r="I261" s="404" t="n"/>
      <c r="J261" s="404" t="n"/>
      <c r="K261" s="404" t="n">
        <v>216</v>
      </c>
      <c r="L261" s="404" t="n">
        <v>8</v>
      </c>
      <c r="M261" s="404" t="n">
        <v>3</v>
      </c>
      <c r="N261" s="404" t="inlineStr"/>
      <c r="O261" s="404" t="n">
        <v>0</v>
      </c>
      <c r="P261" s="404" t="n"/>
      <c r="Q261" s="404" t="n"/>
      <c r="R261" s="404" t="n"/>
      <c r="S261" s="404" t="n"/>
      <c r="T261" s="404" t="n"/>
      <c r="U261" s="404" t="n"/>
      <c r="V261" s="404" t="n"/>
      <c r="W261" s="404" t="n">
        <v>0</v>
      </c>
      <c r="X261" s="404" t="n">
        <v>1</v>
      </c>
      <c r="Y261" s="404" t="n">
        <v>0</v>
      </c>
      <c r="Z261" s="404" t="n"/>
      <c r="AA261" s="404" t="n"/>
      <c r="AB261" s="404" t="n"/>
    </row>
    <row r="262">
      <c r="A262" s="404" t="n">
        <v>50</v>
      </c>
      <c r="B262" s="404" t="n">
        <v>0</v>
      </c>
      <c r="C262" s="404" t="n">
        <v>0</v>
      </c>
      <c r="D262" s="404" t="n">
        <v>1</v>
      </c>
      <c r="E262" s="404" t="n">
        <v>223</v>
      </c>
      <c r="F262" s="404">
        <f>ROUND(Source!AQ252,O262)</f>
        <v/>
      </c>
      <c r="G262" s="404" t="inlineStr">
        <is>
          <t>ОборудЗак</t>
        </is>
      </c>
      <c r="H262" s="404" t="inlineStr">
        <is>
          <t>Стоимость оборудования заказчика</t>
        </is>
      </c>
      <c r="I262" s="404" t="n"/>
      <c r="J262" s="404" t="n"/>
      <c r="K262" s="404" t="n">
        <v>223</v>
      </c>
      <c r="L262" s="404" t="n">
        <v>9</v>
      </c>
      <c r="M262" s="404" t="n">
        <v>3</v>
      </c>
      <c r="N262" s="404" t="inlineStr"/>
      <c r="O262" s="404" t="n">
        <v>0</v>
      </c>
      <c r="P262" s="404" t="n"/>
      <c r="Q262" s="404" t="n"/>
      <c r="R262" s="404" t="n"/>
      <c r="S262" s="404" t="n"/>
      <c r="T262" s="404" t="n"/>
      <c r="U262" s="404" t="n"/>
      <c r="V262" s="404" t="n"/>
      <c r="W262" s="404" t="n">
        <v>0</v>
      </c>
      <c r="X262" s="404" t="n">
        <v>1</v>
      </c>
      <c r="Y262" s="404" t="n">
        <v>0</v>
      </c>
      <c r="Z262" s="404" t="n"/>
      <c r="AA262" s="404" t="n"/>
      <c r="AB262" s="404" t="n"/>
    </row>
    <row r="263">
      <c r="A263" s="404" t="n">
        <v>50</v>
      </c>
      <c r="B263" s="404" t="n">
        <v>0</v>
      </c>
      <c r="C263" s="404" t="n">
        <v>0</v>
      </c>
      <c r="D263" s="404" t="n">
        <v>1</v>
      </c>
      <c r="E263" s="404" t="n">
        <v>229</v>
      </c>
      <c r="F263" s="404">
        <f>ROUND(Source!AZ252,O263)</f>
        <v/>
      </c>
      <c r="G263" s="404" t="inlineStr">
        <is>
          <t>ОборудПод</t>
        </is>
      </c>
      <c r="H263" s="404" t="inlineStr">
        <is>
          <t>Стоимость оборудования подрядчика</t>
        </is>
      </c>
      <c r="I263" s="404" t="n"/>
      <c r="J263" s="404" t="n"/>
      <c r="K263" s="404" t="n">
        <v>229</v>
      </c>
      <c r="L263" s="404" t="n">
        <v>10</v>
      </c>
      <c r="M263" s="404" t="n">
        <v>3</v>
      </c>
      <c r="N263" s="404" t="inlineStr"/>
      <c r="O263" s="404" t="n">
        <v>0</v>
      </c>
      <c r="P263" s="404" t="n"/>
      <c r="Q263" s="404" t="n"/>
      <c r="R263" s="404" t="n"/>
      <c r="S263" s="404" t="n"/>
      <c r="T263" s="404" t="n"/>
      <c r="U263" s="404" t="n"/>
      <c r="V263" s="404" t="n"/>
      <c r="W263" s="404" t="n">
        <v>0</v>
      </c>
      <c r="X263" s="404" t="n">
        <v>1</v>
      </c>
      <c r="Y263" s="404" t="n">
        <v>0</v>
      </c>
      <c r="Z263" s="404" t="n"/>
      <c r="AA263" s="404" t="n"/>
      <c r="AB263" s="404" t="n"/>
    </row>
    <row r="264">
      <c r="A264" s="404" t="n">
        <v>50</v>
      </c>
      <c r="B264" s="404" t="n">
        <v>0</v>
      </c>
      <c r="C264" s="404" t="n">
        <v>0</v>
      </c>
      <c r="D264" s="404" t="n">
        <v>1</v>
      </c>
      <c r="E264" s="404" t="n">
        <v>203</v>
      </c>
      <c r="F264" s="404">
        <f>ROUND(Source!Q252,O264)</f>
        <v/>
      </c>
      <c r="G264" s="404" t="inlineStr">
        <is>
          <t>ЭММ</t>
        </is>
      </c>
      <c r="H264" s="404" t="inlineStr">
        <is>
          <t>Эксплуатация машин</t>
        </is>
      </c>
      <c r="I264" s="404" t="n"/>
      <c r="J264" s="404" t="n"/>
      <c r="K264" s="404" t="n">
        <v>203</v>
      </c>
      <c r="L264" s="404" t="n">
        <v>11</v>
      </c>
      <c r="M264" s="404" t="n">
        <v>3</v>
      </c>
      <c r="N264" s="404" t="inlineStr"/>
      <c r="O264" s="404" t="n">
        <v>0</v>
      </c>
      <c r="P264" s="404" t="n"/>
      <c r="Q264" s="404" t="n"/>
      <c r="R264" s="404" t="n"/>
      <c r="S264" s="404" t="n"/>
      <c r="T264" s="404" t="n"/>
      <c r="U264" s="404" t="n"/>
      <c r="V264" s="404" t="n"/>
      <c r="W264" s="404" t="n">
        <v>0</v>
      </c>
      <c r="X264" s="404" t="n">
        <v>1</v>
      </c>
      <c r="Y264" s="404" t="n">
        <v>0</v>
      </c>
      <c r="Z264" s="404" t="n"/>
      <c r="AA264" s="404" t="n"/>
      <c r="AB264" s="404" t="n"/>
    </row>
    <row r="265">
      <c r="A265" s="404" t="n">
        <v>50</v>
      </c>
      <c r="B265" s="404" t="n">
        <v>0</v>
      </c>
      <c r="C265" s="404" t="n">
        <v>0</v>
      </c>
      <c r="D265" s="404" t="n">
        <v>1</v>
      </c>
      <c r="E265" s="404" t="n">
        <v>231</v>
      </c>
      <c r="F265" s="404">
        <f>ROUND(Source!BB252,O265)</f>
        <v/>
      </c>
      <c r="G265" s="404" t="inlineStr">
        <is>
          <t>ЭММсНРиСП</t>
        </is>
      </c>
      <c r="H265" s="404" t="inlineStr">
        <is>
          <t>Эксплуатация машин по ТСН-2001.16</t>
        </is>
      </c>
      <c r="I265" s="404" t="n"/>
      <c r="J265" s="404" t="n"/>
      <c r="K265" s="404" t="n">
        <v>231</v>
      </c>
      <c r="L265" s="404" t="n">
        <v>12</v>
      </c>
      <c r="M265" s="404" t="n">
        <v>3</v>
      </c>
      <c r="N265" s="404" t="inlineStr"/>
      <c r="O265" s="404" t="n">
        <v>0</v>
      </c>
      <c r="P265" s="404" t="n"/>
      <c r="Q265" s="404" t="n"/>
      <c r="R265" s="404" t="n"/>
      <c r="S265" s="404" t="n"/>
      <c r="T265" s="404" t="n"/>
      <c r="U265" s="404" t="n"/>
      <c r="V265" s="404" t="n"/>
      <c r="W265" s="404" t="n">
        <v>0</v>
      </c>
      <c r="X265" s="404" t="n">
        <v>1</v>
      </c>
      <c r="Y265" s="404" t="n">
        <v>0</v>
      </c>
      <c r="Z265" s="404" t="n"/>
      <c r="AA265" s="404" t="n"/>
      <c r="AB265" s="404" t="n"/>
    </row>
    <row r="266">
      <c r="A266" s="404" t="n">
        <v>50</v>
      </c>
      <c r="B266" s="404" t="n">
        <v>0</v>
      </c>
      <c r="C266" s="404" t="n">
        <v>0</v>
      </c>
      <c r="D266" s="404" t="n">
        <v>1</v>
      </c>
      <c r="E266" s="404" t="n">
        <v>204</v>
      </c>
      <c r="F266" s="404">
        <f>ROUND(Source!R252,O266)</f>
        <v/>
      </c>
      <c r="G266" s="404" t="inlineStr">
        <is>
          <t>ЗПМ</t>
        </is>
      </c>
      <c r="H266" s="404" t="inlineStr">
        <is>
          <t>ЗП машинистов</t>
        </is>
      </c>
      <c r="I266" s="404" t="n"/>
      <c r="J266" s="404" t="n"/>
      <c r="K266" s="404" t="n">
        <v>204</v>
      </c>
      <c r="L266" s="404" t="n">
        <v>13</v>
      </c>
      <c r="M266" s="404" t="n">
        <v>3</v>
      </c>
      <c r="N266" s="404" t="inlineStr"/>
      <c r="O266" s="404" t="n">
        <v>0</v>
      </c>
      <c r="P266" s="404" t="n"/>
      <c r="Q266" s="404" t="n"/>
      <c r="R266" s="404" t="n"/>
      <c r="S266" s="404" t="n"/>
      <c r="T266" s="404" t="n"/>
      <c r="U266" s="404" t="n"/>
      <c r="V266" s="404" t="n"/>
      <c r="W266" s="404" t="n">
        <v>0</v>
      </c>
      <c r="X266" s="404" t="n">
        <v>1</v>
      </c>
      <c r="Y266" s="404" t="n">
        <v>0</v>
      </c>
      <c r="Z266" s="404" t="n"/>
      <c r="AA266" s="404" t="n"/>
      <c r="AB266" s="404" t="n"/>
    </row>
    <row r="267">
      <c r="A267" s="404" t="n">
        <v>50</v>
      </c>
      <c r="B267" s="404" t="n">
        <v>0</v>
      </c>
      <c r="C267" s="404" t="n">
        <v>0</v>
      </c>
      <c r="D267" s="404" t="n">
        <v>1</v>
      </c>
      <c r="E267" s="404" t="n">
        <v>205</v>
      </c>
      <c r="F267" s="404">
        <f>ROUND(Source!S252,O267)</f>
        <v/>
      </c>
      <c r="G267" s="404" t="inlineStr">
        <is>
          <t>ОЗП</t>
        </is>
      </c>
      <c r="H267" s="404" t="inlineStr">
        <is>
          <t>Основная ЗП рабочих</t>
        </is>
      </c>
      <c r="I267" s="404" t="n"/>
      <c r="J267" s="404" t="n"/>
      <c r="K267" s="404" t="n">
        <v>205</v>
      </c>
      <c r="L267" s="404" t="n">
        <v>14</v>
      </c>
      <c r="M267" s="404" t="n">
        <v>3</v>
      </c>
      <c r="N267" s="404" t="inlineStr"/>
      <c r="O267" s="404" t="n">
        <v>0</v>
      </c>
      <c r="P267" s="404" t="n"/>
      <c r="Q267" s="404" t="n"/>
      <c r="R267" s="404" t="n"/>
      <c r="S267" s="404" t="n"/>
      <c r="T267" s="404" t="n"/>
      <c r="U267" s="404" t="n"/>
      <c r="V267" s="404" t="n"/>
      <c r="W267" s="404" t="n">
        <v>0</v>
      </c>
      <c r="X267" s="404" t="n">
        <v>1</v>
      </c>
      <c r="Y267" s="404" t="n">
        <v>0</v>
      </c>
      <c r="Z267" s="404" t="n"/>
      <c r="AA267" s="404" t="n"/>
      <c r="AB267" s="404" t="n"/>
    </row>
    <row r="268">
      <c r="A268" s="404" t="n">
        <v>50</v>
      </c>
      <c r="B268" s="404" t="n">
        <v>0</v>
      </c>
      <c r="C268" s="404" t="n">
        <v>0</v>
      </c>
      <c r="D268" s="404" t="n">
        <v>1</v>
      </c>
      <c r="E268" s="404" t="n">
        <v>232</v>
      </c>
      <c r="F268" s="404">
        <f>ROUND(Source!BC252,O268)</f>
        <v/>
      </c>
      <c r="G268" s="404" t="inlineStr">
        <is>
          <t>ОЗПсНРиСП</t>
        </is>
      </c>
      <c r="H268" s="404" t="inlineStr">
        <is>
          <t>Основная ЗП рабочих по ТСН-2001.16</t>
        </is>
      </c>
      <c r="I268" s="404" t="n"/>
      <c r="J268" s="404" t="n"/>
      <c r="K268" s="404" t="n">
        <v>232</v>
      </c>
      <c r="L268" s="404" t="n">
        <v>15</v>
      </c>
      <c r="M268" s="404" t="n">
        <v>3</v>
      </c>
      <c r="N268" s="404" t="inlineStr"/>
      <c r="O268" s="404" t="n">
        <v>0</v>
      </c>
      <c r="P268" s="404" t="n"/>
      <c r="Q268" s="404" t="n"/>
      <c r="R268" s="404" t="n"/>
      <c r="S268" s="404" t="n"/>
      <c r="T268" s="404" t="n"/>
      <c r="U268" s="404" t="n"/>
      <c r="V268" s="404" t="n"/>
      <c r="W268" s="404" t="n">
        <v>0</v>
      </c>
      <c r="X268" s="404" t="n">
        <v>1</v>
      </c>
      <c r="Y268" s="404" t="n">
        <v>0</v>
      </c>
      <c r="Z268" s="404" t="n"/>
      <c r="AA268" s="404" t="n"/>
      <c r="AB268" s="404" t="n"/>
    </row>
    <row r="269">
      <c r="A269" s="404" t="n">
        <v>50</v>
      </c>
      <c r="B269" s="404" t="n">
        <v>0</v>
      </c>
      <c r="C269" s="404" t="n">
        <v>0</v>
      </c>
      <c r="D269" s="404" t="n">
        <v>1</v>
      </c>
      <c r="E269" s="404" t="n">
        <v>214</v>
      </c>
      <c r="F269" s="404">
        <f>ROUND(Source!AS252,O269)</f>
        <v/>
      </c>
      <c r="G269" s="404" t="inlineStr">
        <is>
          <t>Строит</t>
        </is>
      </c>
      <c r="H269" s="404" t="inlineStr">
        <is>
          <t>Строительные работы с НР и СП</t>
        </is>
      </c>
      <c r="I269" s="404" t="n"/>
      <c r="J269" s="404" t="n"/>
      <c r="K269" s="404" t="n">
        <v>214</v>
      </c>
      <c r="L269" s="404" t="n">
        <v>16</v>
      </c>
      <c r="M269" s="404" t="n">
        <v>3</v>
      </c>
      <c r="N269" s="404" t="inlineStr"/>
      <c r="O269" s="404" t="n">
        <v>0</v>
      </c>
      <c r="P269" s="404" t="n"/>
      <c r="Q269" s="404" t="n"/>
      <c r="R269" s="404" t="n"/>
      <c r="S269" s="404" t="n"/>
      <c r="T269" s="404" t="n"/>
      <c r="U269" s="404" t="n"/>
      <c r="V269" s="404" t="n"/>
      <c r="W269" s="404" t="n">
        <v>0</v>
      </c>
      <c r="X269" s="404" t="n">
        <v>1</v>
      </c>
      <c r="Y269" s="404" t="n">
        <v>0</v>
      </c>
      <c r="Z269" s="404" t="n"/>
      <c r="AA269" s="404" t="n"/>
      <c r="AB269" s="404" t="n"/>
    </row>
    <row r="270">
      <c r="A270" s="404" t="n">
        <v>50</v>
      </c>
      <c r="B270" s="404" t="n">
        <v>0</v>
      </c>
      <c r="C270" s="404" t="n">
        <v>0</v>
      </c>
      <c r="D270" s="404" t="n">
        <v>1</v>
      </c>
      <c r="E270" s="404" t="n">
        <v>215</v>
      </c>
      <c r="F270" s="404">
        <f>ROUND(Source!AT252,O270)</f>
        <v/>
      </c>
      <c r="G270" s="404" t="inlineStr">
        <is>
          <t>Монтаж</t>
        </is>
      </c>
      <c r="H270" s="404" t="inlineStr">
        <is>
          <t>Монтажные работы с НР и СП</t>
        </is>
      </c>
      <c r="I270" s="404" t="n"/>
      <c r="J270" s="404" t="n"/>
      <c r="K270" s="404" t="n">
        <v>215</v>
      </c>
      <c r="L270" s="404" t="n">
        <v>17</v>
      </c>
      <c r="M270" s="404" t="n">
        <v>3</v>
      </c>
      <c r="N270" s="404" t="inlineStr"/>
      <c r="O270" s="404" t="n">
        <v>0</v>
      </c>
      <c r="P270" s="404" t="n"/>
      <c r="Q270" s="404" t="n"/>
      <c r="R270" s="404" t="n"/>
      <c r="S270" s="404" t="n"/>
      <c r="T270" s="404" t="n"/>
      <c r="U270" s="404" t="n"/>
      <c r="V270" s="404" t="n"/>
      <c r="W270" s="404" t="n">
        <v>0</v>
      </c>
      <c r="X270" s="404" t="n">
        <v>1</v>
      </c>
      <c r="Y270" s="404" t="n">
        <v>0</v>
      </c>
      <c r="Z270" s="404" t="n"/>
      <c r="AA270" s="404" t="n"/>
      <c r="AB270" s="404" t="n"/>
    </row>
    <row r="271">
      <c r="A271" s="404" t="n">
        <v>50</v>
      </c>
      <c r="B271" s="404" t="n">
        <v>0</v>
      </c>
      <c r="C271" s="404" t="n">
        <v>0</v>
      </c>
      <c r="D271" s="404" t="n">
        <v>1</v>
      </c>
      <c r="E271" s="404" t="n">
        <v>217</v>
      </c>
      <c r="F271" s="404">
        <f>ROUND(Source!AU252,O271)</f>
        <v/>
      </c>
      <c r="G271" s="404" t="inlineStr">
        <is>
          <t>Прочие</t>
        </is>
      </c>
      <c r="H271" s="404" t="inlineStr">
        <is>
          <t>Прочие работы с НР и СП</t>
        </is>
      </c>
      <c r="I271" s="404" t="n"/>
      <c r="J271" s="404" t="n"/>
      <c r="K271" s="404" t="n">
        <v>217</v>
      </c>
      <c r="L271" s="404" t="n">
        <v>18</v>
      </c>
      <c r="M271" s="404" t="n">
        <v>3</v>
      </c>
      <c r="N271" s="404" t="inlineStr"/>
      <c r="O271" s="404" t="n">
        <v>0</v>
      </c>
      <c r="P271" s="404" t="n"/>
      <c r="Q271" s="404" t="n"/>
      <c r="R271" s="404" t="n"/>
      <c r="S271" s="404" t="n"/>
      <c r="T271" s="404" t="n"/>
      <c r="U271" s="404" t="n"/>
      <c r="V271" s="404" t="n"/>
      <c r="W271" s="404" t="n">
        <v>0</v>
      </c>
      <c r="X271" s="404" t="n">
        <v>1</v>
      </c>
      <c r="Y271" s="404" t="n">
        <v>0</v>
      </c>
      <c r="Z271" s="404" t="n"/>
      <c r="AA271" s="404" t="n"/>
      <c r="AB271" s="404" t="n"/>
    </row>
    <row r="272">
      <c r="A272" s="404" t="n">
        <v>50</v>
      </c>
      <c r="B272" s="404" t="n">
        <v>0</v>
      </c>
      <c r="C272" s="404" t="n">
        <v>0</v>
      </c>
      <c r="D272" s="404" t="n">
        <v>1</v>
      </c>
      <c r="E272" s="404" t="n">
        <v>230</v>
      </c>
      <c r="F272" s="404">
        <f>ROUND(Source!BA252,O272)</f>
        <v/>
      </c>
      <c r="G272" s="404" t="inlineStr">
        <is>
          <t>ПрочиеЗатр</t>
        </is>
      </c>
      <c r="H272" s="404" t="inlineStr">
        <is>
          <t>Прочие затраты по ТСН-2001.16</t>
        </is>
      </c>
      <c r="I272" s="404" t="n"/>
      <c r="J272" s="404" t="n"/>
      <c r="K272" s="404" t="n">
        <v>230</v>
      </c>
      <c r="L272" s="404" t="n">
        <v>19</v>
      </c>
      <c r="M272" s="404" t="n">
        <v>3</v>
      </c>
      <c r="N272" s="404" t="inlineStr"/>
      <c r="O272" s="404" t="n">
        <v>0</v>
      </c>
      <c r="P272" s="404" t="n"/>
      <c r="Q272" s="404" t="n"/>
      <c r="R272" s="404" t="n"/>
      <c r="S272" s="404" t="n"/>
      <c r="T272" s="404" t="n"/>
      <c r="U272" s="404" t="n"/>
      <c r="V272" s="404" t="n"/>
      <c r="W272" s="404" t="n">
        <v>0</v>
      </c>
      <c r="X272" s="404" t="n">
        <v>1</v>
      </c>
      <c r="Y272" s="404" t="n">
        <v>0</v>
      </c>
      <c r="Z272" s="404" t="n"/>
      <c r="AA272" s="404" t="n"/>
      <c r="AB272" s="404" t="n"/>
    </row>
    <row r="273">
      <c r="A273" s="404" t="n">
        <v>50</v>
      </c>
      <c r="B273" s="404" t="n">
        <v>0</v>
      </c>
      <c r="C273" s="404" t="n">
        <v>0</v>
      </c>
      <c r="D273" s="404" t="n">
        <v>1</v>
      </c>
      <c r="E273" s="404" t="n">
        <v>206</v>
      </c>
      <c r="F273" s="404">
        <f>ROUND(Source!T252,O273)</f>
        <v/>
      </c>
      <c r="G273" s="404" t="inlineStr">
        <is>
          <t>ВозврМат</t>
        </is>
      </c>
      <c r="H273" s="404" t="inlineStr">
        <is>
          <t>Возврат материалов</t>
        </is>
      </c>
      <c r="I273" s="404" t="n"/>
      <c r="J273" s="404" t="n"/>
      <c r="K273" s="404" t="n">
        <v>206</v>
      </c>
      <c r="L273" s="404" t="n">
        <v>20</v>
      </c>
      <c r="M273" s="404" t="n">
        <v>3</v>
      </c>
      <c r="N273" s="404" t="inlineStr"/>
      <c r="O273" s="404" t="n">
        <v>0</v>
      </c>
      <c r="P273" s="404" t="n"/>
      <c r="Q273" s="404" t="n"/>
      <c r="R273" s="404" t="n"/>
      <c r="S273" s="404" t="n"/>
      <c r="T273" s="404" t="n"/>
      <c r="U273" s="404" t="n"/>
      <c r="V273" s="404" t="n"/>
      <c r="W273" s="404" t="n">
        <v>0</v>
      </c>
      <c r="X273" s="404" t="n">
        <v>1</v>
      </c>
      <c r="Y273" s="404" t="n">
        <v>0</v>
      </c>
      <c r="Z273" s="404" t="n"/>
      <c r="AA273" s="404" t="n"/>
      <c r="AB273" s="404" t="n"/>
    </row>
    <row r="274">
      <c r="A274" s="404" t="n">
        <v>50</v>
      </c>
      <c r="B274" s="404" t="n">
        <v>0</v>
      </c>
      <c r="C274" s="404" t="n">
        <v>0</v>
      </c>
      <c r="D274" s="404" t="n">
        <v>1</v>
      </c>
      <c r="E274" s="404" t="n">
        <v>207</v>
      </c>
      <c r="F274" s="404">
        <f>ROUND(Source!U252,O274)</f>
        <v/>
      </c>
      <c r="G274" s="404" t="inlineStr">
        <is>
          <t>ТрудСтр</t>
        </is>
      </c>
      <c r="H274" s="404" t="inlineStr">
        <is>
          <t>Трудозатраты строителей</t>
        </is>
      </c>
      <c r="I274" s="404" t="n"/>
      <c r="J274" s="404" t="n"/>
      <c r="K274" s="404" t="n">
        <v>207</v>
      </c>
      <c r="L274" s="404" t="n">
        <v>21</v>
      </c>
      <c r="M274" s="404" t="n">
        <v>3</v>
      </c>
      <c r="N274" s="404" t="inlineStr"/>
      <c r="O274" s="404" t="n">
        <v>7</v>
      </c>
      <c r="P274" s="404" t="n"/>
      <c r="Q274" s="404" t="n"/>
      <c r="R274" s="404" t="n"/>
      <c r="S274" s="404" t="n"/>
      <c r="T274" s="404" t="n"/>
      <c r="U274" s="404" t="n"/>
      <c r="V274" s="404" t="n"/>
      <c r="W274" s="404" t="n">
        <v>0</v>
      </c>
      <c r="X274" s="404" t="n">
        <v>1</v>
      </c>
      <c r="Y274" s="404" t="n">
        <v>0</v>
      </c>
      <c r="Z274" s="404" t="n"/>
      <c r="AA274" s="404" t="n"/>
      <c r="AB274" s="404" t="n"/>
    </row>
    <row r="275">
      <c r="A275" s="404" t="n">
        <v>50</v>
      </c>
      <c r="B275" s="404" t="n">
        <v>0</v>
      </c>
      <c r="C275" s="404" t="n">
        <v>0</v>
      </c>
      <c r="D275" s="404" t="n">
        <v>1</v>
      </c>
      <c r="E275" s="404" t="n">
        <v>208</v>
      </c>
      <c r="F275" s="404">
        <f>ROUND(Source!V252,O275)</f>
        <v/>
      </c>
      <c r="G275" s="404" t="inlineStr">
        <is>
          <t>ТрудМаш</t>
        </is>
      </c>
      <c r="H275" s="404" t="inlineStr">
        <is>
          <t>Трудозатраты машинистов</t>
        </is>
      </c>
      <c r="I275" s="404" t="n"/>
      <c r="J275" s="404" t="n"/>
      <c r="K275" s="404" t="n">
        <v>208</v>
      </c>
      <c r="L275" s="404" t="n">
        <v>22</v>
      </c>
      <c r="M275" s="404" t="n">
        <v>3</v>
      </c>
      <c r="N275" s="404" t="inlineStr"/>
      <c r="O275" s="404" t="n">
        <v>7</v>
      </c>
      <c r="P275" s="404" t="n"/>
      <c r="Q275" s="404" t="n"/>
      <c r="R275" s="404" t="n"/>
      <c r="S275" s="404" t="n"/>
      <c r="T275" s="404" t="n"/>
      <c r="U275" s="404" t="n"/>
      <c r="V275" s="404" t="n"/>
      <c r="W275" s="404" t="n">
        <v>0</v>
      </c>
      <c r="X275" s="404" t="n">
        <v>1</v>
      </c>
      <c r="Y275" s="404" t="n">
        <v>0</v>
      </c>
      <c r="Z275" s="404" t="n"/>
      <c r="AA275" s="404" t="n"/>
      <c r="AB275" s="404" t="n"/>
    </row>
    <row r="276">
      <c r="A276" s="404" t="n">
        <v>50</v>
      </c>
      <c r="B276" s="404" t="n">
        <v>0</v>
      </c>
      <c r="C276" s="404" t="n">
        <v>0</v>
      </c>
      <c r="D276" s="404" t="n">
        <v>1</v>
      </c>
      <c r="E276" s="404" t="n">
        <v>209</v>
      </c>
      <c r="F276" s="404">
        <f>ROUND(Source!W252,O276)</f>
        <v/>
      </c>
      <c r="G276" s="404" t="inlineStr">
        <is>
          <t>ТранспМат</t>
        </is>
      </c>
      <c r="H276" s="404" t="inlineStr">
        <is>
          <t>Транспорт материалов</t>
        </is>
      </c>
      <c r="I276" s="404" t="n"/>
      <c r="J276" s="404" t="n"/>
      <c r="K276" s="404" t="n">
        <v>209</v>
      </c>
      <c r="L276" s="404" t="n">
        <v>23</v>
      </c>
      <c r="M276" s="404" t="n">
        <v>3</v>
      </c>
      <c r="N276" s="404" t="inlineStr"/>
      <c r="O276" s="404" t="n">
        <v>0</v>
      </c>
      <c r="P276" s="404" t="n"/>
      <c r="Q276" s="404" t="n"/>
      <c r="R276" s="404" t="n"/>
      <c r="S276" s="404" t="n"/>
      <c r="T276" s="404" t="n"/>
      <c r="U276" s="404" t="n"/>
      <c r="V276" s="404" t="n"/>
      <c r="W276" s="404" t="n">
        <v>0</v>
      </c>
      <c r="X276" s="404" t="n">
        <v>1</v>
      </c>
      <c r="Y276" s="404" t="n">
        <v>0</v>
      </c>
      <c r="Z276" s="404" t="n"/>
      <c r="AA276" s="404" t="n"/>
      <c r="AB276" s="404" t="n"/>
    </row>
    <row r="277">
      <c r="A277" s="404" t="n">
        <v>50</v>
      </c>
      <c r="B277" s="404" t="n">
        <v>0</v>
      </c>
      <c r="C277" s="404" t="n">
        <v>0</v>
      </c>
      <c r="D277" s="404" t="n">
        <v>1</v>
      </c>
      <c r="E277" s="404" t="n">
        <v>233</v>
      </c>
      <c r="F277" s="404">
        <f>ROUND(Source!BD252,O277)</f>
        <v/>
      </c>
      <c r="G277" s="404" t="inlineStr">
        <is>
          <t>Перевозка</t>
        </is>
      </c>
      <c r="H277" s="404" t="inlineStr">
        <is>
          <t>Перевозка грузов</t>
        </is>
      </c>
      <c r="I277" s="404" t="n"/>
      <c r="J277" s="404" t="n"/>
      <c r="K277" s="404" t="n">
        <v>233</v>
      </c>
      <c r="L277" s="404" t="n">
        <v>24</v>
      </c>
      <c r="M277" s="404" t="n">
        <v>3</v>
      </c>
      <c r="N277" s="404" t="inlineStr"/>
      <c r="O277" s="404" t="n">
        <v>0</v>
      </c>
      <c r="P277" s="404" t="n"/>
      <c r="Q277" s="404" t="n"/>
      <c r="R277" s="404" t="n"/>
      <c r="S277" s="404" t="n"/>
      <c r="T277" s="404" t="n"/>
      <c r="U277" s="404" t="n"/>
      <c r="V277" s="404" t="n"/>
      <c r="W277" s="404" t="n">
        <v>0</v>
      </c>
      <c r="X277" s="404" t="n">
        <v>1</v>
      </c>
      <c r="Y277" s="404" t="n">
        <v>0</v>
      </c>
      <c r="Z277" s="404" t="n"/>
      <c r="AA277" s="404" t="n"/>
      <c r="AB277" s="404" t="n"/>
    </row>
    <row r="278">
      <c r="A278" s="404" t="n">
        <v>50</v>
      </c>
      <c r="B278" s="404" t="n">
        <v>0</v>
      </c>
      <c r="C278" s="404" t="n">
        <v>0</v>
      </c>
      <c r="D278" s="404" t="n">
        <v>1</v>
      </c>
      <c r="E278" s="404" t="n">
        <v>210</v>
      </c>
      <c r="F278" s="404">
        <f>ROUND(Source!X252,O278)</f>
        <v/>
      </c>
      <c r="G278" s="404" t="inlineStr">
        <is>
          <t>НР</t>
        </is>
      </c>
      <c r="H278" s="404" t="inlineStr">
        <is>
          <t>Накладные расходы</t>
        </is>
      </c>
      <c r="I278" s="404" t="n"/>
      <c r="J278" s="404" t="n"/>
      <c r="K278" s="404" t="n">
        <v>210</v>
      </c>
      <c r="L278" s="404" t="n">
        <v>25</v>
      </c>
      <c r="M278" s="404" t="n">
        <v>3</v>
      </c>
      <c r="N278" s="404" t="inlineStr"/>
      <c r="O278" s="404" t="n">
        <v>0</v>
      </c>
      <c r="P278" s="404" t="n"/>
      <c r="Q278" s="404" t="n"/>
      <c r="R278" s="404" t="n"/>
      <c r="S278" s="404" t="n"/>
      <c r="T278" s="404" t="n"/>
      <c r="U278" s="404" t="n"/>
      <c r="V278" s="404" t="n"/>
      <c r="W278" s="404" t="n">
        <v>0</v>
      </c>
      <c r="X278" s="404" t="n">
        <v>1</v>
      </c>
      <c r="Y278" s="404" t="n">
        <v>0</v>
      </c>
      <c r="Z278" s="404" t="n"/>
      <c r="AA278" s="404" t="n"/>
      <c r="AB278" s="404" t="n"/>
    </row>
    <row r="279">
      <c r="A279" s="404" t="n">
        <v>50</v>
      </c>
      <c r="B279" s="404" t="n">
        <v>0</v>
      </c>
      <c r="C279" s="404" t="n">
        <v>0</v>
      </c>
      <c r="D279" s="404" t="n">
        <v>1</v>
      </c>
      <c r="E279" s="404" t="n">
        <v>211</v>
      </c>
      <c r="F279" s="404">
        <f>ROUND(Source!Y252,O279)</f>
        <v/>
      </c>
      <c r="G279" s="404" t="inlineStr">
        <is>
          <t>СмПриб</t>
        </is>
      </c>
      <c r="H279" s="404" t="inlineStr">
        <is>
          <t>Сметная прибыль</t>
        </is>
      </c>
      <c r="I279" s="404" t="n"/>
      <c r="J279" s="404" t="n"/>
      <c r="K279" s="404" t="n">
        <v>211</v>
      </c>
      <c r="L279" s="404" t="n">
        <v>26</v>
      </c>
      <c r="M279" s="404" t="n">
        <v>3</v>
      </c>
      <c r="N279" s="404" t="inlineStr"/>
      <c r="O279" s="404" t="n">
        <v>0</v>
      </c>
      <c r="P279" s="404" t="n"/>
      <c r="Q279" s="404" t="n"/>
      <c r="R279" s="404" t="n"/>
      <c r="S279" s="404" t="n"/>
      <c r="T279" s="404" t="n"/>
      <c r="U279" s="404" t="n"/>
      <c r="V279" s="404" t="n"/>
      <c r="W279" s="404" t="n">
        <v>0</v>
      </c>
      <c r="X279" s="404" t="n">
        <v>1</v>
      </c>
      <c r="Y279" s="404" t="n">
        <v>0</v>
      </c>
      <c r="Z279" s="404" t="n"/>
      <c r="AA279" s="404" t="n"/>
      <c r="AB279" s="404" t="n"/>
    </row>
    <row r="280">
      <c r="A280" s="404" t="n">
        <v>50</v>
      </c>
      <c r="B280" s="404" t="n">
        <v>0</v>
      </c>
      <c r="C280" s="404" t="n">
        <v>0</v>
      </c>
      <c r="D280" s="404" t="n">
        <v>1</v>
      </c>
      <c r="E280" s="404" t="n">
        <v>224</v>
      </c>
      <c r="F280" s="404">
        <f>ROUND(Source!AR252,O280)</f>
        <v/>
      </c>
      <c r="G280" s="404" t="inlineStr">
        <is>
          <t>Всего</t>
        </is>
      </c>
      <c r="H280" s="404" t="inlineStr">
        <is>
          <t>Всего с НР и СП</t>
        </is>
      </c>
      <c r="I280" s="404" t="n"/>
      <c r="J280" s="404" t="n"/>
      <c r="K280" s="404" t="n">
        <v>224</v>
      </c>
      <c r="L280" s="404" t="n">
        <v>27</v>
      </c>
      <c r="M280" s="404" t="n">
        <v>3</v>
      </c>
      <c r="N280" s="404" t="inlineStr"/>
      <c r="O280" s="404" t="n">
        <v>0</v>
      </c>
      <c r="P280" s="404" t="n"/>
      <c r="Q280" s="404" t="n"/>
      <c r="R280" s="404" t="n"/>
      <c r="S280" s="404" t="n"/>
      <c r="T280" s="404" t="n"/>
      <c r="U280" s="404" t="n"/>
      <c r="V280" s="404" t="n"/>
      <c r="W280" s="404" t="n">
        <v>0</v>
      </c>
      <c r="X280" s="404" t="n">
        <v>1</v>
      </c>
      <c r="Y280" s="404" t="n">
        <v>0</v>
      </c>
      <c r="Z280" s="404" t="n"/>
      <c r="AA280" s="404" t="n"/>
      <c r="AB280" s="404" t="n"/>
    </row>
    <row r="281">
      <c r="A281" s="404" t="n">
        <v>50</v>
      </c>
      <c r="B281" s="404" t="n">
        <v>0</v>
      </c>
      <c r="C281" s="404" t="n">
        <v>0</v>
      </c>
      <c r="D281" s="404" t="n">
        <v>2</v>
      </c>
      <c r="E281" s="404" t="n">
        <v>0</v>
      </c>
      <c r="F281" s="404">
        <f>ROUND(F280,O281)</f>
        <v/>
      </c>
      <c r="G281" s="404" t="inlineStr">
        <is>
          <t>и1</t>
        </is>
      </c>
      <c r="H281" s="404" t="inlineStr">
        <is>
          <t>Итого</t>
        </is>
      </c>
      <c r="I281" s="404" t="n"/>
      <c r="J281" s="404" t="n"/>
      <c r="K281" s="404" t="n">
        <v>212</v>
      </c>
      <c r="L281" s="404" t="n">
        <v>28</v>
      </c>
      <c r="M281" s="404" t="n">
        <v>0</v>
      </c>
      <c r="N281" s="404" t="inlineStr"/>
      <c r="O281" s="404" t="n">
        <v>0</v>
      </c>
      <c r="P281" s="404" t="n"/>
      <c r="Q281" s="404" t="n"/>
      <c r="R281" s="404" t="n"/>
      <c r="S281" s="404" t="n"/>
      <c r="T281" s="404" t="n"/>
      <c r="U281" s="404" t="n"/>
      <c r="V281" s="404" t="n"/>
      <c r="W281" s="404" t="n">
        <v>0</v>
      </c>
      <c r="X281" s="404" t="n">
        <v>1</v>
      </c>
      <c r="Y281" s="404" t="n">
        <v>0</v>
      </c>
      <c r="Z281" s="404" t="n"/>
      <c r="AA281" s="404" t="n"/>
      <c r="AB281" s="404" t="n"/>
    </row>
    <row r="282">
      <c r="A282" s="404" t="n">
        <v>50</v>
      </c>
      <c r="B282" s="404" t="n">
        <v>0</v>
      </c>
      <c r="C282" s="404" t="n">
        <v>0</v>
      </c>
      <c r="D282" s="404" t="n">
        <v>2</v>
      </c>
      <c r="E282" s="404" t="n">
        <v>0</v>
      </c>
      <c r="F282" s="404">
        <f>ROUND(F281*0.22,O282)</f>
        <v/>
      </c>
      <c r="G282" s="404" t="inlineStr">
        <is>
          <t>и2</t>
        </is>
      </c>
      <c r="H282" s="404" t="inlineStr">
        <is>
          <t>НДС 22%</t>
        </is>
      </c>
      <c r="I282" s="404" t="n"/>
      <c r="J282" s="404" t="n"/>
      <c r="K282" s="404" t="n">
        <v>212</v>
      </c>
      <c r="L282" s="404" t="n">
        <v>29</v>
      </c>
      <c r="M282" s="404" t="n">
        <v>0</v>
      </c>
      <c r="N282" s="404" t="inlineStr"/>
      <c r="O282" s="404" t="n">
        <v>0</v>
      </c>
      <c r="P282" s="404" t="n"/>
      <c r="Q282" s="404" t="n"/>
      <c r="R282" s="404" t="n"/>
      <c r="S282" s="404" t="n"/>
      <c r="T282" s="404" t="n"/>
      <c r="U282" s="404" t="n"/>
      <c r="V282" s="404" t="n"/>
      <c r="W282" s="404" t="n">
        <v>0</v>
      </c>
      <c r="X282" s="404" t="n">
        <v>1</v>
      </c>
      <c r="Y282" s="404" t="n">
        <v>0</v>
      </c>
      <c r="Z282" s="404" t="n"/>
      <c r="AA282" s="404" t="n"/>
      <c r="AB282" s="404" t="n"/>
    </row>
    <row r="283">
      <c r="A283" s="404" t="n">
        <v>50</v>
      </c>
      <c r="B283" s="404" t="n">
        <v>0</v>
      </c>
      <c r="C283" s="404" t="n">
        <v>0</v>
      </c>
      <c r="D283" s="404" t="n">
        <v>2</v>
      </c>
      <c r="E283" s="404" t="n">
        <v>213</v>
      </c>
      <c r="F283" s="404">
        <f>ROUND(F281+F282,O283)</f>
        <v/>
      </c>
      <c r="G283" s="404" t="inlineStr">
        <is>
          <t>и3</t>
        </is>
      </c>
      <c r="H283" s="404" t="inlineStr">
        <is>
          <t>Всего</t>
        </is>
      </c>
      <c r="I283" s="404" t="n"/>
      <c r="J283" s="404" t="n"/>
      <c r="K283" s="404" t="n">
        <v>212</v>
      </c>
      <c r="L283" s="404" t="n">
        <v>30</v>
      </c>
      <c r="M283" s="404" t="n">
        <v>0</v>
      </c>
      <c r="N283" s="404" t="inlineStr"/>
      <c r="O283" s="404" t="n">
        <v>0</v>
      </c>
      <c r="P283" s="404" t="n"/>
      <c r="Q283" s="404" t="n"/>
      <c r="R283" s="404" t="n"/>
      <c r="S283" s="404" t="n"/>
      <c r="T283" s="404" t="n"/>
      <c r="U283" s="404" t="n"/>
      <c r="V283" s="404" t="n"/>
      <c r="W283" s="404" t="n">
        <v>0</v>
      </c>
      <c r="X283" s="404" t="n">
        <v>1</v>
      </c>
      <c r="Y283" s="404" t="n">
        <v>0</v>
      </c>
      <c r="Z283" s="404" t="n"/>
      <c r="AA283" s="404" t="n"/>
      <c r="AB283" s="404" t="n"/>
    </row>
    <row r="284"/>
    <row r="285">
      <c r="A285" s="401" t="n">
        <v>3</v>
      </c>
      <c r="B285" s="401" t="n">
        <v>0</v>
      </c>
      <c r="C285" s="401" t="n"/>
      <c r="D285" s="401">
        <f>ROW(A297)</f>
        <v/>
      </c>
      <c r="E285" s="401" t="n"/>
      <c r="F285" s="401" t="inlineStr">
        <is>
          <t>Новая локальная смета</t>
        </is>
      </c>
      <c r="G285" s="401" t="inlineStr">
        <is>
          <t>Текстильщиков 8</t>
        </is>
      </c>
      <c r="H285" s="401" t="inlineStr"/>
      <c r="I285" s="401" t="n">
        <v>0</v>
      </c>
      <c r="J285" s="401" t="inlineStr"/>
      <c r="K285" s="401" t="n">
        <v>0</v>
      </c>
      <c r="L285" s="401" t="inlineStr">
        <is>
          <t>Новая локальная смета</t>
        </is>
      </c>
      <c r="M285" s="401" t="inlineStr"/>
      <c r="N285" s="401" t="n"/>
      <c r="O285" s="401" t="n"/>
      <c r="P285" s="401" t="n"/>
      <c r="Q285" s="401" t="n"/>
      <c r="R285" s="401" t="n"/>
      <c r="S285" s="401" t="n">
        <v>0</v>
      </c>
      <c r="T285" s="401" t="n"/>
      <c r="U285" s="401" t="inlineStr"/>
      <c r="V285" s="401" t="n">
        <v>0</v>
      </c>
      <c r="W285" s="401" t="n"/>
      <c r="X285" s="401" t="n"/>
      <c r="Y285" s="401" t="n"/>
      <c r="Z285" s="401" t="n"/>
      <c r="AA285" s="401" t="n"/>
      <c r="AB285" s="401" t="inlineStr"/>
      <c r="AC285" s="401" t="inlineStr"/>
      <c r="AD285" s="401" t="inlineStr"/>
      <c r="AE285" s="401" t="inlineStr"/>
      <c r="AF285" s="401" t="inlineStr"/>
      <c r="AG285" s="401" t="inlineStr"/>
      <c r="AH285" s="401" t="n"/>
      <c r="AI285" s="401" t="n"/>
      <c r="AJ285" s="401" t="n"/>
      <c r="AK285" s="401" t="n"/>
      <c r="AL285" s="401" t="n"/>
      <c r="AM285" s="401" t="n"/>
      <c r="AN285" s="401" t="n"/>
      <c r="AO285" s="401" t="n"/>
      <c r="AP285" s="401" t="inlineStr"/>
      <c r="AQ285" s="401" t="inlineStr"/>
      <c r="AR285" s="401" t="inlineStr"/>
      <c r="AS285" s="401" t="n"/>
      <c r="AT285" s="401" t="n"/>
      <c r="AU285" s="401" t="n"/>
      <c r="AV285" s="401" t="n"/>
      <c r="AW285" s="401" t="n"/>
      <c r="AX285" s="401" t="n"/>
      <c r="AY285" s="401" t="n"/>
      <c r="AZ285" s="401" t="inlineStr"/>
      <c r="BA285" s="401" t="n"/>
      <c r="BB285" s="401" t="inlineStr"/>
      <c r="BC285" s="401" t="inlineStr"/>
      <c r="BD285" s="401" t="inlineStr"/>
      <c r="BE285" s="401" t="inlineStr"/>
      <c r="BF285" s="401" t="inlineStr"/>
      <c r="BG285" s="401" t="inlineStr"/>
      <c r="BH285" s="401" t="inlineStr"/>
      <c r="BI285" s="401" t="inlineStr"/>
      <c r="BJ285" s="401" t="inlineStr"/>
      <c r="BK285" s="401" t="inlineStr"/>
      <c r="BL285" s="401" t="inlineStr"/>
      <c r="BM285" s="401" t="inlineStr"/>
      <c r="BN285" s="401" t="inlineStr"/>
      <c r="BO285" s="401" t="inlineStr"/>
      <c r="BP285" s="401" t="inlineStr"/>
      <c r="BQ285" s="401" t="n"/>
      <c r="BR285" s="401" t="n"/>
      <c r="BS285" s="401" t="n"/>
      <c r="BT285" s="401" t="n"/>
      <c r="BU285" s="401" t="n"/>
      <c r="BV285" s="401" t="n"/>
      <c r="BW285" s="401" t="n"/>
      <c r="BX285" s="401" t="n">
        <v>0</v>
      </c>
      <c r="BY285" s="401" t="n"/>
      <c r="BZ285" s="401" t="n"/>
      <c r="CA285" s="401" t="n"/>
      <c r="CB285" s="401" t="n"/>
      <c r="CC285" s="401" t="n"/>
      <c r="CD285" s="401" t="n"/>
      <c r="CE285" s="401" t="n"/>
      <c r="CF285" s="401" t="n">
        <v>0</v>
      </c>
      <c r="CG285" s="401" t="n">
        <v>0</v>
      </c>
      <c r="CH285" s="401" t="n"/>
      <c r="CI285" s="401" t="inlineStr"/>
      <c r="CJ285" s="401" t="inlineStr"/>
      <c r="CK285" t="inlineStr"/>
      <c r="CL285" t="inlineStr"/>
      <c r="CM285" t="inlineStr"/>
      <c r="CN285" t="inlineStr"/>
      <c r="CO285" t="inlineStr"/>
      <c r="CP285" t="inlineStr"/>
      <c r="CQ285" t="inlineStr"/>
    </row>
    <row r="286"/>
    <row r="287">
      <c r="A287" s="402" t="n">
        <v>52</v>
      </c>
      <c r="B287" s="402">
        <f>B297</f>
        <v/>
      </c>
      <c r="C287" s="402">
        <f>C297</f>
        <v/>
      </c>
      <c r="D287" s="402">
        <f>D297</f>
        <v/>
      </c>
      <c r="E287" s="402">
        <f>E297</f>
        <v/>
      </c>
      <c r="F287" s="402">
        <f>F297</f>
        <v/>
      </c>
      <c r="G287" s="402">
        <f>G297</f>
        <v/>
      </c>
      <c r="H287" s="402" t="n"/>
      <c r="I287" s="402" t="n"/>
      <c r="J287" s="402" t="n"/>
      <c r="K287" s="402" t="n"/>
      <c r="L287" s="402" t="n"/>
      <c r="M287" s="402" t="n"/>
      <c r="N287" s="402" t="n"/>
      <c r="O287" s="402">
        <f>O297</f>
        <v/>
      </c>
      <c r="P287" s="402">
        <f>P297</f>
        <v/>
      </c>
      <c r="Q287" s="402">
        <f>Q297</f>
        <v/>
      </c>
      <c r="R287" s="402">
        <f>R297</f>
        <v/>
      </c>
      <c r="S287" s="402">
        <f>S297</f>
        <v/>
      </c>
      <c r="T287" s="402">
        <f>T297</f>
        <v/>
      </c>
      <c r="U287" s="402">
        <f>U297</f>
        <v/>
      </c>
      <c r="V287" s="402">
        <f>V297</f>
        <v/>
      </c>
      <c r="W287" s="402">
        <f>W297</f>
        <v/>
      </c>
      <c r="X287" s="402">
        <f>X297</f>
        <v/>
      </c>
      <c r="Y287" s="402">
        <f>Y297</f>
        <v/>
      </c>
      <c r="Z287" s="402">
        <f>Z297</f>
        <v/>
      </c>
      <c r="AA287" s="402">
        <f>AA297</f>
        <v/>
      </c>
      <c r="AB287" s="402">
        <f>AB297</f>
        <v/>
      </c>
      <c r="AC287" s="402">
        <f>AC297</f>
        <v/>
      </c>
      <c r="AD287" s="402">
        <f>AD297</f>
        <v/>
      </c>
      <c r="AE287" s="402">
        <f>AE297</f>
        <v/>
      </c>
      <c r="AF287" s="402">
        <f>AF297</f>
        <v/>
      </c>
      <c r="AG287" s="402">
        <f>AG297</f>
        <v/>
      </c>
      <c r="AH287" s="402">
        <f>AH297</f>
        <v/>
      </c>
      <c r="AI287" s="402">
        <f>AI297</f>
        <v/>
      </c>
      <c r="AJ287" s="402">
        <f>AJ297</f>
        <v/>
      </c>
      <c r="AK287" s="402">
        <f>AK297</f>
        <v/>
      </c>
      <c r="AL287" s="402">
        <f>AL297</f>
        <v/>
      </c>
      <c r="AM287" s="402">
        <f>AM297</f>
        <v/>
      </c>
      <c r="AN287" s="402">
        <f>AN297</f>
        <v/>
      </c>
      <c r="AO287" s="402">
        <f>AO297</f>
        <v/>
      </c>
      <c r="AP287" s="402">
        <f>AP297</f>
        <v/>
      </c>
      <c r="AQ287" s="402">
        <f>AQ297</f>
        <v/>
      </c>
      <c r="AR287" s="402">
        <f>AR297</f>
        <v/>
      </c>
      <c r="AS287" s="402">
        <f>AS297</f>
        <v/>
      </c>
      <c r="AT287" s="402">
        <f>AT297</f>
        <v/>
      </c>
      <c r="AU287" s="402">
        <f>AU297</f>
        <v/>
      </c>
      <c r="AV287" s="402">
        <f>AV297</f>
        <v/>
      </c>
      <c r="AW287" s="402">
        <f>AW297</f>
        <v/>
      </c>
      <c r="AX287" s="402">
        <f>AX297</f>
        <v/>
      </c>
      <c r="AY287" s="402">
        <f>AY297</f>
        <v/>
      </c>
      <c r="AZ287" s="402">
        <f>AZ297</f>
        <v/>
      </c>
      <c r="BA287" s="402">
        <f>BA297</f>
        <v/>
      </c>
      <c r="BB287" s="402">
        <f>BB297</f>
        <v/>
      </c>
      <c r="BC287" s="402">
        <f>BC297</f>
        <v/>
      </c>
      <c r="BD287" s="402">
        <f>BD297</f>
        <v/>
      </c>
      <c r="BE287" s="402">
        <f>BE297</f>
        <v/>
      </c>
      <c r="BF287" s="402">
        <f>BF297</f>
        <v/>
      </c>
      <c r="BG287" s="402">
        <f>BG297</f>
        <v/>
      </c>
      <c r="BH287" s="402">
        <f>BH297</f>
        <v/>
      </c>
      <c r="BI287" s="402">
        <f>BI297</f>
        <v/>
      </c>
      <c r="BJ287" s="402">
        <f>BJ297</f>
        <v/>
      </c>
      <c r="BK287" s="402">
        <f>BK297</f>
        <v/>
      </c>
      <c r="BL287" s="402">
        <f>BL297</f>
        <v/>
      </c>
      <c r="BM287" s="402">
        <f>BM297</f>
        <v/>
      </c>
      <c r="BN287" s="402">
        <f>BN297</f>
        <v/>
      </c>
      <c r="BO287" s="402">
        <f>BO297</f>
        <v/>
      </c>
      <c r="BP287" s="402">
        <f>BP297</f>
        <v/>
      </c>
      <c r="BQ287" s="402">
        <f>BQ297</f>
        <v/>
      </c>
      <c r="BR287" s="402">
        <f>BR297</f>
        <v/>
      </c>
      <c r="BS287" s="402">
        <f>BS297</f>
        <v/>
      </c>
      <c r="BT287" s="402">
        <f>BT297</f>
        <v/>
      </c>
      <c r="BU287" s="402">
        <f>BU297</f>
        <v/>
      </c>
      <c r="BV287" s="402">
        <f>BV297</f>
        <v/>
      </c>
      <c r="BW287" s="402">
        <f>BW297</f>
        <v/>
      </c>
      <c r="BX287" s="402">
        <f>BX297</f>
        <v/>
      </c>
      <c r="BY287" s="402">
        <f>BY297</f>
        <v/>
      </c>
      <c r="BZ287" s="402">
        <f>BZ297</f>
        <v/>
      </c>
      <c r="CA287" s="402">
        <f>CA297</f>
        <v/>
      </c>
      <c r="CB287" s="402">
        <f>CB297</f>
        <v/>
      </c>
      <c r="CC287" s="402">
        <f>CC297</f>
        <v/>
      </c>
      <c r="CD287" s="402">
        <f>CD297</f>
        <v/>
      </c>
      <c r="CE287" s="402">
        <f>CE297</f>
        <v/>
      </c>
      <c r="CF287" s="402">
        <f>CF297</f>
        <v/>
      </c>
      <c r="CG287" s="402">
        <f>CG297</f>
        <v/>
      </c>
      <c r="CH287" s="402">
        <f>CH297</f>
        <v/>
      </c>
      <c r="CI287" s="402">
        <f>CI297</f>
        <v/>
      </c>
      <c r="CJ287" s="402">
        <f>CJ297</f>
        <v/>
      </c>
      <c r="CK287" s="402">
        <f>CK297</f>
        <v/>
      </c>
      <c r="CL287" s="402">
        <f>CL297</f>
        <v/>
      </c>
      <c r="CM287" s="402">
        <f>CM297</f>
        <v/>
      </c>
      <c r="CN287" s="402">
        <f>CN297</f>
        <v/>
      </c>
      <c r="CO287" s="402">
        <f>CO297</f>
        <v/>
      </c>
      <c r="CP287" s="402">
        <f>CP297</f>
        <v/>
      </c>
      <c r="CQ287" s="402">
        <f>CQ297</f>
        <v/>
      </c>
      <c r="CR287" s="402">
        <f>CR297</f>
        <v/>
      </c>
      <c r="CS287" s="402">
        <f>CS297</f>
        <v/>
      </c>
      <c r="CT287" s="402">
        <f>CT297</f>
        <v/>
      </c>
      <c r="CU287" s="402">
        <f>CU297</f>
        <v/>
      </c>
      <c r="CV287" s="402">
        <f>CV297</f>
        <v/>
      </c>
      <c r="CW287" s="402">
        <f>CW297</f>
        <v/>
      </c>
      <c r="CX287" s="402">
        <f>CX297</f>
        <v/>
      </c>
      <c r="CY287" s="402">
        <f>CY297</f>
        <v/>
      </c>
      <c r="CZ287" s="402">
        <f>CZ297</f>
        <v/>
      </c>
      <c r="DA287" s="402">
        <f>DA297</f>
        <v/>
      </c>
      <c r="DB287" s="402">
        <f>DB297</f>
        <v/>
      </c>
      <c r="DC287" s="402">
        <f>DC297</f>
        <v/>
      </c>
      <c r="DD287" s="402">
        <f>DD297</f>
        <v/>
      </c>
      <c r="DE287" s="402">
        <f>DE297</f>
        <v/>
      </c>
      <c r="DF287" s="402">
        <f>DF297</f>
        <v/>
      </c>
      <c r="DG287" s="403">
        <f>DG297</f>
        <v/>
      </c>
      <c r="DH287" s="403">
        <f>DH297</f>
        <v/>
      </c>
      <c r="DI287" s="403">
        <f>DI297</f>
        <v/>
      </c>
      <c r="DJ287" s="403">
        <f>DJ297</f>
        <v/>
      </c>
      <c r="DK287" s="403">
        <f>DK297</f>
        <v/>
      </c>
      <c r="DL287" s="403">
        <f>DL297</f>
        <v/>
      </c>
      <c r="DM287" s="403">
        <f>DM297</f>
        <v/>
      </c>
      <c r="DN287" s="403">
        <f>DN297</f>
        <v/>
      </c>
      <c r="DO287" s="403">
        <f>DO297</f>
        <v/>
      </c>
      <c r="DP287" s="403">
        <f>DP297</f>
        <v/>
      </c>
      <c r="DQ287" s="403">
        <f>DQ297</f>
        <v/>
      </c>
      <c r="DR287" s="403">
        <f>DR297</f>
        <v/>
      </c>
      <c r="DS287" s="403">
        <f>DS297</f>
        <v/>
      </c>
      <c r="DT287" s="403">
        <f>DT297</f>
        <v/>
      </c>
      <c r="DU287" s="403">
        <f>DU297</f>
        <v/>
      </c>
      <c r="DV287" s="403">
        <f>DV297</f>
        <v/>
      </c>
      <c r="DW287" s="403">
        <f>DW297</f>
        <v/>
      </c>
      <c r="DX287" s="403">
        <f>DX297</f>
        <v/>
      </c>
      <c r="DY287" s="403">
        <f>DY297</f>
        <v/>
      </c>
      <c r="DZ287" s="403">
        <f>DZ297</f>
        <v/>
      </c>
      <c r="EA287" s="403">
        <f>EA297</f>
        <v/>
      </c>
      <c r="EB287" s="403">
        <f>EB297</f>
        <v/>
      </c>
      <c r="EC287" s="403">
        <f>EC297</f>
        <v/>
      </c>
      <c r="ED287" s="403">
        <f>ED297</f>
        <v/>
      </c>
      <c r="EE287" s="403">
        <f>EE297</f>
        <v/>
      </c>
      <c r="EF287" s="403">
        <f>EF297</f>
        <v/>
      </c>
      <c r="EG287" s="403">
        <f>EG297</f>
        <v/>
      </c>
      <c r="EH287" s="403">
        <f>EH297</f>
        <v/>
      </c>
      <c r="EI287" s="403">
        <f>EI297</f>
        <v/>
      </c>
      <c r="EJ287" s="403">
        <f>EJ297</f>
        <v/>
      </c>
      <c r="EK287" s="403">
        <f>EK297</f>
        <v/>
      </c>
      <c r="EL287" s="403">
        <f>EL297</f>
        <v/>
      </c>
      <c r="EM287" s="403">
        <f>EM297</f>
        <v/>
      </c>
      <c r="EN287" s="403">
        <f>EN297</f>
        <v/>
      </c>
      <c r="EO287" s="403">
        <f>EO297</f>
        <v/>
      </c>
      <c r="EP287" s="403">
        <f>EP297</f>
        <v/>
      </c>
      <c r="EQ287" s="403">
        <f>EQ297</f>
        <v/>
      </c>
      <c r="ER287" s="403">
        <f>ER297</f>
        <v/>
      </c>
      <c r="ES287" s="403">
        <f>ES297</f>
        <v/>
      </c>
      <c r="ET287" s="403">
        <f>ET297</f>
        <v/>
      </c>
      <c r="EU287" s="403">
        <f>EU297</f>
        <v/>
      </c>
      <c r="EV287" s="403">
        <f>EV297</f>
        <v/>
      </c>
      <c r="EW287" s="403">
        <f>EW297</f>
        <v/>
      </c>
      <c r="EX287" s="403">
        <f>EX297</f>
        <v/>
      </c>
      <c r="EY287" s="403">
        <f>EY297</f>
        <v/>
      </c>
      <c r="EZ287" s="403">
        <f>EZ297</f>
        <v/>
      </c>
      <c r="FA287" s="403">
        <f>FA297</f>
        <v/>
      </c>
      <c r="FB287" s="403">
        <f>FB297</f>
        <v/>
      </c>
      <c r="FC287" s="403">
        <f>FC297</f>
        <v/>
      </c>
      <c r="FD287" s="403">
        <f>FD297</f>
        <v/>
      </c>
      <c r="FE287" s="403">
        <f>FE297</f>
        <v/>
      </c>
      <c r="FF287" s="403">
        <f>FF297</f>
        <v/>
      </c>
      <c r="FG287" s="403">
        <f>FG297</f>
        <v/>
      </c>
      <c r="FH287" s="403">
        <f>FH297</f>
        <v/>
      </c>
      <c r="FI287" s="403">
        <f>FI297</f>
        <v/>
      </c>
      <c r="FJ287" s="403">
        <f>FJ297</f>
        <v/>
      </c>
      <c r="FK287" s="403">
        <f>FK297</f>
        <v/>
      </c>
      <c r="FL287" s="403">
        <f>FL297</f>
        <v/>
      </c>
      <c r="FM287" s="403">
        <f>FM297</f>
        <v/>
      </c>
      <c r="FN287" s="403">
        <f>FN297</f>
        <v/>
      </c>
      <c r="FO287" s="403">
        <f>FO297</f>
        <v/>
      </c>
      <c r="FP287" s="403">
        <f>FP297</f>
        <v/>
      </c>
      <c r="FQ287" s="403">
        <f>FQ297</f>
        <v/>
      </c>
      <c r="FR287" s="403">
        <f>FR297</f>
        <v/>
      </c>
      <c r="FS287" s="403">
        <f>FS297</f>
        <v/>
      </c>
      <c r="FT287" s="403">
        <f>FT297</f>
        <v/>
      </c>
      <c r="FU287" s="403">
        <f>FU297</f>
        <v/>
      </c>
      <c r="FV287" s="403">
        <f>FV297</f>
        <v/>
      </c>
      <c r="FW287" s="403">
        <f>FW297</f>
        <v/>
      </c>
      <c r="FX287" s="403">
        <f>FX297</f>
        <v/>
      </c>
      <c r="FY287" s="403">
        <f>FY297</f>
        <v/>
      </c>
      <c r="FZ287" s="403">
        <f>FZ297</f>
        <v/>
      </c>
      <c r="GA287" s="403">
        <f>GA297</f>
        <v/>
      </c>
      <c r="GB287" s="403">
        <f>GB297</f>
        <v/>
      </c>
      <c r="GC287" s="403">
        <f>GC297</f>
        <v/>
      </c>
      <c r="GD287" s="403">
        <f>GD297</f>
        <v/>
      </c>
      <c r="GE287" s="403">
        <f>GE297</f>
        <v/>
      </c>
      <c r="GF287" s="403">
        <f>GF297</f>
        <v/>
      </c>
      <c r="GG287" s="403">
        <f>GG297</f>
        <v/>
      </c>
      <c r="GH287" s="403">
        <f>GH297</f>
        <v/>
      </c>
      <c r="GI287" s="403">
        <f>GI297</f>
        <v/>
      </c>
      <c r="GJ287" s="403">
        <f>GJ297</f>
        <v/>
      </c>
      <c r="GK287" s="403">
        <f>GK297</f>
        <v/>
      </c>
      <c r="GL287" s="403">
        <f>GL297</f>
        <v/>
      </c>
      <c r="GM287" s="403">
        <f>GM297</f>
        <v/>
      </c>
      <c r="GN287" s="403">
        <f>GN297</f>
        <v/>
      </c>
      <c r="GO287" s="403">
        <f>GO297</f>
        <v/>
      </c>
      <c r="GP287" s="403">
        <f>GP297</f>
        <v/>
      </c>
      <c r="GQ287" s="403">
        <f>GQ297</f>
        <v/>
      </c>
      <c r="GR287" s="403">
        <f>GR297</f>
        <v/>
      </c>
      <c r="GS287" s="403">
        <f>GS297</f>
        <v/>
      </c>
      <c r="GT287" s="403">
        <f>GT297</f>
        <v/>
      </c>
      <c r="GU287" s="403">
        <f>GU297</f>
        <v/>
      </c>
      <c r="GV287" s="403">
        <f>GV297</f>
        <v/>
      </c>
      <c r="GW287" s="403">
        <f>GW297</f>
        <v/>
      </c>
      <c r="GX287" s="403">
        <f>GX297</f>
        <v/>
      </c>
    </row>
    <row r="288"/>
    <row r="289">
      <c r="A289" t="n">
        <v>17</v>
      </c>
      <c r="B289" t="n">
        <v>0</v>
      </c>
      <c r="C289">
        <f>ROW(SmtRes!A137)</f>
        <v/>
      </c>
      <c r="D289">
        <f>ROW(EtalonRes!A129)</f>
        <v/>
      </c>
      <c r="E289" t="inlineStr">
        <is>
          <t>1</t>
        </is>
      </c>
      <c r="F289" t="inlineStr">
        <is>
          <t>65-10-1</t>
        </is>
      </c>
      <c r="G289" t="inlineStr">
        <is>
          <t>Очистка канализационной сети внутренней</t>
        </is>
      </c>
      <c r="H289" t="inlineStr">
        <is>
          <t>100 м трубопровода</t>
        </is>
      </c>
      <c r="I289">
        <f>ROUND(ROUND(60/100,4),7)</f>
        <v/>
      </c>
      <c r="J289" t="n">
        <v>0</v>
      </c>
      <c r="K289">
        <f>ROUND(ROUND(60/100,4),7)</f>
        <v/>
      </c>
      <c r="O289">
        <f>ROUND(CP289,0)</f>
        <v/>
      </c>
      <c r="P289">
        <f>ROUND(CQ289*I289,0)</f>
        <v/>
      </c>
      <c r="Q289">
        <f>(ROUND((ROUND(((ET289)*I289),0)*BB289),0)+ROUND((ROUND(((AE289-(EU289))*I289),0)*BS289),0))</f>
        <v/>
      </c>
      <c r="R289">
        <f>(ROUND((ROUND(((EU289)*I289),0)*BS289),0)+ROUND((ROUND(((AE289-(EU289))*I289),0)*BS289),0))</f>
        <v/>
      </c>
      <c r="S289">
        <f>ROUND(CT289*I289,0)</f>
        <v/>
      </c>
      <c r="T289">
        <f>ROUND(CU289*I289,0)</f>
        <v/>
      </c>
      <c r="U289">
        <f>ROUND(CV289*I289,7)</f>
        <v/>
      </c>
      <c r="V289">
        <f>ROUND(CW289*I289,7)</f>
        <v/>
      </c>
      <c r="W289">
        <f>ROUND(CX289*I289,0)</f>
        <v/>
      </c>
      <c r="X289">
        <f>ROUND(CY289,0)</f>
        <v/>
      </c>
      <c r="Y289">
        <f>ROUND(CZ289,0)</f>
        <v/>
      </c>
      <c r="AA289" t="n">
        <v>78869116</v>
      </c>
      <c r="AB289">
        <f>ROUND((AC289+AD289+AF289),2)</f>
        <v/>
      </c>
      <c r="AC289">
        <f>ROUND((ES289),2)</f>
        <v/>
      </c>
      <c r="AD289">
        <f>ROUND((((ET289)-(EU289))+AE289),2)</f>
        <v/>
      </c>
      <c r="AE289">
        <f>ROUND((EU289),2)</f>
        <v/>
      </c>
      <c r="AF289">
        <f>ROUND((EV289),2)</f>
        <v/>
      </c>
      <c r="AG289">
        <f>ROUND((AP289),2)</f>
        <v/>
      </c>
      <c r="AH289">
        <f>(EW289)</f>
        <v/>
      </c>
      <c r="AI289">
        <f>(EX289)</f>
        <v/>
      </c>
      <c r="AJ289">
        <f>(AS289)</f>
        <v/>
      </c>
      <c r="AK289" t="n">
        <v>403.3</v>
      </c>
      <c r="AL289" t="n">
        <v>139.36</v>
      </c>
      <c r="AM289" t="n">
        <v>0.87</v>
      </c>
      <c r="AN289" t="n">
        <v>0</v>
      </c>
      <c r="AO289" t="n">
        <v>263.07</v>
      </c>
      <c r="AP289" t="n">
        <v>0</v>
      </c>
      <c r="AQ289" t="n">
        <v>32.2</v>
      </c>
      <c r="AR289" t="n">
        <v>0</v>
      </c>
      <c r="AS289" t="n">
        <v>0</v>
      </c>
      <c r="AT289" t="n">
        <v>103</v>
      </c>
      <c r="AU289" t="n">
        <v>52</v>
      </c>
      <c r="AV289" t="n">
        <v>1</v>
      </c>
      <c r="AW289" t="n">
        <v>1</v>
      </c>
      <c r="AZ289" t="n">
        <v>1</v>
      </c>
      <c r="BA289" t="n">
        <v>52.25</v>
      </c>
      <c r="BB289" t="n">
        <v>25.03</v>
      </c>
      <c r="BC289" t="n">
        <v>11.85</v>
      </c>
      <c r="BD289" t="inlineStr"/>
      <c r="BE289" t="inlineStr"/>
      <c r="BF289" t="inlineStr"/>
      <c r="BG289" t="inlineStr"/>
      <c r="BH289" t="n">
        <v>0</v>
      </c>
      <c r="BI289" t="n">
        <v>1</v>
      </c>
      <c r="BJ289" t="inlineStr">
        <is>
          <t>ТЕРр Московской обл., 65-10-1, приказ Минстроя России №675/пр от 28.02.2017 № 263/пр</t>
        </is>
      </c>
      <c r="BM289" t="n">
        <v>65007</v>
      </c>
      <c r="BN289" t="n">
        <v>0</v>
      </c>
      <c r="BO289" t="inlineStr">
        <is>
          <t>65-10-1</t>
        </is>
      </c>
      <c r="BP289" t="n">
        <v>1</v>
      </c>
      <c r="BQ289" t="n">
        <v>6</v>
      </c>
      <c r="BR289" t="n">
        <v>0</v>
      </c>
      <c r="BS289" t="n">
        <v>52.25</v>
      </c>
      <c r="BT289" t="n">
        <v>1</v>
      </c>
      <c r="BU289" t="n">
        <v>1</v>
      </c>
      <c r="BV289" t="n">
        <v>1</v>
      </c>
      <c r="BW289" t="n">
        <v>1</v>
      </c>
      <c r="BX289" t="n">
        <v>1</v>
      </c>
      <c r="BY289" t="inlineStr"/>
      <c r="BZ289" t="n">
        <v>103</v>
      </c>
      <c r="CA289" t="n">
        <v>52</v>
      </c>
      <c r="CB289" t="inlineStr"/>
      <c r="CE289" t="n">
        <v>12</v>
      </c>
      <c r="CF289" t="n">
        <v>0</v>
      </c>
      <c r="CG289" t="n">
        <v>0</v>
      </c>
      <c r="CM289" t="n">
        <v>0</v>
      </c>
      <c r="CN289" t="inlineStr"/>
      <c r="CO289" t="n">
        <v>0</v>
      </c>
      <c r="CP289">
        <f>(P289+Q289+S289)</f>
        <v/>
      </c>
      <c r="CQ289">
        <f>AC289*BC289</f>
        <v/>
      </c>
      <c r="CR289">
        <f>(ROUND((ROUND(((ET289)*1),0)*BB289),0)+ROUND((ROUND(((AE289-(EU289))*1),0)*BS289),0))</f>
        <v/>
      </c>
      <c r="CS289">
        <f>(ROUND((ROUND(((EU289)*1),0)*BS289),0)+ROUND((ROUND(((AE289-(EU289))*1),0)*BS289),0))</f>
        <v/>
      </c>
      <c r="CT289">
        <f>AF289*BA289</f>
        <v/>
      </c>
      <c r="CU289">
        <f>AG289</f>
        <v/>
      </c>
      <c r="CV289">
        <f>AH289</f>
        <v/>
      </c>
      <c r="CW289">
        <f>AI289</f>
        <v/>
      </c>
      <c r="CX289">
        <f>AJ289</f>
        <v/>
      </c>
      <c r="CY289">
        <f>(((S289+R289)*AT289)/100)</f>
        <v/>
      </c>
      <c r="CZ289">
        <f>(((S289+R289)*AU289)/100)</f>
        <v/>
      </c>
      <c r="DC289" t="inlineStr"/>
      <c r="DD289" t="inlineStr"/>
      <c r="DE289" t="inlineStr"/>
      <c r="DF289" t="inlineStr"/>
      <c r="DG289" t="inlineStr"/>
      <c r="DH289" t="inlineStr"/>
      <c r="DI289" t="inlineStr"/>
      <c r="DJ289" t="inlineStr"/>
      <c r="DK289" t="inlineStr"/>
      <c r="DL289" t="inlineStr"/>
      <c r="DM289" t="inlineStr"/>
      <c r="DN289" t="n">
        <v>0</v>
      </c>
      <c r="DO289" t="n">
        <v>0</v>
      </c>
      <c r="DP289" t="n">
        <v>1</v>
      </c>
      <c r="DQ289" t="n">
        <v>1</v>
      </c>
      <c r="DU289" t="n">
        <v>1013</v>
      </c>
      <c r="DV289" t="inlineStr">
        <is>
          <t>100 м трубопровода</t>
        </is>
      </c>
      <c r="DW289" t="inlineStr">
        <is>
          <t>100 м трубопровода</t>
        </is>
      </c>
      <c r="DX289" t="n">
        <v>1</v>
      </c>
      <c r="DZ289" t="inlineStr"/>
      <c r="EA289" t="inlineStr"/>
      <c r="EB289" t="inlineStr"/>
      <c r="EC289" t="inlineStr"/>
      <c r="EE289" t="n">
        <v>78726000</v>
      </c>
      <c r="EF289" t="n">
        <v>6</v>
      </c>
      <c r="EG289" t="inlineStr">
        <is>
          <t>Ремонтно-строительные работы</t>
        </is>
      </c>
      <c r="EH289" t="n">
        <v>99</v>
      </c>
      <c r="EI289" t="inlineStr">
        <is>
          <t>Внутренние санитарно-технические работы</t>
        </is>
      </c>
      <c r="EJ289" t="n">
        <v>1</v>
      </c>
      <c r="EK289" t="n">
        <v>65007</v>
      </c>
      <c r="EL289" t="inlineStr">
        <is>
          <t>Внутренние санитарнотехнические работы: смена труб, санприборов, запорной арматуры и другое</t>
        </is>
      </c>
      <c r="EM289" t="inlineStr">
        <is>
          <t>рФЕР-65</t>
        </is>
      </c>
      <c r="EO289" t="inlineStr"/>
      <c r="EQ289" t="n">
        <v>0</v>
      </c>
      <c r="ER289" t="n">
        <v>403.3</v>
      </c>
      <c r="ES289" t="n">
        <v>139.36</v>
      </c>
      <c r="ET289" t="n">
        <v>0.87</v>
      </c>
      <c r="EU289" t="n">
        <v>0</v>
      </c>
      <c r="EV289" t="n">
        <v>263.07</v>
      </c>
      <c r="EW289" t="n">
        <v>32.2</v>
      </c>
      <c r="EX289" t="n">
        <v>0</v>
      </c>
      <c r="EY289" t="n">
        <v>0</v>
      </c>
      <c r="FQ289" t="n">
        <v>0</v>
      </c>
      <c r="FR289" t="n">
        <v>0</v>
      </c>
      <c r="FS289" t="n">
        <v>0</v>
      </c>
      <c r="FX289" t="n">
        <v>103</v>
      </c>
      <c r="FY289" t="n">
        <v>52</v>
      </c>
      <c r="GA289" t="inlineStr"/>
      <c r="GD289" t="n">
        <v>1</v>
      </c>
      <c r="GF289" t="n">
        <v>-66904957</v>
      </c>
      <c r="GG289" t="n">
        <v>2</v>
      </c>
      <c r="GH289" t="n">
        <v>1</v>
      </c>
      <c r="GI289" t="n">
        <v>2</v>
      </c>
      <c r="GJ289" t="n">
        <v>0</v>
      </c>
      <c r="GK289" t="n">
        <v>0</v>
      </c>
      <c r="GL289">
        <f>ROUND(IF(AND(BH289=3,BI289=3,FS289&lt;&gt;0),P289,0),0)</f>
        <v/>
      </c>
      <c r="GM289">
        <f>ROUND(O289+X289+Y289,0)+GX289</f>
        <v/>
      </c>
      <c r="GN289">
        <f>IF(OR(BI289=0,BI289=1),GM289-GX289,0)</f>
        <v/>
      </c>
      <c r="GO289">
        <f>IF(BI289=2,GM289-GX289,0)</f>
        <v/>
      </c>
      <c r="GP289">
        <f>IF(BI289=4,GM289-GX289,0)</f>
        <v/>
      </c>
      <c r="GR289" t="n">
        <v>0</v>
      </c>
      <c r="GS289" t="n">
        <v>3</v>
      </c>
      <c r="GT289" t="n">
        <v>0</v>
      </c>
      <c r="GU289" t="inlineStr"/>
      <c r="GV289">
        <f>ROUND((GT289),2)</f>
        <v/>
      </c>
      <c r="GW289" t="n">
        <v>1</v>
      </c>
      <c r="GX289">
        <f>ROUND(HC289*I289,0)</f>
        <v/>
      </c>
      <c r="HA289" t="n">
        <v>0</v>
      </c>
      <c r="HB289" t="n">
        <v>0</v>
      </c>
      <c r="HC289">
        <f>GV289*GW289</f>
        <v/>
      </c>
      <c r="HE289" t="inlineStr"/>
      <c r="HF289" t="inlineStr"/>
      <c r="HM289" t="inlineStr"/>
      <c r="HN289" t="inlineStr">
        <is>
          <t>Пр/812-099.2-1</t>
        </is>
      </c>
      <c r="HO289" t="inlineStr">
        <is>
          <t>Пр/774-099.2</t>
        </is>
      </c>
      <c r="HP289" t="inlineStr">
        <is>
          <t>Внутренние санитарнотехнические работы: смена труб, санприборов, запорной арматуры и другое</t>
        </is>
      </c>
      <c r="HQ289" t="inlineStr">
        <is>
          <t>Внутренние санитарнотехнические работы: смена труб, санприборов, запорной арматуры и другое</t>
        </is>
      </c>
      <c r="HS289" t="n">
        <v>0</v>
      </c>
      <c r="IK289" t="n">
        <v>0</v>
      </c>
    </row>
    <row r="290">
      <c r="A290" t="n">
        <v>17</v>
      </c>
      <c r="B290" t="n">
        <v>0</v>
      </c>
      <c r="C290">
        <f>ROW(SmtRes!A140)</f>
        <v/>
      </c>
      <c r="D290">
        <f>ROW(EtalonRes!A131)</f>
        <v/>
      </c>
      <c r="E290" t="inlineStr">
        <is>
          <t>2</t>
        </is>
      </c>
      <c r="F290" t="inlineStr">
        <is>
          <t>67-5-2</t>
        </is>
      </c>
      <c r="G290" t="inlineStr">
        <is>
          <t>Смена ламп люминесцентных</t>
        </is>
      </c>
      <c r="H290" t="inlineStr">
        <is>
          <t>100 шт.</t>
        </is>
      </c>
      <c r="I290">
        <f>ROUND(ROUND(2/100,4),7)</f>
        <v/>
      </c>
      <c r="J290" t="n">
        <v>0</v>
      </c>
      <c r="K290">
        <f>ROUND(ROUND(2/100,4),7)</f>
        <v/>
      </c>
      <c r="O290">
        <f>ROUND(CP290,0)</f>
        <v/>
      </c>
      <c r="P290">
        <f>ROUND(CQ290*I290,0)</f>
        <v/>
      </c>
      <c r="Q290">
        <f>(ROUND((ROUND(((ET290)*I290),0)*BB290),0)+ROUND((ROUND(((AE290-(EU290))*I290),0)*BS290),0))</f>
        <v/>
      </c>
      <c r="R290">
        <f>(ROUND((ROUND(((EU290)*I290),0)*BS290),0)+ROUND((ROUND(((AE290-(EU290))*I290),0)*BS290),0))</f>
        <v/>
      </c>
      <c r="S290">
        <f>ROUND(CT290*I290,0)</f>
        <v/>
      </c>
      <c r="T290">
        <f>ROUND(CU290*I290,0)</f>
        <v/>
      </c>
      <c r="U290">
        <f>ROUND(CV290*I290,7)</f>
        <v/>
      </c>
      <c r="V290">
        <f>ROUND(CW290*I290,7)</f>
        <v/>
      </c>
      <c r="W290">
        <f>ROUND(CX290*I290,0)</f>
        <v/>
      </c>
      <c r="X290">
        <f>ROUND(CY290,0)</f>
        <v/>
      </c>
      <c r="Y290">
        <f>ROUND(CZ290,0)</f>
        <v/>
      </c>
      <c r="AA290" t="n">
        <v>78869116</v>
      </c>
      <c r="AB290">
        <f>ROUND((AC290+AD290+AF290),2)</f>
        <v/>
      </c>
      <c r="AC290">
        <f>ROUND((ES290),2)</f>
        <v/>
      </c>
      <c r="AD290">
        <f>ROUND((((ET290)-(EU290))+AE290),2)</f>
        <v/>
      </c>
      <c r="AE290">
        <f>ROUND((EU290),2)</f>
        <v/>
      </c>
      <c r="AF290">
        <f>ROUND((EV290),2)</f>
        <v/>
      </c>
      <c r="AG290">
        <f>ROUND((AP290),2)</f>
        <v/>
      </c>
      <c r="AH290">
        <f>(EW290)</f>
        <v/>
      </c>
      <c r="AI290">
        <f>(EX290)</f>
        <v/>
      </c>
      <c r="AJ290">
        <f>(AS290)</f>
        <v/>
      </c>
      <c r="AK290" t="n">
        <v>970.5700000000001</v>
      </c>
      <c r="AL290" t="n">
        <v>852</v>
      </c>
      <c r="AM290" t="n">
        <v>0</v>
      </c>
      <c r="AN290" t="n">
        <v>0</v>
      </c>
      <c r="AO290" t="n">
        <v>118.57</v>
      </c>
      <c r="AP290" t="n">
        <v>0</v>
      </c>
      <c r="AQ290" t="n">
        <v>13.9</v>
      </c>
      <c r="AR290" t="n">
        <v>0</v>
      </c>
      <c r="AS290" t="n">
        <v>0</v>
      </c>
      <c r="AT290" t="n">
        <v>91</v>
      </c>
      <c r="AU290" t="n">
        <v>48</v>
      </c>
      <c r="AV290" t="n">
        <v>1</v>
      </c>
      <c r="AW290" t="n">
        <v>1</v>
      </c>
      <c r="AZ290" t="n">
        <v>1</v>
      </c>
      <c r="BA290" t="n">
        <v>52.25</v>
      </c>
      <c r="BB290" t="n">
        <v>1</v>
      </c>
      <c r="BC290" t="n">
        <v>4.14</v>
      </c>
      <c r="BD290" t="inlineStr"/>
      <c r="BE290" t="inlineStr"/>
      <c r="BF290" t="inlineStr"/>
      <c r="BG290" t="inlineStr"/>
      <c r="BH290" t="n">
        <v>0</v>
      </c>
      <c r="BI290" t="n">
        <v>1</v>
      </c>
      <c r="BJ290" t="inlineStr">
        <is>
          <t>ТЕРр Московской обл., 67-5-2, приказ Минстроя России №675/пр от 28.02.2017 № 263/пр</t>
        </is>
      </c>
      <c r="BM290" t="n">
        <v>67001</v>
      </c>
      <c r="BN290" t="n">
        <v>0</v>
      </c>
      <c r="BO290" t="inlineStr">
        <is>
          <t>67-5-2</t>
        </is>
      </c>
      <c r="BP290" t="n">
        <v>1</v>
      </c>
      <c r="BQ290" t="n">
        <v>6</v>
      </c>
      <c r="BR290" t="n">
        <v>0</v>
      </c>
      <c r="BS290" t="n">
        <v>52.25</v>
      </c>
      <c r="BT290" t="n">
        <v>1</v>
      </c>
      <c r="BU290" t="n">
        <v>1</v>
      </c>
      <c r="BV290" t="n">
        <v>1</v>
      </c>
      <c r="BW290" t="n">
        <v>1</v>
      </c>
      <c r="BX290" t="n">
        <v>1</v>
      </c>
      <c r="BY290" t="inlineStr"/>
      <c r="BZ290" t="n">
        <v>91</v>
      </c>
      <c r="CA290" t="n">
        <v>48</v>
      </c>
      <c r="CB290" t="inlineStr"/>
      <c r="CE290" t="n">
        <v>12</v>
      </c>
      <c r="CF290" t="n">
        <v>0</v>
      </c>
      <c r="CG290" t="n">
        <v>0</v>
      </c>
      <c r="CM290" t="n">
        <v>0</v>
      </c>
      <c r="CN290" t="inlineStr"/>
      <c r="CO290" t="n">
        <v>0</v>
      </c>
      <c r="CP290">
        <f>(P290+Q290+S290)</f>
        <v/>
      </c>
      <c r="CQ290">
        <f>AC290*BC290</f>
        <v/>
      </c>
      <c r="CR290">
        <f>(ROUND((ROUND(((ET290)*1),0)*BB290),0)+ROUND((ROUND(((AE290-(EU290))*1),0)*BS290),0))</f>
        <v/>
      </c>
      <c r="CS290">
        <f>(ROUND((ROUND(((EU290)*1),0)*BS290),0)+ROUND((ROUND(((AE290-(EU290))*1),0)*BS290),0))</f>
        <v/>
      </c>
      <c r="CT290">
        <f>AF290*BA290</f>
        <v/>
      </c>
      <c r="CU290">
        <f>AG290</f>
        <v/>
      </c>
      <c r="CV290">
        <f>AH290</f>
        <v/>
      </c>
      <c r="CW290">
        <f>AI290</f>
        <v/>
      </c>
      <c r="CX290">
        <f>AJ290</f>
        <v/>
      </c>
      <c r="CY290">
        <f>(((S290+R290)*AT290)/100)</f>
        <v/>
      </c>
      <c r="CZ290">
        <f>(((S290+R290)*AU290)/100)</f>
        <v/>
      </c>
      <c r="DC290" t="inlineStr"/>
      <c r="DD290" t="inlineStr"/>
      <c r="DE290" t="inlineStr"/>
      <c r="DF290" t="inlineStr"/>
      <c r="DG290" t="inlineStr"/>
      <c r="DH290" t="inlineStr"/>
      <c r="DI290" t="inlineStr"/>
      <c r="DJ290" t="inlineStr"/>
      <c r="DK290" t="inlineStr"/>
      <c r="DL290" t="inlineStr"/>
      <c r="DM290" t="inlineStr"/>
      <c r="DN290" t="n">
        <v>0</v>
      </c>
      <c r="DO290" t="n">
        <v>0</v>
      </c>
      <c r="DP290" t="n">
        <v>1</v>
      </c>
      <c r="DQ290" t="n">
        <v>1</v>
      </c>
      <c r="DU290" t="n">
        <v>1010</v>
      </c>
      <c r="DV290" t="inlineStr">
        <is>
          <t>100 шт.</t>
        </is>
      </c>
      <c r="DW290" t="inlineStr">
        <is>
          <t>100 шт.</t>
        </is>
      </c>
      <c r="DX290" t="n">
        <v>100</v>
      </c>
      <c r="DZ290" t="inlineStr"/>
      <c r="EA290" t="inlineStr"/>
      <c r="EB290" t="inlineStr"/>
      <c r="EC290" t="inlineStr"/>
      <c r="EE290" t="n">
        <v>78726030</v>
      </c>
      <c r="EF290" t="n">
        <v>6</v>
      </c>
      <c r="EG290" t="inlineStr">
        <is>
          <t>Ремонтно-строительные работы</t>
        </is>
      </c>
      <c r="EH290" t="n">
        <v>101</v>
      </c>
      <c r="EI290" t="inlineStr">
        <is>
          <t>Электромонтажные работы</t>
        </is>
      </c>
      <c r="EJ290" t="n">
        <v>1</v>
      </c>
      <c r="EK290" t="n">
        <v>67001</v>
      </c>
      <c r="EL290" t="inlineStr">
        <is>
          <t>Электромонтажные работы</t>
        </is>
      </c>
      <c r="EM290" t="inlineStr">
        <is>
          <t>рФЕР-67</t>
        </is>
      </c>
      <c r="EO290" t="inlineStr"/>
      <c r="EQ290" t="n">
        <v>0</v>
      </c>
      <c r="ER290" t="n">
        <v>970.5700000000001</v>
      </c>
      <c r="ES290" t="n">
        <v>852</v>
      </c>
      <c r="ET290" t="n">
        <v>0</v>
      </c>
      <c r="EU290" t="n">
        <v>0</v>
      </c>
      <c r="EV290" t="n">
        <v>118.57</v>
      </c>
      <c r="EW290" t="n">
        <v>13.9</v>
      </c>
      <c r="EX290" t="n">
        <v>0</v>
      </c>
      <c r="EY290" t="n">
        <v>0</v>
      </c>
      <c r="FQ290" t="n">
        <v>0</v>
      </c>
      <c r="FR290" t="n">
        <v>0</v>
      </c>
      <c r="FS290" t="n">
        <v>0</v>
      </c>
      <c r="FX290" t="n">
        <v>91</v>
      </c>
      <c r="FY290" t="n">
        <v>48</v>
      </c>
      <c r="GA290" t="inlineStr"/>
      <c r="GD290" t="n">
        <v>1</v>
      </c>
      <c r="GF290" t="n">
        <v>1400342257</v>
      </c>
      <c r="GG290" t="n">
        <v>2</v>
      </c>
      <c r="GH290" t="n">
        <v>1</v>
      </c>
      <c r="GI290" t="n">
        <v>2</v>
      </c>
      <c r="GJ290" t="n">
        <v>0</v>
      </c>
      <c r="GK290" t="n">
        <v>0</v>
      </c>
      <c r="GL290">
        <f>ROUND(IF(AND(BH290=3,BI290=3,FS290&lt;&gt;0),P290,0),0)</f>
        <v/>
      </c>
      <c r="GM290">
        <f>ROUND(O290+X290+Y290,0)+GX290</f>
        <v/>
      </c>
      <c r="GN290">
        <f>IF(OR(BI290=0,BI290=1),GM290-GX290,0)</f>
        <v/>
      </c>
      <c r="GO290">
        <f>IF(BI290=2,GM290-GX290,0)</f>
        <v/>
      </c>
      <c r="GP290">
        <f>IF(BI290=4,GM290-GX290,0)</f>
        <v/>
      </c>
      <c r="GR290" t="n">
        <v>0</v>
      </c>
      <c r="GS290" t="n">
        <v>3</v>
      </c>
      <c r="GT290" t="n">
        <v>0</v>
      </c>
      <c r="GU290" t="inlineStr"/>
      <c r="GV290">
        <f>ROUND((GT290),2)</f>
        <v/>
      </c>
      <c r="GW290" t="n">
        <v>1</v>
      </c>
      <c r="GX290">
        <f>ROUND(HC290*I290,0)</f>
        <v/>
      </c>
      <c r="HA290" t="n">
        <v>0</v>
      </c>
      <c r="HB290" t="n">
        <v>0</v>
      </c>
      <c r="HC290">
        <f>GV290*GW290</f>
        <v/>
      </c>
      <c r="HE290" t="inlineStr"/>
      <c r="HF290" t="inlineStr"/>
      <c r="HM290" t="inlineStr"/>
      <c r="HN290" t="inlineStr">
        <is>
          <t>Пр/812-101.0-1</t>
        </is>
      </c>
      <c r="HO290" t="inlineStr">
        <is>
          <t>Пр/774-101.0</t>
        </is>
      </c>
      <c r="HP290" t="inlineStr">
        <is>
          <t>Электромонтажные работы</t>
        </is>
      </c>
      <c r="HQ290" t="inlineStr">
        <is>
          <t>Электромонтажные работы</t>
        </is>
      </c>
      <c r="HS290" t="n">
        <v>0</v>
      </c>
      <c r="IK290" t="n">
        <v>0</v>
      </c>
    </row>
    <row r="291">
      <c r="A291" t="n">
        <v>18</v>
      </c>
      <c r="B291" t="n">
        <v>0</v>
      </c>
      <c r="C291" t="n">
        <v>140</v>
      </c>
      <c r="E291" t="inlineStr">
        <is>
          <t>2,1</t>
        </is>
      </c>
      <c r="F291" t="inlineStr">
        <is>
          <t>509-6744</t>
        </is>
      </c>
      <c r="G291" t="inlineStr">
        <is>
          <t>Лампы люминесцентные компактные энергосберегающие с цоколем Е27 мощностью 55 Вт</t>
        </is>
      </c>
      <c r="H291" t="inlineStr">
        <is>
          <t>шт.</t>
        </is>
      </c>
      <c r="I291">
        <f>I290*J291</f>
        <v/>
      </c>
      <c r="J291" t="n">
        <v>100</v>
      </c>
      <c r="K291" t="n">
        <v>100</v>
      </c>
      <c r="O291">
        <f>ROUND(CP291,0)</f>
        <v/>
      </c>
      <c r="P291">
        <f>ROUND(CQ291*I291,0)</f>
        <v/>
      </c>
      <c r="Q291">
        <f>(ROUND((ROUND(((ET291)*I291),0)*BB291),0)+ROUND((ROUND(((AE291-(EU291))*I291),0)*BS291),0))</f>
        <v/>
      </c>
      <c r="R291">
        <f>(ROUND((ROUND(((EU291)*I291),0)*BS291),0)+ROUND((ROUND(((AE291-(EU291))*I291),0)*BS291),0))</f>
        <v/>
      </c>
      <c r="S291">
        <f>ROUND(CT291*I291,0)</f>
        <v/>
      </c>
      <c r="T291">
        <f>ROUND(CU291*I291,0)</f>
        <v/>
      </c>
      <c r="U291">
        <f>ROUND(CV291*I291,7)</f>
        <v/>
      </c>
      <c r="V291">
        <f>ROUND(CW291*I291,7)</f>
        <v/>
      </c>
      <c r="W291">
        <f>ROUND(CX291*I291,0)</f>
        <v/>
      </c>
      <c r="X291">
        <f>ROUND(CY291,0)</f>
        <v/>
      </c>
      <c r="Y291">
        <f>ROUND(CZ291,0)</f>
        <v/>
      </c>
      <c r="AA291" t="n">
        <v>78869116</v>
      </c>
      <c r="AB291">
        <f>ROUND((AC291+AD291+AF291),2)</f>
        <v/>
      </c>
      <c r="AC291">
        <f>ROUND((ES291),2)</f>
        <v/>
      </c>
      <c r="AD291">
        <f>ROUND((((ET291)-(EU291))+AE291),2)</f>
        <v/>
      </c>
      <c r="AE291">
        <f>ROUND((EU291),2)</f>
        <v/>
      </c>
      <c r="AF291">
        <f>ROUND((EV291),2)</f>
        <v/>
      </c>
      <c r="AG291">
        <f>ROUND((AP291),2)</f>
        <v/>
      </c>
      <c r="AH291">
        <f>(EW291)</f>
        <v/>
      </c>
      <c r="AI291">
        <f>(EX291)</f>
        <v/>
      </c>
      <c r="AJ291">
        <f>(AS291)</f>
        <v/>
      </c>
      <c r="AK291" t="n">
        <v>140.69</v>
      </c>
      <c r="AL291" t="n">
        <v>140.69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  <c r="AS291" t="n">
        <v>0.02</v>
      </c>
      <c r="AT291" t="n">
        <v>91</v>
      </c>
      <c r="AU291" t="n">
        <v>48</v>
      </c>
      <c r="AV291" t="n">
        <v>1</v>
      </c>
      <c r="AW291" t="n">
        <v>1</v>
      </c>
      <c r="AZ291" t="n">
        <v>1</v>
      </c>
      <c r="BA291" t="n">
        <v>1</v>
      </c>
      <c r="BB291" t="n">
        <v>1</v>
      </c>
      <c r="BC291" t="n">
        <v>1.69</v>
      </c>
      <c r="BD291" t="inlineStr"/>
      <c r="BE291" t="inlineStr"/>
      <c r="BF291" t="inlineStr"/>
      <c r="BG291" t="inlineStr"/>
      <c r="BH291" t="n">
        <v>3</v>
      </c>
      <c r="BI291" t="n">
        <v>1</v>
      </c>
      <c r="BJ291" t="inlineStr">
        <is>
          <t>ТССЦ Московской обл., 509-6744, приказ Минстроя России №675/пр от 28.02.2017 № 258/пр</t>
        </is>
      </c>
      <c r="BM291" t="n">
        <v>67001</v>
      </c>
      <c r="BN291" t="n">
        <v>0</v>
      </c>
      <c r="BO291" t="inlineStr">
        <is>
          <t>509-6744</t>
        </is>
      </c>
      <c r="BP291" t="n">
        <v>1</v>
      </c>
      <c r="BQ291" t="n">
        <v>6</v>
      </c>
      <c r="BR291" t="n">
        <v>0</v>
      </c>
      <c r="BS291" t="n">
        <v>1</v>
      </c>
      <c r="BT291" t="n">
        <v>1</v>
      </c>
      <c r="BU291" t="n">
        <v>1</v>
      </c>
      <c r="BV291" t="n">
        <v>1</v>
      </c>
      <c r="BW291" t="n">
        <v>1</v>
      </c>
      <c r="BX291" t="n">
        <v>1</v>
      </c>
      <c r="BY291" t="inlineStr"/>
      <c r="BZ291" t="n">
        <v>91</v>
      </c>
      <c r="CA291" t="n">
        <v>48</v>
      </c>
      <c r="CB291" t="inlineStr"/>
      <c r="CE291" t="n">
        <v>12</v>
      </c>
      <c r="CF291" t="n">
        <v>0</v>
      </c>
      <c r="CG291" t="n">
        <v>0</v>
      </c>
      <c r="CM291" t="n">
        <v>0</v>
      </c>
      <c r="CN291" t="inlineStr"/>
      <c r="CO291" t="n">
        <v>0</v>
      </c>
      <c r="CP291">
        <f>(P291+Q291+S291)</f>
        <v/>
      </c>
      <c r="CQ291">
        <f>AC291*BC291</f>
        <v/>
      </c>
      <c r="CR291">
        <f>(ROUND((ROUND(((ET291)*1),0)*BB291),0)+ROUND((ROUND(((AE291-(EU291))*1),0)*BS291),0))</f>
        <v/>
      </c>
      <c r="CS291">
        <f>(ROUND((ROUND(((EU291)*1),0)*BS291),0)+ROUND((ROUND(((AE291-(EU291))*1),0)*BS291),0))</f>
        <v/>
      </c>
      <c r="CT291">
        <f>AF291*BA291</f>
        <v/>
      </c>
      <c r="CU291">
        <f>AG291</f>
        <v/>
      </c>
      <c r="CV291">
        <f>AH291</f>
        <v/>
      </c>
      <c r="CW291">
        <f>AI291</f>
        <v/>
      </c>
      <c r="CX291">
        <f>AJ291</f>
        <v/>
      </c>
      <c r="CY291">
        <f>(((S291+R291)*AT291)/100)</f>
        <v/>
      </c>
      <c r="CZ291">
        <f>(((S291+R291)*AU291)/100)</f>
        <v/>
      </c>
      <c r="DC291" t="inlineStr"/>
      <c r="DD291" t="inlineStr"/>
      <c r="DE291" t="inlineStr"/>
      <c r="DF291" t="inlineStr"/>
      <c r="DG291" t="inlineStr"/>
      <c r="DH291" t="inlineStr"/>
      <c r="DI291" t="inlineStr"/>
      <c r="DJ291" t="inlineStr"/>
      <c r="DK291" t="inlineStr"/>
      <c r="DL291" t="inlineStr"/>
      <c r="DM291" t="inlineStr"/>
      <c r="DN291" t="n">
        <v>0</v>
      </c>
      <c r="DO291" t="n">
        <v>0</v>
      </c>
      <c r="DP291" t="n">
        <v>1</v>
      </c>
      <c r="DQ291" t="n">
        <v>1</v>
      </c>
      <c r="DU291" t="n">
        <v>1010</v>
      </c>
      <c r="DV291" t="inlineStr">
        <is>
          <t>шт.</t>
        </is>
      </c>
      <c r="DW291" t="inlineStr">
        <is>
          <t>шт.</t>
        </is>
      </c>
      <c r="DX291" t="n">
        <v>1</v>
      </c>
      <c r="DZ291" t="inlineStr"/>
      <c r="EA291" t="inlineStr"/>
      <c r="EB291" t="inlineStr"/>
      <c r="EC291" t="inlineStr"/>
      <c r="EE291" t="n">
        <v>78726030</v>
      </c>
      <c r="EF291" t="n">
        <v>6</v>
      </c>
      <c r="EG291" t="inlineStr">
        <is>
          <t>Ремонтно-строительные работы</t>
        </is>
      </c>
      <c r="EH291" t="n">
        <v>101</v>
      </c>
      <c r="EI291" t="inlineStr">
        <is>
          <t>Электромонтажные работы</t>
        </is>
      </c>
      <c r="EJ291" t="n">
        <v>1</v>
      </c>
      <c r="EK291" t="n">
        <v>67001</v>
      </c>
      <c r="EL291" t="inlineStr">
        <is>
          <t>Электромонтажные работы</t>
        </is>
      </c>
      <c r="EM291" t="inlineStr">
        <is>
          <t>рФЕР-67</t>
        </is>
      </c>
      <c r="EO291" t="inlineStr"/>
      <c r="EQ291" t="n">
        <v>0</v>
      </c>
      <c r="ER291" t="n">
        <v>140.69</v>
      </c>
      <c r="ES291" t="n">
        <v>140.69</v>
      </c>
      <c r="ET291" t="n">
        <v>0</v>
      </c>
      <c r="EU291" t="n">
        <v>0</v>
      </c>
      <c r="EV291" t="n">
        <v>0</v>
      </c>
      <c r="EW291" t="n">
        <v>0</v>
      </c>
      <c r="EX291" t="n">
        <v>0</v>
      </c>
      <c r="FQ291" t="n">
        <v>0</v>
      </c>
      <c r="FR291" t="n">
        <v>0</v>
      </c>
      <c r="FS291" t="n">
        <v>0</v>
      </c>
      <c r="FX291" t="n">
        <v>91</v>
      </c>
      <c r="FY291" t="n">
        <v>48</v>
      </c>
      <c r="GA291" t="inlineStr"/>
      <c r="GD291" t="n">
        <v>1</v>
      </c>
      <c r="GF291" t="n">
        <v>-228955380</v>
      </c>
      <c r="GG291" t="n">
        <v>2</v>
      </c>
      <c r="GH291" t="n">
        <v>1</v>
      </c>
      <c r="GI291" t="n">
        <v>2</v>
      </c>
      <c r="GJ291" t="n">
        <v>0</v>
      </c>
      <c r="GK291" t="n">
        <v>0</v>
      </c>
      <c r="GL291">
        <f>ROUND(IF(AND(BH291=3,BI291=3,FS291&lt;&gt;0),P291,0),0)</f>
        <v/>
      </c>
      <c r="GM291">
        <f>ROUND(O291+X291+Y291,0)+GX291</f>
        <v/>
      </c>
      <c r="GN291">
        <f>IF(OR(BI291=0,BI291=1),GM291-GX291,0)</f>
        <v/>
      </c>
      <c r="GO291">
        <f>IF(BI291=2,GM291-GX291,0)</f>
        <v/>
      </c>
      <c r="GP291">
        <f>IF(BI291=4,GM291-GX291,0)</f>
        <v/>
      </c>
      <c r="GR291" t="n">
        <v>0</v>
      </c>
      <c r="GS291" t="n">
        <v>3</v>
      </c>
      <c r="GT291" t="n">
        <v>0</v>
      </c>
      <c r="GU291" t="inlineStr"/>
      <c r="GV291">
        <f>ROUND((GT291),2)</f>
        <v/>
      </c>
      <c r="GW291" t="n">
        <v>1</v>
      </c>
      <c r="GX291">
        <f>ROUND(HC291*I291,0)</f>
        <v/>
      </c>
      <c r="HA291" t="n">
        <v>0</v>
      </c>
      <c r="HB291" t="n">
        <v>0</v>
      </c>
      <c r="HC291">
        <f>GV291*GW291</f>
        <v/>
      </c>
      <c r="HE291" t="inlineStr"/>
      <c r="HF291" t="inlineStr"/>
      <c r="HM291" t="inlineStr"/>
      <c r="HN291" t="inlineStr">
        <is>
          <t>Пр/812-101.0-1</t>
        </is>
      </c>
      <c r="HO291" t="inlineStr">
        <is>
          <t>Пр/774-101.0</t>
        </is>
      </c>
      <c r="HP291" t="inlineStr">
        <is>
          <t>Электромонтажные работы</t>
        </is>
      </c>
      <c r="HQ291" t="inlineStr">
        <is>
          <t>Электромонтажные работы</t>
        </is>
      </c>
      <c r="HS291" t="n">
        <v>0</v>
      </c>
      <c r="IK291" t="n">
        <v>0</v>
      </c>
    </row>
    <row r="292">
      <c r="A292" t="n">
        <v>17</v>
      </c>
      <c r="B292" t="n">
        <v>0</v>
      </c>
      <c r="C292">
        <f>ROW(SmtRes!A148)</f>
        <v/>
      </c>
      <c r="D292">
        <f>ROW(EtalonRes!A138)</f>
        <v/>
      </c>
      <c r="E292" t="inlineStr">
        <is>
          <t>3</t>
        </is>
      </c>
      <c r="F292" t="inlineStr">
        <is>
          <t>65-5-1</t>
        </is>
      </c>
      <c r="G292" t="inlineStr">
        <is>
          <t>Смена вентилей и клапанов обратных муфтовых диаметром до 20 мм</t>
        </is>
      </c>
      <c r="H292" t="inlineStr">
        <is>
          <t>100 шт.</t>
        </is>
      </c>
      <c r="I292">
        <f>ROUND(ROUND(5/100,4),7)</f>
        <v/>
      </c>
      <c r="J292" t="n">
        <v>0</v>
      </c>
      <c r="K292">
        <f>ROUND(ROUND(5/100,4),7)</f>
        <v/>
      </c>
      <c r="O292">
        <f>ROUND(CP292,0)</f>
        <v/>
      </c>
      <c r="P292">
        <f>ROUND(CQ292*I292,0)</f>
        <v/>
      </c>
      <c r="Q292">
        <f>(ROUND((ROUND(((ET292)*I292),0)*BB292),0)+ROUND((ROUND(((AE292-(EU292))*I292),0)*BS292),0))</f>
        <v/>
      </c>
      <c r="R292">
        <f>(ROUND((ROUND(((EU292)*I292),0)*BS292),0)+ROUND((ROUND(((AE292-(EU292))*I292),0)*BS292),0))</f>
        <v/>
      </c>
      <c r="S292">
        <f>ROUND(CT292*I292,0)</f>
        <v/>
      </c>
      <c r="T292">
        <f>ROUND(CU292*I292,0)</f>
        <v/>
      </c>
      <c r="U292">
        <f>ROUND(CV292*I292,7)</f>
        <v/>
      </c>
      <c r="V292">
        <f>ROUND(CW292*I292,7)</f>
        <v/>
      </c>
      <c r="W292">
        <f>ROUND(CX292*I292,0)</f>
        <v/>
      </c>
      <c r="X292">
        <f>ROUND(CY292,0)</f>
        <v/>
      </c>
      <c r="Y292">
        <f>ROUND(CZ292,0)</f>
        <v/>
      </c>
      <c r="AA292" t="n">
        <v>78869116</v>
      </c>
      <c r="AB292">
        <f>ROUND((AC292+AD292+AF292),2)</f>
        <v/>
      </c>
      <c r="AC292">
        <f>ROUND((ES292),2)</f>
        <v/>
      </c>
      <c r="AD292">
        <f>ROUND((((ET292)-(EU292))+AE292),2)</f>
        <v/>
      </c>
      <c r="AE292">
        <f>ROUND((EU292),2)</f>
        <v/>
      </c>
      <c r="AF292">
        <f>ROUND((EV292),2)</f>
        <v/>
      </c>
      <c r="AG292">
        <f>ROUND((AP292),2)</f>
        <v/>
      </c>
      <c r="AH292">
        <f>(EW292)</f>
        <v/>
      </c>
      <c r="AI292">
        <f>(EX292)</f>
        <v/>
      </c>
      <c r="AJ292">
        <f>(AS292)</f>
        <v/>
      </c>
      <c r="AK292" t="n">
        <v>2979.16</v>
      </c>
      <c r="AL292" t="n">
        <v>2240.13</v>
      </c>
      <c r="AM292" t="n">
        <v>4.36</v>
      </c>
      <c r="AN292" t="n">
        <v>0</v>
      </c>
      <c r="AO292" t="n">
        <v>734.67</v>
      </c>
      <c r="AP292" t="n">
        <v>0</v>
      </c>
      <c r="AQ292" t="n">
        <v>81</v>
      </c>
      <c r="AR292" t="n">
        <v>0</v>
      </c>
      <c r="AS292" t="n">
        <v>0</v>
      </c>
      <c r="AT292" t="n">
        <v>103</v>
      </c>
      <c r="AU292" t="n">
        <v>52</v>
      </c>
      <c r="AV292" t="n">
        <v>1</v>
      </c>
      <c r="AW292" t="n">
        <v>1</v>
      </c>
      <c r="AZ292" t="n">
        <v>1</v>
      </c>
      <c r="BA292" t="n">
        <v>52.25</v>
      </c>
      <c r="BB292" t="n">
        <v>24.98</v>
      </c>
      <c r="BC292" t="n">
        <v>10.16</v>
      </c>
      <c r="BD292" t="inlineStr"/>
      <c r="BE292" t="inlineStr"/>
      <c r="BF292" t="inlineStr"/>
      <c r="BG292" t="inlineStr"/>
      <c r="BH292" t="n">
        <v>0</v>
      </c>
      <c r="BI292" t="n">
        <v>1</v>
      </c>
      <c r="BJ292" t="inlineStr">
        <is>
          <t>ТЕРр Московской обл., 65-5-1, приказ Минстроя России №675/пр от 28.02.2017 № 263/пр</t>
        </is>
      </c>
      <c r="BM292" t="n">
        <v>65007</v>
      </c>
      <c r="BN292" t="n">
        <v>0</v>
      </c>
      <c r="BO292" t="inlineStr">
        <is>
          <t>65-5-1</t>
        </is>
      </c>
      <c r="BP292" t="n">
        <v>1</v>
      </c>
      <c r="BQ292" t="n">
        <v>6</v>
      </c>
      <c r="BR292" t="n">
        <v>0</v>
      </c>
      <c r="BS292" t="n">
        <v>52.25</v>
      </c>
      <c r="BT292" t="n">
        <v>1</v>
      </c>
      <c r="BU292" t="n">
        <v>1</v>
      </c>
      <c r="BV292" t="n">
        <v>1</v>
      </c>
      <c r="BW292" t="n">
        <v>1</v>
      </c>
      <c r="BX292" t="n">
        <v>1</v>
      </c>
      <c r="BY292" t="inlineStr"/>
      <c r="BZ292" t="n">
        <v>103</v>
      </c>
      <c r="CA292" t="n">
        <v>52</v>
      </c>
      <c r="CB292" t="inlineStr"/>
      <c r="CE292" t="n">
        <v>12</v>
      </c>
      <c r="CF292" t="n">
        <v>0</v>
      </c>
      <c r="CG292" t="n">
        <v>0</v>
      </c>
      <c r="CM292" t="n">
        <v>0</v>
      </c>
      <c r="CN292" t="inlineStr"/>
      <c r="CO292" t="n">
        <v>0</v>
      </c>
      <c r="CP292">
        <f>(P292+Q292+S292)</f>
        <v/>
      </c>
      <c r="CQ292">
        <f>AC292*BC292</f>
        <v/>
      </c>
      <c r="CR292">
        <f>(ROUND((ROUND(((ET292)*1),0)*BB292),0)+ROUND((ROUND(((AE292-(EU292))*1),0)*BS292),0))</f>
        <v/>
      </c>
      <c r="CS292">
        <f>(ROUND((ROUND(((EU292)*1),0)*BS292),0)+ROUND((ROUND(((AE292-(EU292))*1),0)*BS292),0))</f>
        <v/>
      </c>
      <c r="CT292">
        <f>AF292*BA292</f>
        <v/>
      </c>
      <c r="CU292">
        <f>AG292</f>
        <v/>
      </c>
      <c r="CV292">
        <f>AH292</f>
        <v/>
      </c>
      <c r="CW292">
        <f>AI292</f>
        <v/>
      </c>
      <c r="CX292">
        <f>AJ292</f>
        <v/>
      </c>
      <c r="CY292">
        <f>(((S292+R292)*AT292)/100)</f>
        <v/>
      </c>
      <c r="CZ292">
        <f>(((S292+R292)*AU292)/100)</f>
        <v/>
      </c>
      <c r="DC292" t="inlineStr"/>
      <c r="DD292" t="inlineStr"/>
      <c r="DE292" t="inlineStr"/>
      <c r="DF292" t="inlineStr"/>
      <c r="DG292" t="inlineStr"/>
      <c r="DH292" t="inlineStr"/>
      <c r="DI292" t="inlineStr"/>
      <c r="DJ292" t="inlineStr"/>
      <c r="DK292" t="inlineStr"/>
      <c r="DL292" t="inlineStr"/>
      <c r="DM292" t="inlineStr"/>
      <c r="DN292" t="n">
        <v>0</v>
      </c>
      <c r="DO292" t="n">
        <v>0</v>
      </c>
      <c r="DP292" t="n">
        <v>1</v>
      </c>
      <c r="DQ292" t="n">
        <v>1</v>
      </c>
      <c r="DU292" t="n">
        <v>1010</v>
      </c>
      <c r="DV292" t="inlineStr">
        <is>
          <t>100 шт.</t>
        </is>
      </c>
      <c r="DW292" t="inlineStr">
        <is>
          <t>100 шт.</t>
        </is>
      </c>
      <c r="DX292" t="n">
        <v>100</v>
      </c>
      <c r="DZ292" t="inlineStr"/>
      <c r="EA292" t="inlineStr"/>
      <c r="EB292" t="inlineStr"/>
      <c r="EC292" t="inlineStr"/>
      <c r="EE292" t="n">
        <v>78726000</v>
      </c>
      <c r="EF292" t="n">
        <v>6</v>
      </c>
      <c r="EG292" t="inlineStr">
        <is>
          <t>Ремонтно-строительные работы</t>
        </is>
      </c>
      <c r="EH292" t="n">
        <v>99</v>
      </c>
      <c r="EI292" t="inlineStr">
        <is>
          <t>Внутренние санитарно-технические работы</t>
        </is>
      </c>
      <c r="EJ292" t="n">
        <v>1</v>
      </c>
      <c r="EK292" t="n">
        <v>65007</v>
      </c>
      <c r="EL292" t="inlineStr">
        <is>
          <t>Внутренние санитарнотехнические работы: смена труб, санприборов, запорной арматуры и другое</t>
        </is>
      </c>
      <c r="EM292" t="inlineStr">
        <is>
          <t>рФЕР-65</t>
        </is>
      </c>
      <c r="EO292" t="inlineStr"/>
      <c r="EQ292" t="n">
        <v>0</v>
      </c>
      <c r="ER292" t="n">
        <v>2979.16</v>
      </c>
      <c r="ES292" t="n">
        <v>2240.13</v>
      </c>
      <c r="ET292" t="n">
        <v>4.36</v>
      </c>
      <c r="EU292" t="n">
        <v>0</v>
      </c>
      <c r="EV292" t="n">
        <v>734.67</v>
      </c>
      <c r="EW292" t="n">
        <v>81</v>
      </c>
      <c r="EX292" t="n">
        <v>0</v>
      </c>
      <c r="EY292" t="n">
        <v>0</v>
      </c>
      <c r="FQ292" t="n">
        <v>0</v>
      </c>
      <c r="FR292" t="n">
        <v>0</v>
      </c>
      <c r="FS292" t="n">
        <v>0</v>
      </c>
      <c r="FX292" t="n">
        <v>103</v>
      </c>
      <c r="FY292" t="n">
        <v>52</v>
      </c>
      <c r="GA292" t="inlineStr"/>
      <c r="GD292" t="n">
        <v>1</v>
      </c>
      <c r="GF292" t="n">
        <v>152852496</v>
      </c>
      <c r="GG292" t="n">
        <v>2</v>
      </c>
      <c r="GH292" t="n">
        <v>1</v>
      </c>
      <c r="GI292" t="n">
        <v>2</v>
      </c>
      <c r="GJ292" t="n">
        <v>0</v>
      </c>
      <c r="GK292" t="n">
        <v>0</v>
      </c>
      <c r="GL292">
        <f>ROUND(IF(AND(BH292=3,BI292=3,FS292&lt;&gt;0),P292,0),0)</f>
        <v/>
      </c>
      <c r="GM292">
        <f>ROUND(O292+X292+Y292,0)+GX292</f>
        <v/>
      </c>
      <c r="GN292">
        <f>IF(OR(BI292=0,BI292=1),GM292-GX292,0)</f>
        <v/>
      </c>
      <c r="GO292">
        <f>IF(BI292=2,GM292-GX292,0)</f>
        <v/>
      </c>
      <c r="GP292">
        <f>IF(BI292=4,GM292-GX292,0)</f>
        <v/>
      </c>
      <c r="GR292" t="n">
        <v>0</v>
      </c>
      <c r="GS292" t="n">
        <v>3</v>
      </c>
      <c r="GT292" t="n">
        <v>0</v>
      </c>
      <c r="GU292" t="inlineStr"/>
      <c r="GV292">
        <f>ROUND((GT292),2)</f>
        <v/>
      </c>
      <c r="GW292" t="n">
        <v>1</v>
      </c>
      <c r="GX292">
        <f>ROUND(HC292*I292,0)</f>
        <v/>
      </c>
      <c r="HA292" t="n">
        <v>0</v>
      </c>
      <c r="HB292" t="n">
        <v>0</v>
      </c>
      <c r="HC292">
        <f>GV292*GW292</f>
        <v/>
      </c>
      <c r="HE292" t="inlineStr"/>
      <c r="HF292" t="inlineStr"/>
      <c r="HM292" t="inlineStr"/>
      <c r="HN292" t="inlineStr">
        <is>
          <t>Пр/812-099.2-1</t>
        </is>
      </c>
      <c r="HO292" t="inlineStr">
        <is>
          <t>Пр/774-099.2</t>
        </is>
      </c>
      <c r="HP292" t="inlineStr">
        <is>
          <t>Внутренние санитарнотехнические работы: смена труб, санприборов, запорной арматуры и другое</t>
        </is>
      </c>
      <c r="HQ292" t="inlineStr">
        <is>
          <t>Внутренние санитарнотехнические работы: смена труб, санприборов, запорной арматуры и другое</t>
        </is>
      </c>
      <c r="HS292" t="n">
        <v>0</v>
      </c>
      <c r="IK292" t="n">
        <v>0</v>
      </c>
    </row>
    <row r="293">
      <c r="A293" t="n">
        <v>18</v>
      </c>
      <c r="B293" t="n">
        <v>0</v>
      </c>
      <c r="C293" t="n">
        <v>148</v>
      </c>
      <c r="E293" t="inlineStr">
        <is>
          <t>3,1</t>
        </is>
      </c>
      <c r="F293" t="inlineStr">
        <is>
          <t>509-9899</t>
        </is>
      </c>
      <c r="G293" t="inlineStr">
        <is>
          <t>Строительный мусор и масса возвратных материалов</t>
        </is>
      </c>
      <c r="H293" t="inlineStr">
        <is>
          <t>т</t>
        </is>
      </c>
      <c r="I293">
        <f>I292*J293</f>
        <v/>
      </c>
      <c r="J293" t="n">
        <v>0.04</v>
      </c>
      <c r="K293" t="n">
        <v>0.04</v>
      </c>
      <c r="O293">
        <f>ROUND(CP293,0)</f>
        <v/>
      </c>
      <c r="P293">
        <f>ROUND(CQ293*I293,0)</f>
        <v/>
      </c>
      <c r="Q293">
        <f>(ROUND((ROUND(((ET293)*I293),0)*BB293),0)+ROUND((ROUND(((AE293-(EU293))*I293),0)*BS293),0))</f>
        <v/>
      </c>
      <c r="R293">
        <f>(ROUND((ROUND(((EU293)*I293),0)*BS293),0)+ROUND((ROUND(((AE293-(EU293))*I293),0)*BS293),0))</f>
        <v/>
      </c>
      <c r="S293">
        <f>ROUND(CT293*I293,0)</f>
        <v/>
      </c>
      <c r="T293">
        <f>ROUND(CU293*I293,0)</f>
        <v/>
      </c>
      <c r="U293">
        <f>ROUND(CV293*I293,7)</f>
        <v/>
      </c>
      <c r="V293">
        <f>ROUND(CW293*I293,7)</f>
        <v/>
      </c>
      <c r="W293">
        <f>ROUND(CX293*I293,0)</f>
        <v/>
      </c>
      <c r="X293">
        <f>ROUND(CY293,0)</f>
        <v/>
      </c>
      <c r="Y293">
        <f>ROUND(CZ293,0)</f>
        <v/>
      </c>
      <c r="AA293" t="n">
        <v>78869116</v>
      </c>
      <c r="AB293">
        <f>ROUND((AC293+AD293+AF293),2)</f>
        <v/>
      </c>
      <c r="AC293">
        <f>ROUND((ES293),2)</f>
        <v/>
      </c>
      <c r="AD293">
        <f>ROUND((((ET293)-(EU293))+AE293),2)</f>
        <v/>
      </c>
      <c r="AE293">
        <f>ROUND((EU293),2)</f>
        <v/>
      </c>
      <c r="AF293">
        <f>ROUND((EV293),2)</f>
        <v/>
      </c>
      <c r="AG293">
        <f>ROUND((AP293),2)</f>
        <v/>
      </c>
      <c r="AH293">
        <f>(EW293)</f>
        <v/>
      </c>
      <c r="AI293">
        <f>(EX293)</f>
        <v/>
      </c>
      <c r="AJ293">
        <f>(AS293)</f>
        <v/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  <c r="AS293" t="n">
        <v>0</v>
      </c>
      <c r="AT293" t="n">
        <v>103</v>
      </c>
      <c r="AU293" t="n">
        <v>52</v>
      </c>
      <c r="AV293" t="n">
        <v>1</v>
      </c>
      <c r="AW293" t="n">
        <v>1</v>
      </c>
      <c r="AZ293" t="n">
        <v>1</v>
      </c>
      <c r="BA293" t="n">
        <v>1</v>
      </c>
      <c r="BB293" t="n">
        <v>1</v>
      </c>
      <c r="BC293" t="n">
        <v>1</v>
      </c>
      <c r="BD293" t="inlineStr"/>
      <c r="BE293" t="inlineStr"/>
      <c r="BF293" t="inlineStr"/>
      <c r="BG293" t="inlineStr"/>
      <c r="BH293" t="n">
        <v>3</v>
      </c>
      <c r="BI293" t="n">
        <v>1</v>
      </c>
      <c r="BJ293" t="inlineStr">
        <is>
          <t>ТССЦ Московской обл., 509-9899, приказ Минстроя России №675/пр от 28.02.2017 № 258/пр</t>
        </is>
      </c>
      <c r="BM293" t="n">
        <v>65007</v>
      </c>
      <c r="BN293" t="n">
        <v>0</v>
      </c>
      <c r="BO293" t="inlineStr"/>
      <c r="BP293" t="n">
        <v>0</v>
      </c>
      <c r="BQ293" t="n">
        <v>6</v>
      </c>
      <c r="BR293" t="n">
        <v>0</v>
      </c>
      <c r="BS293" t="n">
        <v>1</v>
      </c>
      <c r="BT293" t="n">
        <v>1</v>
      </c>
      <c r="BU293" t="n">
        <v>1</v>
      </c>
      <c r="BV293" t="n">
        <v>1</v>
      </c>
      <c r="BW293" t="n">
        <v>1</v>
      </c>
      <c r="BX293" t="n">
        <v>1</v>
      </c>
      <c r="BY293" t="inlineStr"/>
      <c r="BZ293" t="n">
        <v>103</v>
      </c>
      <c r="CA293" t="n">
        <v>52</v>
      </c>
      <c r="CB293" t="inlineStr"/>
      <c r="CE293" t="n">
        <v>12</v>
      </c>
      <c r="CF293" t="n">
        <v>0</v>
      </c>
      <c r="CG293" t="n">
        <v>0</v>
      </c>
      <c r="CM293" t="n">
        <v>0</v>
      </c>
      <c r="CN293" t="inlineStr"/>
      <c r="CO293" t="n">
        <v>0</v>
      </c>
      <c r="CP293">
        <f>(P293+Q293+S293)</f>
        <v/>
      </c>
      <c r="CQ293">
        <f>AC293*BC293</f>
        <v/>
      </c>
      <c r="CR293">
        <f>(ROUND((ROUND(((ET293)*1),0)*BB293),0)+ROUND((ROUND(((AE293-(EU293))*1),0)*BS293),0))</f>
        <v/>
      </c>
      <c r="CS293">
        <f>(ROUND((ROUND(((EU293)*1),0)*BS293),0)+ROUND((ROUND(((AE293-(EU293))*1),0)*BS293),0))</f>
        <v/>
      </c>
      <c r="CT293">
        <f>AF293*BA293</f>
        <v/>
      </c>
      <c r="CU293">
        <f>AG293</f>
        <v/>
      </c>
      <c r="CV293">
        <f>AH293</f>
        <v/>
      </c>
      <c r="CW293">
        <f>AI293</f>
        <v/>
      </c>
      <c r="CX293">
        <f>AJ293</f>
        <v/>
      </c>
      <c r="CY293">
        <f>(((S293+R293)*AT293)/100)</f>
        <v/>
      </c>
      <c r="CZ293">
        <f>(((S293+R293)*AU293)/100)</f>
        <v/>
      </c>
      <c r="DC293" t="inlineStr"/>
      <c r="DD293" t="inlineStr"/>
      <c r="DE293" t="inlineStr"/>
      <c r="DF293" t="inlineStr"/>
      <c r="DG293" t="inlineStr"/>
      <c r="DH293" t="inlineStr"/>
      <c r="DI293" t="inlineStr"/>
      <c r="DJ293" t="inlineStr"/>
      <c r="DK293" t="inlineStr"/>
      <c r="DL293" t="inlineStr"/>
      <c r="DM293" t="inlineStr"/>
      <c r="DN293" t="n">
        <v>0</v>
      </c>
      <c r="DO293" t="n">
        <v>0</v>
      </c>
      <c r="DP293" t="n">
        <v>1</v>
      </c>
      <c r="DQ293" t="n">
        <v>1</v>
      </c>
      <c r="DU293" t="n">
        <v>1009</v>
      </c>
      <c r="DV293" t="inlineStr">
        <is>
          <t>т</t>
        </is>
      </c>
      <c r="DW293" t="inlineStr">
        <is>
          <t>т</t>
        </is>
      </c>
      <c r="DX293" t="n">
        <v>1000</v>
      </c>
      <c r="DZ293" t="inlineStr"/>
      <c r="EA293" t="inlineStr"/>
      <c r="EB293" t="inlineStr"/>
      <c r="EC293" t="inlineStr"/>
      <c r="EE293" t="n">
        <v>78726000</v>
      </c>
      <c r="EF293" t="n">
        <v>6</v>
      </c>
      <c r="EG293" t="inlineStr">
        <is>
          <t>Ремонтно-строительные работы</t>
        </is>
      </c>
      <c r="EH293" t="n">
        <v>99</v>
      </c>
      <c r="EI293" t="inlineStr">
        <is>
          <t>Внутренние санитарно-технические работы</t>
        </is>
      </c>
      <c r="EJ293" t="n">
        <v>1</v>
      </c>
      <c r="EK293" t="n">
        <v>65007</v>
      </c>
      <c r="EL293" t="inlineStr">
        <is>
          <t>Внутренние санитарнотехнические работы: смена труб, санприборов, запорной арматуры и другое</t>
        </is>
      </c>
      <c r="EM293" t="inlineStr">
        <is>
          <t>рФЕР-65</t>
        </is>
      </c>
      <c r="EO293" t="inlineStr"/>
      <c r="EQ293" t="n">
        <v>0</v>
      </c>
      <c r="ER293" t="n">
        <v>0</v>
      </c>
      <c r="ES293" t="n">
        <v>0</v>
      </c>
      <c r="ET293" t="n">
        <v>0</v>
      </c>
      <c r="EU293" t="n">
        <v>0</v>
      </c>
      <c r="EV293" t="n">
        <v>0</v>
      </c>
      <c r="EW293" t="n">
        <v>0</v>
      </c>
      <c r="EX293" t="n">
        <v>0</v>
      </c>
      <c r="FQ293" t="n">
        <v>0</v>
      </c>
      <c r="FR293" t="n">
        <v>0</v>
      </c>
      <c r="FS293" t="n">
        <v>0</v>
      </c>
      <c r="FX293" t="n">
        <v>103</v>
      </c>
      <c r="FY293" t="n">
        <v>52</v>
      </c>
      <c r="GA293" t="inlineStr"/>
      <c r="GD293" t="n">
        <v>1</v>
      </c>
      <c r="GF293" t="n">
        <v>1839160745</v>
      </c>
      <c r="GG293" t="n">
        <v>2</v>
      </c>
      <c r="GH293" t="n">
        <v>1</v>
      </c>
      <c r="GI293" t="n">
        <v>-2</v>
      </c>
      <c r="GJ293" t="n">
        <v>0</v>
      </c>
      <c r="GK293" t="n">
        <v>0</v>
      </c>
      <c r="GL293">
        <f>ROUND(IF(AND(BH293=3,BI293=3,FS293&lt;&gt;0),P293,0),0)</f>
        <v/>
      </c>
      <c r="GM293">
        <f>ROUND(O293+X293+Y293,0)+GX293</f>
        <v/>
      </c>
      <c r="GN293">
        <f>IF(OR(BI293=0,BI293=1),GM293-GX293,0)</f>
        <v/>
      </c>
      <c r="GO293">
        <f>IF(BI293=2,GM293-GX293,0)</f>
        <v/>
      </c>
      <c r="GP293">
        <f>IF(BI293=4,GM293-GX293,0)</f>
        <v/>
      </c>
      <c r="GR293" t="n">
        <v>0</v>
      </c>
      <c r="GS293" t="n">
        <v>3</v>
      </c>
      <c r="GT293" t="n">
        <v>0</v>
      </c>
      <c r="GU293" t="inlineStr"/>
      <c r="GV293">
        <f>ROUND((GT293),2)</f>
        <v/>
      </c>
      <c r="GW293" t="n">
        <v>1</v>
      </c>
      <c r="GX293">
        <f>ROUND(HC293*I293,0)</f>
        <v/>
      </c>
      <c r="HA293" t="n">
        <v>0</v>
      </c>
      <c r="HB293" t="n">
        <v>0</v>
      </c>
      <c r="HC293">
        <f>GV293*GW293</f>
        <v/>
      </c>
      <c r="HE293" t="inlineStr"/>
      <c r="HF293" t="inlineStr"/>
      <c r="HM293" t="inlineStr"/>
      <c r="HN293" t="inlineStr">
        <is>
          <t>Пр/812-099.2-1</t>
        </is>
      </c>
      <c r="HO293" t="inlineStr">
        <is>
          <t>Пр/774-099.2</t>
        </is>
      </c>
      <c r="HP293" t="inlineStr">
        <is>
          <t>Внутренние санитарнотехнические работы: смена труб, санприборов, запорной арматуры и другое</t>
        </is>
      </c>
      <c r="HQ293" t="inlineStr">
        <is>
          <t>Внутренние санитарнотехнические работы: смена труб, санприборов, запорной арматуры и другое</t>
        </is>
      </c>
      <c r="HS293" t="n">
        <v>0</v>
      </c>
      <c r="IK293" t="n">
        <v>0</v>
      </c>
    </row>
    <row r="294">
      <c r="A294" t="n">
        <v>18</v>
      </c>
      <c r="B294" t="n">
        <v>0</v>
      </c>
      <c r="C294" t="n">
        <v>146</v>
      </c>
      <c r="E294" t="inlineStr">
        <is>
          <t>3,2</t>
        </is>
      </c>
      <c r="F294" t="inlineStr">
        <is>
          <t>302-0062</t>
        </is>
      </c>
      <c r="G294" t="inlineStr">
        <is>
          <t>Кран шаровый муфтовый Valtec для воды диаметром 15 мм, тип в/в</t>
        </is>
      </c>
      <c r="H294" t="inlineStr">
        <is>
          <t>шт.</t>
        </is>
      </c>
      <c r="I294">
        <f>I292*J294</f>
        <v/>
      </c>
      <c r="J294" t="n">
        <v>100</v>
      </c>
      <c r="K294" t="n">
        <v>100</v>
      </c>
      <c r="O294">
        <f>ROUND(CP294,0)</f>
        <v/>
      </c>
      <c r="P294">
        <f>ROUND(CQ294*I294,0)</f>
        <v/>
      </c>
      <c r="Q294">
        <f>(ROUND((ROUND(((ET294)*I294),0)*BB294),0)+ROUND((ROUND(((AE294-(EU294))*I294),0)*BS294),0))</f>
        <v/>
      </c>
      <c r="R294">
        <f>(ROUND((ROUND(((EU294)*I294),0)*BS294),0)+ROUND((ROUND(((AE294-(EU294))*I294),0)*BS294),0))</f>
        <v/>
      </c>
      <c r="S294">
        <f>ROUND(CT294*I294,0)</f>
        <v/>
      </c>
      <c r="T294">
        <f>ROUND(CU294*I294,0)</f>
        <v/>
      </c>
      <c r="U294">
        <f>ROUND(CV294*I294,7)</f>
        <v/>
      </c>
      <c r="V294">
        <f>ROUND(CW294*I294,7)</f>
        <v/>
      </c>
      <c r="W294">
        <f>ROUND(CX294*I294,0)</f>
        <v/>
      </c>
      <c r="X294">
        <f>ROUND(CY294,0)</f>
        <v/>
      </c>
      <c r="Y294">
        <f>ROUND(CZ294,0)</f>
        <v/>
      </c>
      <c r="AA294" t="n">
        <v>78869116</v>
      </c>
      <c r="AB294">
        <f>ROUND((AC294+AD294+AF294),2)</f>
        <v/>
      </c>
      <c r="AC294">
        <f>ROUND((ES294),2)</f>
        <v/>
      </c>
      <c r="AD294">
        <f>ROUND((((ET294)-(EU294))+AE294),2)</f>
        <v/>
      </c>
      <c r="AE294">
        <f>ROUND((EU294),2)</f>
        <v/>
      </c>
      <c r="AF294">
        <f>ROUND((EV294),2)</f>
        <v/>
      </c>
      <c r="AG294">
        <f>ROUND((AP294),2)</f>
        <v/>
      </c>
      <c r="AH294">
        <f>(EW294)</f>
        <v/>
      </c>
      <c r="AI294">
        <f>(EX294)</f>
        <v/>
      </c>
      <c r="AJ294">
        <f>(AS294)</f>
        <v/>
      </c>
      <c r="AK294" t="n">
        <v>28.53</v>
      </c>
      <c r="AL294" t="n">
        <v>28.53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  <c r="AS294" t="n">
        <v>0.01</v>
      </c>
      <c r="AT294" t="n">
        <v>103</v>
      </c>
      <c r="AU294" t="n">
        <v>52</v>
      </c>
      <c r="AV294" t="n">
        <v>1</v>
      </c>
      <c r="AW294" t="n">
        <v>1</v>
      </c>
      <c r="AZ294" t="n">
        <v>1</v>
      </c>
      <c r="BA294" t="n">
        <v>1</v>
      </c>
      <c r="BB294" t="n">
        <v>1</v>
      </c>
      <c r="BC294" t="n">
        <v>13.47</v>
      </c>
      <c r="BD294" t="inlineStr"/>
      <c r="BE294" t="inlineStr"/>
      <c r="BF294" t="inlineStr"/>
      <c r="BG294" t="inlineStr"/>
      <c r="BH294" t="n">
        <v>3</v>
      </c>
      <c r="BI294" t="n">
        <v>1</v>
      </c>
      <c r="BJ294" t="inlineStr">
        <is>
          <t>ТССЦ Московской обл., 302-0062, приказ Минстроя России №675/пр от 28.02.2017 № 256/пр</t>
        </is>
      </c>
      <c r="BM294" t="n">
        <v>65007</v>
      </c>
      <c r="BN294" t="n">
        <v>0</v>
      </c>
      <c r="BO294" t="inlineStr">
        <is>
          <t>302-0062</t>
        </is>
      </c>
      <c r="BP294" t="n">
        <v>1</v>
      </c>
      <c r="BQ294" t="n">
        <v>6</v>
      </c>
      <c r="BR294" t="n">
        <v>0</v>
      </c>
      <c r="BS294" t="n">
        <v>1</v>
      </c>
      <c r="BT294" t="n">
        <v>1</v>
      </c>
      <c r="BU294" t="n">
        <v>1</v>
      </c>
      <c r="BV294" t="n">
        <v>1</v>
      </c>
      <c r="BW294" t="n">
        <v>1</v>
      </c>
      <c r="BX294" t="n">
        <v>1</v>
      </c>
      <c r="BY294" t="inlineStr"/>
      <c r="BZ294" t="n">
        <v>103</v>
      </c>
      <c r="CA294" t="n">
        <v>52</v>
      </c>
      <c r="CB294" t="inlineStr"/>
      <c r="CE294" t="n">
        <v>12</v>
      </c>
      <c r="CF294" t="n">
        <v>0</v>
      </c>
      <c r="CG294" t="n">
        <v>0</v>
      </c>
      <c r="CM294" t="n">
        <v>0</v>
      </c>
      <c r="CN294" t="inlineStr"/>
      <c r="CO294" t="n">
        <v>0</v>
      </c>
      <c r="CP294">
        <f>(P294+Q294+S294)</f>
        <v/>
      </c>
      <c r="CQ294">
        <f>AC294*BC294</f>
        <v/>
      </c>
      <c r="CR294">
        <f>(ROUND((ROUND(((ET294)*1),0)*BB294),0)+ROUND((ROUND(((AE294-(EU294))*1),0)*BS294),0))</f>
        <v/>
      </c>
      <c r="CS294">
        <f>(ROUND((ROUND(((EU294)*1),0)*BS294),0)+ROUND((ROUND(((AE294-(EU294))*1),0)*BS294),0))</f>
        <v/>
      </c>
      <c r="CT294">
        <f>AF294*BA294</f>
        <v/>
      </c>
      <c r="CU294">
        <f>AG294</f>
        <v/>
      </c>
      <c r="CV294">
        <f>AH294</f>
        <v/>
      </c>
      <c r="CW294">
        <f>AI294</f>
        <v/>
      </c>
      <c r="CX294">
        <f>AJ294</f>
        <v/>
      </c>
      <c r="CY294">
        <f>(((S294+R294)*AT294)/100)</f>
        <v/>
      </c>
      <c r="CZ294">
        <f>(((S294+R294)*AU294)/100)</f>
        <v/>
      </c>
      <c r="DC294" t="inlineStr"/>
      <c r="DD294" t="inlineStr"/>
      <c r="DE294" t="inlineStr"/>
      <c r="DF294" t="inlineStr"/>
      <c r="DG294" t="inlineStr"/>
      <c r="DH294" t="inlineStr"/>
      <c r="DI294" t="inlineStr"/>
      <c r="DJ294" t="inlineStr"/>
      <c r="DK294" t="inlineStr"/>
      <c r="DL294" t="inlineStr"/>
      <c r="DM294" t="inlineStr"/>
      <c r="DN294" t="n">
        <v>0</v>
      </c>
      <c r="DO294" t="n">
        <v>0</v>
      </c>
      <c r="DP294" t="n">
        <v>1</v>
      </c>
      <c r="DQ294" t="n">
        <v>1</v>
      </c>
      <c r="DU294" t="n">
        <v>1010</v>
      </c>
      <c r="DV294" t="inlineStr">
        <is>
          <t>шт.</t>
        </is>
      </c>
      <c r="DW294" t="inlineStr">
        <is>
          <t>шт.</t>
        </is>
      </c>
      <c r="DX294" t="n">
        <v>1</v>
      </c>
      <c r="DZ294" t="inlineStr"/>
      <c r="EA294" t="inlineStr"/>
      <c r="EB294" t="inlineStr"/>
      <c r="EC294" t="inlineStr"/>
      <c r="EE294" t="n">
        <v>78726000</v>
      </c>
      <c r="EF294" t="n">
        <v>6</v>
      </c>
      <c r="EG294" t="inlineStr">
        <is>
          <t>Ремонтно-строительные работы</t>
        </is>
      </c>
      <c r="EH294" t="n">
        <v>99</v>
      </c>
      <c r="EI294" t="inlineStr">
        <is>
          <t>Внутренние санитарно-технические работы</t>
        </is>
      </c>
      <c r="EJ294" t="n">
        <v>1</v>
      </c>
      <c r="EK294" t="n">
        <v>65007</v>
      </c>
      <c r="EL294" t="inlineStr">
        <is>
          <t>Внутренние санитарнотехнические работы: смена труб, санприборов, запорной арматуры и другое</t>
        </is>
      </c>
      <c r="EM294" t="inlineStr">
        <is>
          <t>рФЕР-65</t>
        </is>
      </c>
      <c r="EO294" t="inlineStr"/>
      <c r="EQ294" t="n">
        <v>0</v>
      </c>
      <c r="ER294" t="n">
        <v>28.53</v>
      </c>
      <c r="ES294" t="n">
        <v>28.53</v>
      </c>
      <c r="ET294" t="n">
        <v>0</v>
      </c>
      <c r="EU294" t="n">
        <v>0</v>
      </c>
      <c r="EV294" t="n">
        <v>0</v>
      </c>
      <c r="EW294" t="n">
        <v>0</v>
      </c>
      <c r="EX294" t="n">
        <v>0</v>
      </c>
      <c r="FQ294" t="n">
        <v>0</v>
      </c>
      <c r="FR294" t="n">
        <v>0</v>
      </c>
      <c r="FS294" t="n">
        <v>0</v>
      </c>
      <c r="FX294" t="n">
        <v>103</v>
      </c>
      <c r="FY294" t="n">
        <v>52</v>
      </c>
      <c r="GA294" t="inlineStr"/>
      <c r="GD294" t="n">
        <v>1</v>
      </c>
      <c r="GF294" t="n">
        <v>-1687406522</v>
      </c>
      <c r="GG294" t="n">
        <v>2</v>
      </c>
      <c r="GH294" t="n">
        <v>1</v>
      </c>
      <c r="GI294" t="n">
        <v>2</v>
      </c>
      <c r="GJ294" t="n">
        <v>0</v>
      </c>
      <c r="GK294" t="n">
        <v>0</v>
      </c>
      <c r="GL294">
        <f>ROUND(IF(AND(BH294=3,BI294=3,FS294&lt;&gt;0),P294,0),0)</f>
        <v/>
      </c>
      <c r="GM294">
        <f>ROUND(O294+X294+Y294,0)+GX294</f>
        <v/>
      </c>
      <c r="GN294">
        <f>IF(OR(BI294=0,BI294=1),GM294-GX294,0)</f>
        <v/>
      </c>
      <c r="GO294">
        <f>IF(BI294=2,GM294-GX294,0)</f>
        <v/>
      </c>
      <c r="GP294">
        <f>IF(BI294=4,GM294-GX294,0)</f>
        <v/>
      </c>
      <c r="GR294" t="n">
        <v>0</v>
      </c>
      <c r="GS294" t="n">
        <v>3</v>
      </c>
      <c r="GT294" t="n">
        <v>0</v>
      </c>
      <c r="GU294" t="inlineStr"/>
      <c r="GV294">
        <f>ROUND((GT294),2)</f>
        <v/>
      </c>
      <c r="GW294" t="n">
        <v>1</v>
      </c>
      <c r="GX294">
        <f>ROUND(HC294*I294,0)</f>
        <v/>
      </c>
      <c r="HA294" t="n">
        <v>0</v>
      </c>
      <c r="HB294" t="n">
        <v>0</v>
      </c>
      <c r="HC294">
        <f>GV294*GW294</f>
        <v/>
      </c>
      <c r="HE294" t="inlineStr"/>
      <c r="HF294" t="inlineStr"/>
      <c r="HM294" t="inlineStr"/>
      <c r="HN294" t="inlineStr">
        <is>
          <t>Пр/812-099.2-1</t>
        </is>
      </c>
      <c r="HO294" t="inlineStr">
        <is>
          <t>Пр/774-099.2</t>
        </is>
      </c>
      <c r="HP294" t="inlineStr">
        <is>
          <t>Внутренние санитарнотехнические работы: смена труб, санприборов, запорной арматуры и другое</t>
        </is>
      </c>
      <c r="HQ294" t="inlineStr">
        <is>
          <t>Внутренние санитарнотехнические работы: смена труб, санприборов, запорной арматуры и другое</t>
        </is>
      </c>
      <c r="HS294" t="n">
        <v>0</v>
      </c>
      <c r="IK294" t="n">
        <v>0</v>
      </c>
    </row>
    <row r="295">
      <c r="A295" t="n">
        <v>17</v>
      </c>
      <c r="B295" t="n">
        <v>0</v>
      </c>
      <c r="C295">
        <f>ROW(SmtRes!A154)</f>
        <v/>
      </c>
      <c r="D295">
        <f>ROW(EtalonRes!A144)</f>
        <v/>
      </c>
      <c r="E295" t="inlineStr">
        <is>
          <t>4</t>
        </is>
      </c>
      <c r="F295" t="inlineStr">
        <is>
          <t>16-07-005-1</t>
        </is>
      </c>
      <c r="G29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95" t="inlineStr">
        <is>
          <t>100 м трубопровода</t>
        </is>
      </c>
      <c r="I295">
        <f>ROUND(ROUND(90/100,4),7)</f>
        <v/>
      </c>
      <c r="J295" t="n">
        <v>0</v>
      </c>
      <c r="K295">
        <f>ROUND(ROUND(90/100,4),7)</f>
        <v/>
      </c>
      <c r="O295">
        <f>ROUND(CP295,0)</f>
        <v/>
      </c>
      <c r="P295">
        <f>ROUND(CQ295*I295,0)</f>
        <v/>
      </c>
      <c r="Q295">
        <f>(ROUND((ROUND((((ET295*ROUND(6,7)))*I295),0)*BB295),0)+ROUND((ROUND(((AE295-((EU295*ROUND(6,7))))*I295),0)*BS295),0))</f>
        <v/>
      </c>
      <c r="R295">
        <f>(ROUND((ROUND((((EU295*ROUND(6,7)))*I295),0)*BS295),0)+ROUND((ROUND(((AE295-((EU295*ROUND(6,7))))*I295),0)*BS295),0))</f>
        <v/>
      </c>
      <c r="S295">
        <f>ROUND(CT295*I295,0)</f>
        <v/>
      </c>
      <c r="T295">
        <f>ROUND(CU295*I295,0)</f>
        <v/>
      </c>
      <c r="U295">
        <f>ROUND(CV295*I295,7)</f>
        <v/>
      </c>
      <c r="V295">
        <f>ROUND(CW295*I295,7)</f>
        <v/>
      </c>
      <c r="W295">
        <f>ROUND(CX295*I295,0)</f>
        <v/>
      </c>
      <c r="X295">
        <f>ROUND(CY295,0)</f>
        <v/>
      </c>
      <c r="Y295">
        <f>ROUND(CZ295,0)</f>
        <v/>
      </c>
      <c r="AA295" t="n">
        <v>78869116</v>
      </c>
      <c r="AB295">
        <f>ROUND((AC295+AD295+AF295),2)</f>
        <v/>
      </c>
      <c r="AC295">
        <f>ROUND(((ES295*ROUND(6,7))),2)</f>
        <v/>
      </c>
      <c r="AD295">
        <f>ROUND(((((ET295*ROUND(6,7)))-((EU295*ROUND(6,7))))+AE295),2)</f>
        <v/>
      </c>
      <c r="AE295">
        <f>ROUND(((EU295*ROUND(6,7))),2)</f>
        <v/>
      </c>
      <c r="AF295">
        <f>ROUND(((EV295*ROUND(6,7))),2)</f>
        <v/>
      </c>
      <c r="AG295">
        <f>ROUND((AP295),2)</f>
        <v/>
      </c>
      <c r="AH295">
        <f>((EW295*ROUND(6,7)))</f>
        <v/>
      </c>
      <c r="AI295">
        <f>((EX295*ROUND(6,7)))</f>
        <v/>
      </c>
      <c r="AJ295">
        <f>(AS295)</f>
        <v/>
      </c>
      <c r="AK295" t="n">
        <v>107.11</v>
      </c>
      <c r="AL295" t="n">
        <v>4.28</v>
      </c>
      <c r="AM295" t="n">
        <v>44.51</v>
      </c>
      <c r="AN295" t="n">
        <v>0</v>
      </c>
      <c r="AO295" t="n">
        <v>58.32</v>
      </c>
      <c r="AP295" t="n">
        <v>0</v>
      </c>
      <c r="AQ295" t="n">
        <v>5.01</v>
      </c>
      <c r="AR295" t="n">
        <v>0</v>
      </c>
      <c r="AS295" t="n">
        <v>0</v>
      </c>
      <c r="AT295" t="n">
        <v>121</v>
      </c>
      <c r="AU295" t="n">
        <v>72</v>
      </c>
      <c r="AV295" t="n">
        <v>1</v>
      </c>
      <c r="AW295" t="n">
        <v>1</v>
      </c>
      <c r="AZ295" t="n">
        <v>1</v>
      </c>
      <c r="BA295" t="n">
        <v>52.25</v>
      </c>
      <c r="BB295" t="n">
        <v>5.97</v>
      </c>
      <c r="BC295" t="n">
        <v>11.38</v>
      </c>
      <c r="BD295" t="inlineStr"/>
      <c r="BE295" t="inlineStr"/>
      <c r="BF295" t="inlineStr"/>
      <c r="BG295" t="inlineStr"/>
      <c r="BH295" t="n">
        <v>0</v>
      </c>
      <c r="BI295" t="n">
        <v>1</v>
      </c>
      <c r="BJ295" t="inlineStr">
        <is>
          <t>ТЕР Московской обл., 16-07-005-1, приказ Минстроя России №675/пр от 28.02.2017 № 260/пр</t>
        </is>
      </c>
      <c r="BM295" t="n">
        <v>16001</v>
      </c>
      <c r="BN295" t="n">
        <v>0</v>
      </c>
      <c r="BO295" t="inlineStr">
        <is>
          <t>16-07-005-1</t>
        </is>
      </c>
      <c r="BP295" t="n">
        <v>1</v>
      </c>
      <c r="BQ295" t="n">
        <v>2</v>
      </c>
      <c r="BR295" t="n">
        <v>0</v>
      </c>
      <c r="BS295" t="n">
        <v>52.25</v>
      </c>
      <c r="BT295" t="n">
        <v>1</v>
      </c>
      <c r="BU295" t="n">
        <v>1</v>
      </c>
      <c r="BV295" t="n">
        <v>1</v>
      </c>
      <c r="BW295" t="n">
        <v>1</v>
      </c>
      <c r="BX295" t="n">
        <v>1</v>
      </c>
      <c r="BY295" t="inlineStr"/>
      <c r="BZ295" t="n">
        <v>121</v>
      </c>
      <c r="CA295" t="n">
        <v>72</v>
      </c>
      <c r="CB295" t="inlineStr"/>
      <c r="CE295" t="n">
        <v>12</v>
      </c>
      <c r="CF295" t="n">
        <v>0</v>
      </c>
      <c r="CG295" t="n">
        <v>0</v>
      </c>
      <c r="CM295" t="n">
        <v>0</v>
      </c>
      <c r="CN295" t="inlineStr"/>
      <c r="CO295" t="n">
        <v>0</v>
      </c>
      <c r="CP295">
        <f>(P295+Q295+S295)</f>
        <v/>
      </c>
      <c r="CQ295">
        <f>AC295*BC295</f>
        <v/>
      </c>
      <c r="CR295">
        <f>(ROUND((ROUND((((ET295*ROUND(6,7)))*1),0)*BB295),0)+ROUND((ROUND(((AE295-((EU295*ROUND(6,7))))*1),0)*BS295),0))</f>
        <v/>
      </c>
      <c r="CS295">
        <f>(ROUND((ROUND((((EU295*ROUND(6,7)))*1),0)*BS295),0)+ROUND((ROUND(((AE295-((EU295*ROUND(6,7))))*1),0)*BS295),0))</f>
        <v/>
      </c>
      <c r="CT295">
        <f>AF295*BA295</f>
        <v/>
      </c>
      <c r="CU295">
        <f>AG295</f>
        <v/>
      </c>
      <c r="CV295">
        <f>AH295</f>
        <v/>
      </c>
      <c r="CW295">
        <f>AI295</f>
        <v/>
      </c>
      <c r="CX295">
        <f>AJ295</f>
        <v/>
      </c>
      <c r="CY295">
        <f>(((S295+R295)*AT295)/100)</f>
        <v/>
      </c>
      <c r="CZ295">
        <f>(((S295+R295)*AU295)/100)</f>
        <v/>
      </c>
      <c r="DC295" t="inlineStr"/>
      <c r="DD295" t="inlineStr">
        <is>
          <t>)*6</t>
        </is>
      </c>
      <c r="DE295" t="inlineStr">
        <is>
          <t>)*6</t>
        </is>
      </c>
      <c r="DF295" t="inlineStr">
        <is>
          <t>)*6</t>
        </is>
      </c>
      <c r="DG295" t="inlineStr">
        <is>
          <t>)*6</t>
        </is>
      </c>
      <c r="DH295" t="inlineStr"/>
      <c r="DI295" t="inlineStr">
        <is>
          <t>)*6</t>
        </is>
      </c>
      <c r="DJ295" t="inlineStr">
        <is>
          <t>)*6</t>
        </is>
      </c>
      <c r="DK295" t="inlineStr"/>
      <c r="DL295" t="inlineStr"/>
      <c r="DM295" t="inlineStr"/>
      <c r="DN295" t="n">
        <v>0</v>
      </c>
      <c r="DO295" t="n">
        <v>0</v>
      </c>
      <c r="DP295" t="n">
        <v>1</v>
      </c>
      <c r="DQ295" t="n">
        <v>1</v>
      </c>
      <c r="DU295" t="n">
        <v>1013</v>
      </c>
      <c r="DV295" t="inlineStr">
        <is>
          <t>100 м трубопровода</t>
        </is>
      </c>
      <c r="DW295" t="inlineStr">
        <is>
          <t>100 м трубопровода</t>
        </is>
      </c>
      <c r="DX295" t="n">
        <v>1</v>
      </c>
      <c r="DZ295" t="inlineStr"/>
      <c r="EA295" t="inlineStr"/>
      <c r="EB295" t="inlineStr"/>
      <c r="EC295" t="inlineStr"/>
      <c r="EE295" t="n">
        <v>78725882</v>
      </c>
      <c r="EF295" t="n">
        <v>2</v>
      </c>
      <c r="EG295" t="inlineStr">
        <is>
          <t>Общестроительные работы</t>
        </is>
      </c>
      <c r="EH295" t="n">
        <v>16</v>
      </c>
      <c r="EI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95" t="n">
        <v>1</v>
      </c>
      <c r="EK295" t="n">
        <v>16001</v>
      </c>
      <c r="EL295" t="inlineStr">
        <is>
          <t>Трубопроводы внутренние</t>
        </is>
      </c>
      <c r="EM295" t="inlineStr">
        <is>
          <t>ФЕР-16</t>
        </is>
      </c>
      <c r="EO295" t="inlineStr"/>
      <c r="EQ295" t="n">
        <v>0</v>
      </c>
      <c r="ER295" t="n">
        <v>107.11</v>
      </c>
      <c r="ES295" t="n">
        <v>4.28</v>
      </c>
      <c r="ET295" t="n">
        <v>44.51</v>
      </c>
      <c r="EU295" t="n">
        <v>0</v>
      </c>
      <c r="EV295" t="n">
        <v>58.32</v>
      </c>
      <c r="EW295" t="n">
        <v>5.01</v>
      </c>
      <c r="EX295" t="n">
        <v>0</v>
      </c>
      <c r="EY295" t="n">
        <v>0</v>
      </c>
      <c r="FQ295" t="n">
        <v>0</v>
      </c>
      <c r="FR295" t="n">
        <v>0</v>
      </c>
      <c r="FS295" t="n">
        <v>0</v>
      </c>
      <c r="FX295" t="n">
        <v>121</v>
      </c>
      <c r="FY295" t="n">
        <v>72</v>
      </c>
      <c r="GA295" t="inlineStr"/>
      <c r="GD295" t="n">
        <v>1</v>
      </c>
      <c r="GF295" t="n">
        <v>635989612</v>
      </c>
      <c r="GG295" t="n">
        <v>2</v>
      </c>
      <c r="GH295" t="n">
        <v>1</v>
      </c>
      <c r="GI295" t="n">
        <v>2</v>
      </c>
      <c r="GJ295" t="n">
        <v>0</v>
      </c>
      <c r="GK295" t="n">
        <v>0</v>
      </c>
      <c r="GL295">
        <f>ROUND(IF(AND(BH295=3,BI295=3,FS295&lt;&gt;0),P295,0),0)</f>
        <v/>
      </c>
      <c r="GM295">
        <f>ROUND(O295+X295+Y295,0)+GX295</f>
        <v/>
      </c>
      <c r="GN295">
        <f>IF(OR(BI295=0,BI295=1),GM295-GX295,0)</f>
        <v/>
      </c>
      <c r="GO295">
        <f>IF(BI295=2,GM295-GX295,0)</f>
        <v/>
      </c>
      <c r="GP295">
        <f>IF(BI295=4,GM295-GX295,0)</f>
        <v/>
      </c>
      <c r="GR295" t="n">
        <v>0</v>
      </c>
      <c r="GS295" t="n">
        <v>3</v>
      </c>
      <c r="GT295" t="n">
        <v>0</v>
      </c>
      <c r="GU295" t="inlineStr"/>
      <c r="GV295">
        <f>ROUND((GT295),2)</f>
        <v/>
      </c>
      <c r="GW295" t="n">
        <v>1</v>
      </c>
      <c r="GX295">
        <f>ROUND(HC295*I295,0)</f>
        <v/>
      </c>
      <c r="HA295" t="n">
        <v>0</v>
      </c>
      <c r="HB295" t="n">
        <v>0</v>
      </c>
      <c r="HC295">
        <f>GV295*GW295</f>
        <v/>
      </c>
      <c r="HE295" t="inlineStr"/>
      <c r="HF295" t="inlineStr"/>
      <c r="HM295" t="inlineStr"/>
      <c r="HN295" t="inlineStr">
        <is>
          <t>Пр/812-016.0-1</t>
        </is>
      </c>
      <c r="HO295" t="inlineStr">
        <is>
          <t>Пр/774-016.0</t>
        </is>
      </c>
      <c r="HP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95" t="n">
        <v>0</v>
      </c>
      <c r="IK295" t="n">
        <v>0</v>
      </c>
    </row>
    <row r="296"/>
    <row r="297">
      <c r="A297" s="402" t="n">
        <v>51</v>
      </c>
      <c r="B297" s="402">
        <f>B285</f>
        <v/>
      </c>
      <c r="C297" s="402">
        <f>A285</f>
        <v/>
      </c>
      <c r="D297" s="402">
        <f>ROW(A285)</f>
        <v/>
      </c>
      <c r="E297" s="402" t="n"/>
      <c r="F297" s="402">
        <f>IF(F285&lt;&gt;"",F285,"")</f>
        <v/>
      </c>
      <c r="G297" s="402">
        <f>IF(G285&lt;&gt;"",G285,"")</f>
        <v/>
      </c>
      <c r="H297" s="402" t="n">
        <v>0</v>
      </c>
      <c r="I297" s="402" t="n"/>
      <c r="J297" s="402" t="n"/>
      <c r="K297" s="402" t="n"/>
      <c r="L297" s="402" t="n"/>
      <c r="M297" s="402" t="n"/>
      <c r="N297" s="402" t="n"/>
      <c r="O297" s="402" t="n">
        <v>0</v>
      </c>
      <c r="P297" s="402" t="n">
        <v>0</v>
      </c>
      <c r="Q297" s="402" t="n">
        <v>0</v>
      </c>
      <c r="R297" s="402" t="n">
        <v>0</v>
      </c>
      <c r="S297" s="402" t="n">
        <v>0</v>
      </c>
      <c r="T297" s="402" t="n">
        <v>0</v>
      </c>
      <c r="U297" s="402" t="n">
        <v>0</v>
      </c>
      <c r="V297" s="402" t="n">
        <v>0</v>
      </c>
      <c r="W297" s="402" t="n">
        <v>0</v>
      </c>
      <c r="X297" s="402" t="n">
        <v>0</v>
      </c>
      <c r="Y297" s="402" t="n">
        <v>0</v>
      </c>
      <c r="Z297" s="402" t="n"/>
      <c r="AA297" s="402" t="n"/>
      <c r="AB297" s="402" t="n"/>
      <c r="AC297" s="402" t="n"/>
      <c r="AD297" s="402" t="n"/>
      <c r="AE297" s="402" t="n"/>
      <c r="AF297" s="402" t="n"/>
      <c r="AG297" s="402" t="n"/>
      <c r="AH297" s="402" t="n"/>
      <c r="AI297" s="402" t="n"/>
      <c r="AJ297" s="402" t="n"/>
      <c r="AK297" s="402" t="n"/>
      <c r="AL297" s="402" t="n"/>
      <c r="AM297" s="402" t="n"/>
      <c r="AN297" s="402" t="n"/>
      <c r="AO297" s="402">
        <f>ROUND(BX297,0)</f>
        <v/>
      </c>
      <c r="AP297" s="402">
        <f>ROUND(BY297,0)</f>
        <v/>
      </c>
      <c r="AQ297" s="402">
        <f>ROUND(BZ297,0)</f>
        <v/>
      </c>
      <c r="AR297" s="402">
        <f>ROUND(CA297,0)</f>
        <v/>
      </c>
      <c r="AS297" s="402">
        <f>ROUND(CB297,0)</f>
        <v/>
      </c>
      <c r="AT297" s="402">
        <f>ROUND(CC297,0)</f>
        <v/>
      </c>
      <c r="AU297" s="402">
        <f>ROUND(CD297,0)</f>
        <v/>
      </c>
      <c r="AV297" s="402">
        <f>ROUND(CE297,0)</f>
        <v/>
      </c>
      <c r="AW297" s="402">
        <f>ROUND(CF297,0)</f>
        <v/>
      </c>
      <c r="AX297" s="402">
        <f>ROUND(CG297,0)</f>
        <v/>
      </c>
      <c r="AY297" s="402">
        <f>ROUND(CH297,0)</f>
        <v/>
      </c>
      <c r="AZ297" s="402">
        <f>ROUND(CI297,0)</f>
        <v/>
      </c>
      <c r="BA297" s="402">
        <f>ROUND(CJ297,0)</f>
        <v/>
      </c>
      <c r="BB297" s="402">
        <f>ROUND(CK297,0)</f>
        <v/>
      </c>
      <c r="BC297" s="402">
        <f>ROUND(CL297,0)</f>
        <v/>
      </c>
      <c r="BD297" s="402">
        <f>ROUND(CM297,0)</f>
        <v/>
      </c>
      <c r="BE297" s="402" t="n"/>
      <c r="BF297" s="402" t="n"/>
      <c r="BG297" s="402" t="n"/>
      <c r="BH297" s="402" t="n"/>
      <c r="BI297" s="402" t="n"/>
      <c r="BJ297" s="402" t="n"/>
      <c r="BK297" s="402" t="n"/>
      <c r="BL297" s="402" t="n"/>
      <c r="BM297" s="402" t="n"/>
      <c r="BN297" s="402" t="n"/>
      <c r="BO297" s="402" t="n"/>
      <c r="BP297" s="402" t="n"/>
      <c r="BQ297" s="402" t="n"/>
      <c r="BR297" s="402" t="n"/>
      <c r="BS297" s="402" t="n"/>
      <c r="BT297" s="402" t="n"/>
      <c r="BU297" s="402" t="n"/>
      <c r="BV297" s="402" t="n"/>
      <c r="BW297" s="402" t="n"/>
      <c r="BX297" s="402" t="n"/>
      <c r="BY297" s="402" t="n"/>
      <c r="BZ297" s="402" t="n"/>
      <c r="CA297" s="402" t="n"/>
      <c r="CB297" s="402" t="n"/>
      <c r="CC297" s="402" t="n"/>
      <c r="CD297" s="402" t="n"/>
      <c r="CE297" s="402" t="n"/>
      <c r="CF297" s="402" t="n"/>
      <c r="CG297" s="402" t="n"/>
      <c r="CH297" s="402" t="n"/>
      <c r="CI297" s="402" t="n"/>
      <c r="CJ297" s="402" t="n"/>
      <c r="CK297" s="402" t="n"/>
      <c r="CL297" s="402" t="n"/>
      <c r="CM297" s="402" t="n"/>
      <c r="CN297" s="402" t="n"/>
      <c r="CO297" s="402" t="n"/>
      <c r="CP297" s="402" t="n"/>
      <c r="CQ297" s="402" t="n"/>
      <c r="CR297" s="402" t="n"/>
      <c r="CS297" s="402" t="n"/>
      <c r="CT297" s="402" t="n"/>
      <c r="CU297" s="402" t="n"/>
      <c r="CV297" s="402" t="n"/>
      <c r="CW297" s="402" t="n"/>
      <c r="CX297" s="402" t="n"/>
      <c r="CY297" s="402" t="n"/>
      <c r="CZ297" s="402" t="n"/>
      <c r="DA297" s="402" t="n"/>
      <c r="DB297" s="402" t="n"/>
      <c r="DC297" s="402" t="n"/>
      <c r="DD297" s="402" t="n"/>
      <c r="DE297" s="402" t="n"/>
      <c r="DF297" s="402" t="n"/>
      <c r="DG297" s="403" t="n"/>
      <c r="DH297" s="403" t="n"/>
      <c r="DI297" s="403" t="n"/>
      <c r="DJ297" s="403" t="n"/>
      <c r="DK297" s="403" t="n"/>
      <c r="DL297" s="403" t="n"/>
      <c r="DM297" s="403" t="n"/>
      <c r="DN297" s="403" t="n"/>
      <c r="DO297" s="403" t="n"/>
      <c r="DP297" s="403" t="n"/>
      <c r="DQ297" s="403" t="n"/>
      <c r="DR297" s="403" t="n"/>
      <c r="DS297" s="403" t="n"/>
      <c r="DT297" s="403" t="n"/>
      <c r="DU297" s="403" t="n"/>
      <c r="DV297" s="403" t="n"/>
      <c r="DW297" s="403" t="n"/>
      <c r="DX297" s="403" t="n"/>
      <c r="DY297" s="403" t="n"/>
      <c r="DZ297" s="403" t="n"/>
      <c r="EA297" s="403" t="n"/>
      <c r="EB297" s="403" t="n"/>
      <c r="EC297" s="403" t="n"/>
      <c r="ED297" s="403" t="n"/>
      <c r="EE297" s="403" t="n"/>
      <c r="EF297" s="403" t="n"/>
      <c r="EG297" s="403" t="n"/>
      <c r="EH297" s="403" t="n"/>
      <c r="EI297" s="403" t="n"/>
      <c r="EJ297" s="403" t="n"/>
      <c r="EK297" s="403" t="n"/>
      <c r="EL297" s="403" t="n"/>
      <c r="EM297" s="403" t="n"/>
      <c r="EN297" s="403" t="n"/>
      <c r="EO297" s="403" t="n"/>
      <c r="EP297" s="403" t="n"/>
      <c r="EQ297" s="403" t="n"/>
      <c r="ER297" s="403" t="n"/>
      <c r="ES297" s="403" t="n"/>
      <c r="ET297" s="403" t="n"/>
      <c r="EU297" s="403" t="n"/>
      <c r="EV297" s="403" t="n"/>
      <c r="EW297" s="403" t="n"/>
      <c r="EX297" s="403" t="n"/>
      <c r="EY297" s="403" t="n"/>
      <c r="EZ297" s="403" t="n"/>
      <c r="FA297" s="403" t="n"/>
      <c r="FB297" s="403" t="n"/>
      <c r="FC297" s="403" t="n"/>
      <c r="FD297" s="403" t="n"/>
      <c r="FE297" s="403" t="n"/>
      <c r="FF297" s="403" t="n"/>
      <c r="FG297" s="403" t="n"/>
      <c r="FH297" s="403" t="n"/>
      <c r="FI297" s="403" t="n"/>
      <c r="FJ297" s="403" t="n"/>
      <c r="FK297" s="403" t="n"/>
      <c r="FL297" s="403" t="n"/>
      <c r="FM297" s="403" t="n"/>
      <c r="FN297" s="403" t="n"/>
      <c r="FO297" s="403" t="n"/>
      <c r="FP297" s="403" t="n"/>
      <c r="FQ297" s="403" t="n"/>
      <c r="FR297" s="403" t="n"/>
      <c r="FS297" s="403" t="n"/>
      <c r="FT297" s="403" t="n"/>
      <c r="FU297" s="403" t="n"/>
      <c r="FV297" s="403" t="n"/>
      <c r="FW297" s="403" t="n"/>
      <c r="FX297" s="403" t="n"/>
      <c r="FY297" s="403" t="n"/>
      <c r="FZ297" s="403" t="n"/>
      <c r="GA297" s="403" t="n"/>
      <c r="GB297" s="403" t="n"/>
      <c r="GC297" s="403" t="n"/>
      <c r="GD297" s="403" t="n"/>
      <c r="GE297" s="403" t="n"/>
      <c r="GF297" s="403" t="n"/>
      <c r="GG297" s="403" t="n"/>
      <c r="GH297" s="403" t="n"/>
      <c r="GI297" s="403" t="n"/>
      <c r="GJ297" s="403" t="n"/>
      <c r="GK297" s="403" t="n"/>
      <c r="GL297" s="403" t="n"/>
      <c r="GM297" s="403" t="n"/>
      <c r="GN297" s="403" t="n"/>
      <c r="GO297" s="403" t="n"/>
      <c r="GP297" s="403" t="n"/>
      <c r="GQ297" s="403" t="n"/>
      <c r="GR297" s="403" t="n"/>
      <c r="GS297" s="403" t="n"/>
      <c r="GT297" s="403" t="n"/>
      <c r="GU297" s="403" t="n"/>
      <c r="GV297" s="403" t="n"/>
      <c r="GW297" s="403" t="n"/>
      <c r="GX297" s="403" t="n">
        <v>0</v>
      </c>
    </row>
    <row r="298"/>
    <row r="299">
      <c r="A299" s="404" t="n">
        <v>50</v>
      </c>
      <c r="B299" s="404" t="n">
        <v>0</v>
      </c>
      <c r="C299" s="404" t="n">
        <v>0</v>
      </c>
      <c r="D299" s="404" t="n">
        <v>1</v>
      </c>
      <c r="E299" s="404" t="n">
        <v>201</v>
      </c>
      <c r="F299" s="404">
        <f>ROUND(Source!O297,O299)</f>
        <v/>
      </c>
      <c r="G299" s="404" t="inlineStr">
        <is>
          <t>ПЗ</t>
        </is>
      </c>
      <c r="H299" s="404" t="inlineStr">
        <is>
          <t>Прямые затраты</t>
        </is>
      </c>
      <c r="I299" s="404" t="n"/>
      <c r="J299" s="404" t="n"/>
      <c r="K299" s="404" t="n">
        <v>201</v>
      </c>
      <c r="L299" s="404" t="n">
        <v>1</v>
      </c>
      <c r="M299" s="404" t="n">
        <v>3</v>
      </c>
      <c r="N299" s="404" t="inlineStr"/>
      <c r="O299" s="404" t="n">
        <v>0</v>
      </c>
      <c r="P299" s="404" t="n"/>
      <c r="Q299" s="404" t="n"/>
      <c r="R299" s="404" t="n"/>
      <c r="S299" s="404" t="n"/>
      <c r="T299" s="404" t="n"/>
      <c r="U299" s="404" t="n"/>
      <c r="V299" s="404" t="n"/>
      <c r="W299" s="404" t="n">
        <v>0</v>
      </c>
      <c r="X299" s="404" t="n">
        <v>1</v>
      </c>
      <c r="Y299" s="404" t="n">
        <v>0</v>
      </c>
      <c r="Z299" s="404" t="n"/>
      <c r="AA299" s="404" t="n"/>
      <c r="AB299" s="404" t="n"/>
    </row>
    <row r="300">
      <c r="A300" s="404" t="n">
        <v>50</v>
      </c>
      <c r="B300" s="404" t="n">
        <v>0</v>
      </c>
      <c r="C300" s="404" t="n">
        <v>0</v>
      </c>
      <c r="D300" s="404" t="n">
        <v>1</v>
      </c>
      <c r="E300" s="404" t="n">
        <v>202</v>
      </c>
      <c r="F300" s="404">
        <f>ROUND(Source!P297,O300)</f>
        <v/>
      </c>
      <c r="G300" s="404" t="inlineStr">
        <is>
          <t>СтМатОб</t>
        </is>
      </c>
      <c r="H300" s="404" t="inlineStr">
        <is>
          <t>Стоимость материальных ресурсов (всего)</t>
        </is>
      </c>
      <c r="I300" s="404" t="n"/>
      <c r="J300" s="404" t="n"/>
      <c r="K300" s="404" t="n">
        <v>202</v>
      </c>
      <c r="L300" s="404" t="n">
        <v>2</v>
      </c>
      <c r="M300" s="404" t="n">
        <v>3</v>
      </c>
      <c r="N300" s="404" t="inlineStr"/>
      <c r="O300" s="404" t="n">
        <v>0</v>
      </c>
      <c r="P300" s="404" t="n"/>
      <c r="Q300" s="404" t="n"/>
      <c r="R300" s="404" t="n"/>
      <c r="S300" s="404" t="n"/>
      <c r="T300" s="404" t="n"/>
      <c r="U300" s="404" t="n"/>
      <c r="V300" s="404" t="n"/>
      <c r="W300" s="404" t="n">
        <v>0</v>
      </c>
      <c r="X300" s="404" t="n">
        <v>1</v>
      </c>
      <c r="Y300" s="404" t="n">
        <v>0</v>
      </c>
      <c r="Z300" s="404" t="n"/>
      <c r="AA300" s="404" t="n"/>
      <c r="AB300" s="404" t="n"/>
    </row>
    <row r="301">
      <c r="A301" s="404" t="n">
        <v>50</v>
      </c>
      <c r="B301" s="404" t="n">
        <v>0</v>
      </c>
      <c r="C301" s="404" t="n">
        <v>0</v>
      </c>
      <c r="D301" s="404" t="n">
        <v>1</v>
      </c>
      <c r="E301" s="404" t="n">
        <v>222</v>
      </c>
      <c r="F301" s="404">
        <f>ROUND(Source!AO297,O301)</f>
        <v/>
      </c>
      <c r="G301" s="404" t="inlineStr">
        <is>
          <t>СтМатОбЗак</t>
        </is>
      </c>
      <c r="H301" s="404" t="inlineStr">
        <is>
          <t>Стоимость материалов и оборудования заказчика</t>
        </is>
      </c>
      <c r="I301" s="404" t="n"/>
      <c r="J301" s="404" t="n"/>
      <c r="K301" s="404" t="n">
        <v>222</v>
      </c>
      <c r="L301" s="404" t="n">
        <v>3</v>
      </c>
      <c r="M301" s="404" t="n">
        <v>3</v>
      </c>
      <c r="N301" s="404" t="inlineStr"/>
      <c r="O301" s="404" t="n">
        <v>0</v>
      </c>
      <c r="P301" s="404" t="n"/>
      <c r="Q301" s="404" t="n"/>
      <c r="R301" s="404" t="n"/>
      <c r="S301" s="404" t="n"/>
      <c r="T301" s="404" t="n"/>
      <c r="U301" s="404" t="n"/>
      <c r="V301" s="404" t="n"/>
      <c r="W301" s="404" t="n">
        <v>0</v>
      </c>
      <c r="X301" s="404" t="n">
        <v>1</v>
      </c>
      <c r="Y301" s="404" t="n">
        <v>0</v>
      </c>
      <c r="Z301" s="404" t="n"/>
      <c r="AA301" s="404" t="n"/>
      <c r="AB301" s="404" t="n"/>
    </row>
    <row r="302">
      <c r="A302" s="404" t="n">
        <v>50</v>
      </c>
      <c r="B302" s="404" t="n">
        <v>0</v>
      </c>
      <c r="C302" s="404" t="n">
        <v>0</v>
      </c>
      <c r="D302" s="404" t="n">
        <v>1</v>
      </c>
      <c r="E302" s="404" t="n">
        <v>225</v>
      </c>
      <c r="F302" s="404">
        <f>ROUND(Source!AV297,O302)</f>
        <v/>
      </c>
      <c r="G302" s="404" t="inlineStr">
        <is>
          <t>СтМатОбПод</t>
        </is>
      </c>
      <c r="H302" s="404" t="inlineStr">
        <is>
          <t>Стоимость материалов и оборудования подрядчика</t>
        </is>
      </c>
      <c r="I302" s="404" t="n"/>
      <c r="J302" s="404" t="n"/>
      <c r="K302" s="404" t="n">
        <v>225</v>
      </c>
      <c r="L302" s="404" t="n">
        <v>4</v>
      </c>
      <c r="M302" s="404" t="n">
        <v>3</v>
      </c>
      <c r="N302" s="404" t="inlineStr"/>
      <c r="O302" s="404" t="n">
        <v>0</v>
      </c>
      <c r="P302" s="404" t="n"/>
      <c r="Q302" s="404" t="n"/>
      <c r="R302" s="404" t="n"/>
      <c r="S302" s="404" t="n"/>
      <c r="T302" s="404" t="n"/>
      <c r="U302" s="404" t="n"/>
      <c r="V302" s="404" t="n"/>
      <c r="W302" s="404" t="n">
        <v>0</v>
      </c>
      <c r="X302" s="404" t="n">
        <v>1</v>
      </c>
      <c r="Y302" s="404" t="n">
        <v>0</v>
      </c>
      <c r="Z302" s="404" t="n"/>
      <c r="AA302" s="404" t="n"/>
      <c r="AB302" s="404" t="n"/>
    </row>
    <row r="303">
      <c r="A303" s="404" t="n">
        <v>50</v>
      </c>
      <c r="B303" s="404" t="n">
        <v>0</v>
      </c>
      <c r="C303" s="404" t="n">
        <v>0</v>
      </c>
      <c r="D303" s="404" t="n">
        <v>1</v>
      </c>
      <c r="E303" s="404" t="n">
        <v>226</v>
      </c>
      <c r="F303" s="404">
        <f>ROUND(Source!AW297,O303)</f>
        <v/>
      </c>
      <c r="G303" s="404" t="inlineStr">
        <is>
          <t>СтМат</t>
        </is>
      </c>
      <c r="H303" s="404" t="inlineStr">
        <is>
          <t>Стоимость материалов (всего)</t>
        </is>
      </c>
      <c r="I303" s="404" t="n"/>
      <c r="J303" s="404" t="n"/>
      <c r="K303" s="404" t="n">
        <v>226</v>
      </c>
      <c r="L303" s="404" t="n">
        <v>5</v>
      </c>
      <c r="M303" s="404" t="n">
        <v>3</v>
      </c>
      <c r="N303" s="404" t="inlineStr"/>
      <c r="O303" s="404" t="n">
        <v>0</v>
      </c>
      <c r="P303" s="404" t="n"/>
      <c r="Q303" s="404" t="n"/>
      <c r="R303" s="404" t="n"/>
      <c r="S303" s="404" t="n"/>
      <c r="T303" s="404" t="n"/>
      <c r="U303" s="404" t="n"/>
      <c r="V303" s="404" t="n"/>
      <c r="W303" s="404" t="n">
        <v>0</v>
      </c>
      <c r="X303" s="404" t="n">
        <v>1</v>
      </c>
      <c r="Y303" s="404" t="n">
        <v>0</v>
      </c>
      <c r="Z303" s="404" t="n"/>
      <c r="AA303" s="404" t="n"/>
      <c r="AB303" s="404" t="n"/>
    </row>
    <row r="304">
      <c r="A304" s="404" t="n">
        <v>50</v>
      </c>
      <c r="B304" s="404" t="n">
        <v>0</v>
      </c>
      <c r="C304" s="404" t="n">
        <v>0</v>
      </c>
      <c r="D304" s="404" t="n">
        <v>1</v>
      </c>
      <c r="E304" s="404" t="n">
        <v>227</v>
      </c>
      <c r="F304" s="404">
        <f>ROUND(Source!AX297,O304)</f>
        <v/>
      </c>
      <c r="G304" s="404" t="inlineStr">
        <is>
          <t>СтМатЗак</t>
        </is>
      </c>
      <c r="H304" s="404" t="inlineStr">
        <is>
          <t>Стоимость материалов заказчика</t>
        </is>
      </c>
      <c r="I304" s="404" t="n"/>
      <c r="J304" s="404" t="n"/>
      <c r="K304" s="404" t="n">
        <v>227</v>
      </c>
      <c r="L304" s="404" t="n">
        <v>6</v>
      </c>
      <c r="M304" s="404" t="n">
        <v>3</v>
      </c>
      <c r="N304" s="404" t="inlineStr"/>
      <c r="O304" s="404" t="n">
        <v>0</v>
      </c>
      <c r="P304" s="404" t="n"/>
      <c r="Q304" s="404" t="n"/>
      <c r="R304" s="404" t="n"/>
      <c r="S304" s="404" t="n"/>
      <c r="T304" s="404" t="n"/>
      <c r="U304" s="404" t="n"/>
      <c r="V304" s="404" t="n"/>
      <c r="W304" s="404" t="n">
        <v>0</v>
      </c>
      <c r="X304" s="404" t="n">
        <v>1</v>
      </c>
      <c r="Y304" s="404" t="n">
        <v>0</v>
      </c>
      <c r="Z304" s="404" t="n"/>
      <c r="AA304" s="404" t="n"/>
      <c r="AB304" s="404" t="n"/>
    </row>
    <row r="305">
      <c r="A305" s="404" t="n">
        <v>50</v>
      </c>
      <c r="B305" s="404" t="n">
        <v>0</v>
      </c>
      <c r="C305" s="404" t="n">
        <v>0</v>
      </c>
      <c r="D305" s="404" t="n">
        <v>1</v>
      </c>
      <c r="E305" s="404" t="n">
        <v>228</v>
      </c>
      <c r="F305" s="404">
        <f>ROUND(Source!AY297,O305)</f>
        <v/>
      </c>
      <c r="G305" s="404" t="inlineStr">
        <is>
          <t>СтМатПод</t>
        </is>
      </c>
      <c r="H305" s="404" t="inlineStr">
        <is>
          <t>Стоимость материалов подрядчика</t>
        </is>
      </c>
      <c r="I305" s="404" t="n"/>
      <c r="J305" s="404" t="n"/>
      <c r="K305" s="404" t="n">
        <v>228</v>
      </c>
      <c r="L305" s="404" t="n">
        <v>7</v>
      </c>
      <c r="M305" s="404" t="n">
        <v>3</v>
      </c>
      <c r="N305" s="404" t="inlineStr"/>
      <c r="O305" s="404" t="n">
        <v>0</v>
      </c>
      <c r="P305" s="404" t="n"/>
      <c r="Q305" s="404" t="n"/>
      <c r="R305" s="404" t="n"/>
      <c r="S305" s="404" t="n"/>
      <c r="T305" s="404" t="n"/>
      <c r="U305" s="404" t="n"/>
      <c r="V305" s="404" t="n"/>
      <c r="W305" s="404" t="n">
        <v>0</v>
      </c>
      <c r="X305" s="404" t="n">
        <v>1</v>
      </c>
      <c r="Y305" s="404" t="n">
        <v>0</v>
      </c>
      <c r="Z305" s="404" t="n"/>
      <c r="AA305" s="404" t="n"/>
      <c r="AB305" s="404" t="n"/>
    </row>
    <row r="306">
      <c r="A306" s="404" t="n">
        <v>50</v>
      </c>
      <c r="B306" s="404" t="n">
        <v>0</v>
      </c>
      <c r="C306" s="404" t="n">
        <v>0</v>
      </c>
      <c r="D306" s="404" t="n">
        <v>1</v>
      </c>
      <c r="E306" s="404" t="n">
        <v>216</v>
      </c>
      <c r="F306" s="404">
        <f>ROUND(Source!AP297,O306)</f>
        <v/>
      </c>
      <c r="G306" s="404" t="inlineStr">
        <is>
          <t>Оборуд</t>
        </is>
      </c>
      <c r="H306" s="404" t="inlineStr">
        <is>
          <t>Стоимость оборудования (всего)</t>
        </is>
      </c>
      <c r="I306" s="404" t="n"/>
      <c r="J306" s="404" t="n"/>
      <c r="K306" s="404" t="n">
        <v>216</v>
      </c>
      <c r="L306" s="404" t="n">
        <v>8</v>
      </c>
      <c r="M306" s="404" t="n">
        <v>3</v>
      </c>
      <c r="N306" s="404" t="inlineStr"/>
      <c r="O306" s="404" t="n">
        <v>0</v>
      </c>
      <c r="P306" s="404" t="n"/>
      <c r="Q306" s="404" t="n"/>
      <c r="R306" s="404" t="n"/>
      <c r="S306" s="404" t="n"/>
      <c r="T306" s="404" t="n"/>
      <c r="U306" s="404" t="n"/>
      <c r="V306" s="404" t="n"/>
      <c r="W306" s="404" t="n">
        <v>0</v>
      </c>
      <c r="X306" s="404" t="n">
        <v>1</v>
      </c>
      <c r="Y306" s="404" t="n">
        <v>0</v>
      </c>
      <c r="Z306" s="404" t="n"/>
      <c r="AA306" s="404" t="n"/>
      <c r="AB306" s="404" t="n"/>
    </row>
    <row r="307">
      <c r="A307" s="404" t="n">
        <v>50</v>
      </c>
      <c r="B307" s="404" t="n">
        <v>0</v>
      </c>
      <c r="C307" s="404" t="n">
        <v>0</v>
      </c>
      <c r="D307" s="404" t="n">
        <v>1</v>
      </c>
      <c r="E307" s="404" t="n">
        <v>223</v>
      </c>
      <c r="F307" s="404">
        <f>ROUND(Source!AQ297,O307)</f>
        <v/>
      </c>
      <c r="G307" s="404" t="inlineStr">
        <is>
          <t>ОборудЗак</t>
        </is>
      </c>
      <c r="H307" s="404" t="inlineStr">
        <is>
          <t>Стоимость оборудования заказчика</t>
        </is>
      </c>
      <c r="I307" s="404" t="n"/>
      <c r="J307" s="404" t="n"/>
      <c r="K307" s="404" t="n">
        <v>223</v>
      </c>
      <c r="L307" s="404" t="n">
        <v>9</v>
      </c>
      <c r="M307" s="404" t="n">
        <v>3</v>
      </c>
      <c r="N307" s="404" t="inlineStr"/>
      <c r="O307" s="404" t="n">
        <v>0</v>
      </c>
      <c r="P307" s="404" t="n"/>
      <c r="Q307" s="404" t="n"/>
      <c r="R307" s="404" t="n"/>
      <c r="S307" s="404" t="n"/>
      <c r="T307" s="404" t="n"/>
      <c r="U307" s="404" t="n"/>
      <c r="V307" s="404" t="n"/>
      <c r="W307" s="404" t="n">
        <v>0</v>
      </c>
      <c r="X307" s="404" t="n">
        <v>1</v>
      </c>
      <c r="Y307" s="404" t="n">
        <v>0</v>
      </c>
      <c r="Z307" s="404" t="n"/>
      <c r="AA307" s="404" t="n"/>
      <c r="AB307" s="404" t="n"/>
    </row>
    <row r="308">
      <c r="A308" s="404" t="n">
        <v>50</v>
      </c>
      <c r="B308" s="404" t="n">
        <v>0</v>
      </c>
      <c r="C308" s="404" t="n">
        <v>0</v>
      </c>
      <c r="D308" s="404" t="n">
        <v>1</v>
      </c>
      <c r="E308" s="404" t="n">
        <v>229</v>
      </c>
      <c r="F308" s="404">
        <f>ROUND(Source!AZ297,O308)</f>
        <v/>
      </c>
      <c r="G308" s="404" t="inlineStr">
        <is>
          <t>ОборудПод</t>
        </is>
      </c>
      <c r="H308" s="404" t="inlineStr">
        <is>
          <t>Стоимость оборудования подрядчика</t>
        </is>
      </c>
      <c r="I308" s="404" t="n"/>
      <c r="J308" s="404" t="n"/>
      <c r="K308" s="404" t="n">
        <v>229</v>
      </c>
      <c r="L308" s="404" t="n">
        <v>10</v>
      </c>
      <c r="M308" s="404" t="n">
        <v>3</v>
      </c>
      <c r="N308" s="404" t="inlineStr"/>
      <c r="O308" s="404" t="n">
        <v>0</v>
      </c>
      <c r="P308" s="404" t="n"/>
      <c r="Q308" s="404" t="n"/>
      <c r="R308" s="404" t="n"/>
      <c r="S308" s="404" t="n"/>
      <c r="T308" s="404" t="n"/>
      <c r="U308" s="404" t="n"/>
      <c r="V308" s="404" t="n"/>
      <c r="W308" s="404" t="n">
        <v>0</v>
      </c>
      <c r="X308" s="404" t="n">
        <v>1</v>
      </c>
      <c r="Y308" s="404" t="n">
        <v>0</v>
      </c>
      <c r="Z308" s="404" t="n"/>
      <c r="AA308" s="404" t="n"/>
      <c r="AB308" s="404" t="n"/>
    </row>
    <row r="309">
      <c r="A309" s="404" t="n">
        <v>50</v>
      </c>
      <c r="B309" s="404" t="n">
        <v>0</v>
      </c>
      <c r="C309" s="404" t="n">
        <v>0</v>
      </c>
      <c r="D309" s="404" t="n">
        <v>1</v>
      </c>
      <c r="E309" s="404" t="n">
        <v>203</v>
      </c>
      <c r="F309" s="404">
        <f>ROUND(Source!Q297,O309)</f>
        <v/>
      </c>
      <c r="G309" s="404" t="inlineStr">
        <is>
          <t>ЭММ</t>
        </is>
      </c>
      <c r="H309" s="404" t="inlineStr">
        <is>
          <t>Эксплуатация машин</t>
        </is>
      </c>
      <c r="I309" s="404" t="n"/>
      <c r="J309" s="404" t="n"/>
      <c r="K309" s="404" t="n">
        <v>203</v>
      </c>
      <c r="L309" s="404" t="n">
        <v>11</v>
      </c>
      <c r="M309" s="404" t="n">
        <v>3</v>
      </c>
      <c r="N309" s="404" t="inlineStr"/>
      <c r="O309" s="404" t="n">
        <v>0</v>
      </c>
      <c r="P309" s="404" t="n"/>
      <c r="Q309" s="404" t="n"/>
      <c r="R309" s="404" t="n"/>
      <c r="S309" s="404" t="n"/>
      <c r="T309" s="404" t="n"/>
      <c r="U309" s="404" t="n"/>
      <c r="V309" s="404" t="n"/>
      <c r="W309" s="404" t="n">
        <v>0</v>
      </c>
      <c r="X309" s="404" t="n">
        <v>1</v>
      </c>
      <c r="Y309" s="404" t="n">
        <v>0</v>
      </c>
      <c r="Z309" s="404" t="n"/>
      <c r="AA309" s="404" t="n"/>
      <c r="AB309" s="404" t="n"/>
    </row>
    <row r="310">
      <c r="A310" s="404" t="n">
        <v>50</v>
      </c>
      <c r="B310" s="404" t="n">
        <v>0</v>
      </c>
      <c r="C310" s="404" t="n">
        <v>0</v>
      </c>
      <c r="D310" s="404" t="n">
        <v>1</v>
      </c>
      <c r="E310" s="404" t="n">
        <v>231</v>
      </c>
      <c r="F310" s="404">
        <f>ROUND(Source!BB297,O310)</f>
        <v/>
      </c>
      <c r="G310" s="404" t="inlineStr">
        <is>
          <t>ЭММсНРиСП</t>
        </is>
      </c>
      <c r="H310" s="404" t="inlineStr">
        <is>
          <t>Эксплуатация машин по ТСН-2001.16</t>
        </is>
      </c>
      <c r="I310" s="404" t="n"/>
      <c r="J310" s="404" t="n"/>
      <c r="K310" s="404" t="n">
        <v>231</v>
      </c>
      <c r="L310" s="404" t="n">
        <v>12</v>
      </c>
      <c r="M310" s="404" t="n">
        <v>3</v>
      </c>
      <c r="N310" s="404" t="inlineStr"/>
      <c r="O310" s="404" t="n">
        <v>0</v>
      </c>
      <c r="P310" s="404" t="n"/>
      <c r="Q310" s="404" t="n"/>
      <c r="R310" s="404" t="n"/>
      <c r="S310" s="404" t="n"/>
      <c r="T310" s="404" t="n"/>
      <c r="U310" s="404" t="n"/>
      <c r="V310" s="404" t="n"/>
      <c r="W310" s="404" t="n">
        <v>0</v>
      </c>
      <c r="X310" s="404" t="n">
        <v>1</v>
      </c>
      <c r="Y310" s="404" t="n">
        <v>0</v>
      </c>
      <c r="Z310" s="404" t="n"/>
      <c r="AA310" s="404" t="n"/>
      <c r="AB310" s="404" t="n"/>
    </row>
    <row r="311">
      <c r="A311" s="404" t="n">
        <v>50</v>
      </c>
      <c r="B311" s="404" t="n">
        <v>0</v>
      </c>
      <c r="C311" s="404" t="n">
        <v>0</v>
      </c>
      <c r="D311" s="404" t="n">
        <v>1</v>
      </c>
      <c r="E311" s="404" t="n">
        <v>204</v>
      </c>
      <c r="F311" s="404">
        <f>ROUND(Source!R297,O311)</f>
        <v/>
      </c>
      <c r="G311" s="404" t="inlineStr">
        <is>
          <t>ЗПМ</t>
        </is>
      </c>
      <c r="H311" s="404" t="inlineStr">
        <is>
          <t>ЗП машинистов</t>
        </is>
      </c>
      <c r="I311" s="404" t="n"/>
      <c r="J311" s="404" t="n"/>
      <c r="K311" s="404" t="n">
        <v>204</v>
      </c>
      <c r="L311" s="404" t="n">
        <v>13</v>
      </c>
      <c r="M311" s="404" t="n">
        <v>3</v>
      </c>
      <c r="N311" s="404" t="inlineStr"/>
      <c r="O311" s="404" t="n">
        <v>0</v>
      </c>
      <c r="P311" s="404" t="n"/>
      <c r="Q311" s="404" t="n"/>
      <c r="R311" s="404" t="n"/>
      <c r="S311" s="404" t="n"/>
      <c r="T311" s="404" t="n"/>
      <c r="U311" s="404" t="n"/>
      <c r="V311" s="404" t="n"/>
      <c r="W311" s="404" t="n">
        <v>0</v>
      </c>
      <c r="X311" s="404" t="n">
        <v>1</v>
      </c>
      <c r="Y311" s="404" t="n">
        <v>0</v>
      </c>
      <c r="Z311" s="404" t="n"/>
      <c r="AA311" s="404" t="n"/>
      <c r="AB311" s="404" t="n"/>
    </row>
    <row r="312">
      <c r="A312" s="404" t="n">
        <v>50</v>
      </c>
      <c r="B312" s="404" t="n">
        <v>0</v>
      </c>
      <c r="C312" s="404" t="n">
        <v>0</v>
      </c>
      <c r="D312" s="404" t="n">
        <v>1</v>
      </c>
      <c r="E312" s="404" t="n">
        <v>205</v>
      </c>
      <c r="F312" s="404">
        <f>ROUND(Source!S297,O312)</f>
        <v/>
      </c>
      <c r="G312" s="404" t="inlineStr">
        <is>
          <t>ОЗП</t>
        </is>
      </c>
      <c r="H312" s="404" t="inlineStr">
        <is>
          <t>Основная ЗП рабочих</t>
        </is>
      </c>
      <c r="I312" s="404" t="n"/>
      <c r="J312" s="404" t="n"/>
      <c r="K312" s="404" t="n">
        <v>205</v>
      </c>
      <c r="L312" s="404" t="n">
        <v>14</v>
      </c>
      <c r="M312" s="404" t="n">
        <v>3</v>
      </c>
      <c r="N312" s="404" t="inlineStr"/>
      <c r="O312" s="404" t="n">
        <v>0</v>
      </c>
      <c r="P312" s="404" t="n"/>
      <c r="Q312" s="404" t="n"/>
      <c r="R312" s="404" t="n"/>
      <c r="S312" s="404" t="n"/>
      <c r="T312" s="404" t="n"/>
      <c r="U312" s="404" t="n"/>
      <c r="V312" s="404" t="n"/>
      <c r="W312" s="404" t="n">
        <v>0</v>
      </c>
      <c r="X312" s="404" t="n">
        <v>1</v>
      </c>
      <c r="Y312" s="404" t="n">
        <v>0</v>
      </c>
      <c r="Z312" s="404" t="n"/>
      <c r="AA312" s="404" t="n"/>
      <c r="AB312" s="404" t="n"/>
    </row>
    <row r="313">
      <c r="A313" s="404" t="n">
        <v>50</v>
      </c>
      <c r="B313" s="404" t="n">
        <v>0</v>
      </c>
      <c r="C313" s="404" t="n">
        <v>0</v>
      </c>
      <c r="D313" s="404" t="n">
        <v>1</v>
      </c>
      <c r="E313" s="404" t="n">
        <v>232</v>
      </c>
      <c r="F313" s="404">
        <f>ROUND(Source!BC297,O313)</f>
        <v/>
      </c>
      <c r="G313" s="404" t="inlineStr">
        <is>
          <t>ОЗПсНРиСП</t>
        </is>
      </c>
      <c r="H313" s="404" t="inlineStr">
        <is>
          <t>Основная ЗП рабочих по ТСН-2001.16</t>
        </is>
      </c>
      <c r="I313" s="404" t="n"/>
      <c r="J313" s="404" t="n"/>
      <c r="K313" s="404" t="n">
        <v>232</v>
      </c>
      <c r="L313" s="404" t="n">
        <v>15</v>
      </c>
      <c r="M313" s="404" t="n">
        <v>3</v>
      </c>
      <c r="N313" s="404" t="inlineStr"/>
      <c r="O313" s="404" t="n">
        <v>0</v>
      </c>
      <c r="P313" s="404" t="n"/>
      <c r="Q313" s="404" t="n"/>
      <c r="R313" s="404" t="n"/>
      <c r="S313" s="404" t="n"/>
      <c r="T313" s="404" t="n"/>
      <c r="U313" s="404" t="n"/>
      <c r="V313" s="404" t="n"/>
      <c r="W313" s="404" t="n">
        <v>0</v>
      </c>
      <c r="X313" s="404" t="n">
        <v>1</v>
      </c>
      <c r="Y313" s="404" t="n">
        <v>0</v>
      </c>
      <c r="Z313" s="404" t="n"/>
      <c r="AA313" s="404" t="n"/>
      <c r="AB313" s="404" t="n"/>
    </row>
    <row r="314">
      <c r="A314" s="404" t="n">
        <v>50</v>
      </c>
      <c r="B314" s="404" t="n">
        <v>0</v>
      </c>
      <c r="C314" s="404" t="n">
        <v>0</v>
      </c>
      <c r="D314" s="404" t="n">
        <v>1</v>
      </c>
      <c r="E314" s="404" t="n">
        <v>214</v>
      </c>
      <c r="F314" s="404">
        <f>ROUND(Source!AS297,O314)</f>
        <v/>
      </c>
      <c r="G314" s="404" t="inlineStr">
        <is>
          <t>Строит</t>
        </is>
      </c>
      <c r="H314" s="404" t="inlineStr">
        <is>
          <t>Строительные работы с НР и СП</t>
        </is>
      </c>
      <c r="I314" s="404" t="n"/>
      <c r="J314" s="404" t="n"/>
      <c r="K314" s="404" t="n">
        <v>214</v>
      </c>
      <c r="L314" s="404" t="n">
        <v>16</v>
      </c>
      <c r="M314" s="404" t="n">
        <v>3</v>
      </c>
      <c r="N314" s="404" t="inlineStr"/>
      <c r="O314" s="404" t="n">
        <v>0</v>
      </c>
      <c r="P314" s="404" t="n"/>
      <c r="Q314" s="404" t="n"/>
      <c r="R314" s="404" t="n"/>
      <c r="S314" s="404" t="n"/>
      <c r="T314" s="404" t="n"/>
      <c r="U314" s="404" t="n"/>
      <c r="V314" s="404" t="n"/>
      <c r="W314" s="404" t="n">
        <v>0</v>
      </c>
      <c r="X314" s="404" t="n">
        <v>1</v>
      </c>
      <c r="Y314" s="404" t="n">
        <v>0</v>
      </c>
      <c r="Z314" s="404" t="n"/>
      <c r="AA314" s="404" t="n"/>
      <c r="AB314" s="404" t="n"/>
    </row>
    <row r="315">
      <c r="A315" s="404" t="n">
        <v>50</v>
      </c>
      <c r="B315" s="404" t="n">
        <v>0</v>
      </c>
      <c r="C315" s="404" t="n">
        <v>0</v>
      </c>
      <c r="D315" s="404" t="n">
        <v>1</v>
      </c>
      <c r="E315" s="404" t="n">
        <v>215</v>
      </c>
      <c r="F315" s="404">
        <f>ROUND(Source!AT297,O315)</f>
        <v/>
      </c>
      <c r="G315" s="404" t="inlineStr">
        <is>
          <t>Монтаж</t>
        </is>
      </c>
      <c r="H315" s="404" t="inlineStr">
        <is>
          <t>Монтажные работы с НР и СП</t>
        </is>
      </c>
      <c r="I315" s="404" t="n"/>
      <c r="J315" s="404" t="n"/>
      <c r="K315" s="404" t="n">
        <v>215</v>
      </c>
      <c r="L315" s="404" t="n">
        <v>17</v>
      </c>
      <c r="M315" s="404" t="n">
        <v>3</v>
      </c>
      <c r="N315" s="404" t="inlineStr"/>
      <c r="O315" s="404" t="n">
        <v>0</v>
      </c>
      <c r="P315" s="404" t="n"/>
      <c r="Q315" s="404" t="n"/>
      <c r="R315" s="404" t="n"/>
      <c r="S315" s="404" t="n"/>
      <c r="T315" s="404" t="n"/>
      <c r="U315" s="404" t="n"/>
      <c r="V315" s="404" t="n"/>
      <c r="W315" s="404" t="n">
        <v>0</v>
      </c>
      <c r="X315" s="404" t="n">
        <v>1</v>
      </c>
      <c r="Y315" s="404" t="n">
        <v>0</v>
      </c>
      <c r="Z315" s="404" t="n"/>
      <c r="AA315" s="404" t="n"/>
      <c r="AB315" s="404" t="n"/>
    </row>
    <row r="316">
      <c r="A316" s="404" t="n">
        <v>50</v>
      </c>
      <c r="B316" s="404" t="n">
        <v>0</v>
      </c>
      <c r="C316" s="404" t="n">
        <v>0</v>
      </c>
      <c r="D316" s="404" t="n">
        <v>1</v>
      </c>
      <c r="E316" s="404" t="n">
        <v>217</v>
      </c>
      <c r="F316" s="404">
        <f>ROUND(Source!AU297,O316)</f>
        <v/>
      </c>
      <c r="G316" s="404" t="inlineStr">
        <is>
          <t>Прочие</t>
        </is>
      </c>
      <c r="H316" s="404" t="inlineStr">
        <is>
          <t>Прочие работы с НР и СП</t>
        </is>
      </c>
      <c r="I316" s="404" t="n"/>
      <c r="J316" s="404" t="n"/>
      <c r="K316" s="404" t="n">
        <v>217</v>
      </c>
      <c r="L316" s="404" t="n">
        <v>18</v>
      </c>
      <c r="M316" s="404" t="n">
        <v>3</v>
      </c>
      <c r="N316" s="404" t="inlineStr"/>
      <c r="O316" s="404" t="n">
        <v>0</v>
      </c>
      <c r="P316" s="404" t="n"/>
      <c r="Q316" s="404" t="n"/>
      <c r="R316" s="404" t="n"/>
      <c r="S316" s="404" t="n"/>
      <c r="T316" s="404" t="n"/>
      <c r="U316" s="404" t="n"/>
      <c r="V316" s="404" t="n"/>
      <c r="W316" s="404" t="n">
        <v>0</v>
      </c>
      <c r="X316" s="404" t="n">
        <v>1</v>
      </c>
      <c r="Y316" s="404" t="n">
        <v>0</v>
      </c>
      <c r="Z316" s="404" t="n"/>
      <c r="AA316" s="404" t="n"/>
      <c r="AB316" s="404" t="n"/>
    </row>
    <row r="317">
      <c r="A317" s="404" t="n">
        <v>50</v>
      </c>
      <c r="B317" s="404" t="n">
        <v>0</v>
      </c>
      <c r="C317" s="404" t="n">
        <v>0</v>
      </c>
      <c r="D317" s="404" t="n">
        <v>1</v>
      </c>
      <c r="E317" s="404" t="n">
        <v>230</v>
      </c>
      <c r="F317" s="404">
        <f>ROUND(Source!BA297,O317)</f>
        <v/>
      </c>
      <c r="G317" s="404" t="inlineStr">
        <is>
          <t>ПрочиеЗатр</t>
        </is>
      </c>
      <c r="H317" s="404" t="inlineStr">
        <is>
          <t>Прочие затраты по ТСН-2001.16</t>
        </is>
      </c>
      <c r="I317" s="404" t="n"/>
      <c r="J317" s="404" t="n"/>
      <c r="K317" s="404" t="n">
        <v>230</v>
      </c>
      <c r="L317" s="404" t="n">
        <v>19</v>
      </c>
      <c r="M317" s="404" t="n">
        <v>3</v>
      </c>
      <c r="N317" s="404" t="inlineStr"/>
      <c r="O317" s="404" t="n">
        <v>0</v>
      </c>
      <c r="P317" s="404" t="n"/>
      <c r="Q317" s="404" t="n"/>
      <c r="R317" s="404" t="n"/>
      <c r="S317" s="404" t="n"/>
      <c r="T317" s="404" t="n"/>
      <c r="U317" s="404" t="n"/>
      <c r="V317" s="404" t="n"/>
      <c r="W317" s="404" t="n">
        <v>0</v>
      </c>
      <c r="X317" s="404" t="n">
        <v>1</v>
      </c>
      <c r="Y317" s="404" t="n">
        <v>0</v>
      </c>
      <c r="Z317" s="404" t="n"/>
      <c r="AA317" s="404" t="n"/>
      <c r="AB317" s="404" t="n"/>
    </row>
    <row r="318">
      <c r="A318" s="404" t="n">
        <v>50</v>
      </c>
      <c r="B318" s="404" t="n">
        <v>0</v>
      </c>
      <c r="C318" s="404" t="n">
        <v>0</v>
      </c>
      <c r="D318" s="404" t="n">
        <v>1</v>
      </c>
      <c r="E318" s="404" t="n">
        <v>206</v>
      </c>
      <c r="F318" s="404">
        <f>ROUND(Source!T297,O318)</f>
        <v/>
      </c>
      <c r="G318" s="404" t="inlineStr">
        <is>
          <t>ВозврМат</t>
        </is>
      </c>
      <c r="H318" s="404" t="inlineStr">
        <is>
          <t>Возврат материалов</t>
        </is>
      </c>
      <c r="I318" s="404" t="n"/>
      <c r="J318" s="404" t="n"/>
      <c r="K318" s="404" t="n">
        <v>206</v>
      </c>
      <c r="L318" s="404" t="n">
        <v>20</v>
      </c>
      <c r="M318" s="404" t="n">
        <v>3</v>
      </c>
      <c r="N318" s="404" t="inlineStr"/>
      <c r="O318" s="404" t="n">
        <v>0</v>
      </c>
      <c r="P318" s="404" t="n"/>
      <c r="Q318" s="404" t="n"/>
      <c r="R318" s="404" t="n"/>
      <c r="S318" s="404" t="n"/>
      <c r="T318" s="404" t="n"/>
      <c r="U318" s="404" t="n"/>
      <c r="V318" s="404" t="n"/>
      <c r="W318" s="404" t="n">
        <v>0</v>
      </c>
      <c r="X318" s="404" t="n">
        <v>1</v>
      </c>
      <c r="Y318" s="404" t="n">
        <v>0</v>
      </c>
      <c r="Z318" s="404" t="n"/>
      <c r="AA318" s="404" t="n"/>
      <c r="AB318" s="404" t="n"/>
    </row>
    <row r="319">
      <c r="A319" s="404" t="n">
        <v>50</v>
      </c>
      <c r="B319" s="404" t="n">
        <v>0</v>
      </c>
      <c r="C319" s="404" t="n">
        <v>0</v>
      </c>
      <c r="D319" s="404" t="n">
        <v>1</v>
      </c>
      <c r="E319" s="404" t="n">
        <v>207</v>
      </c>
      <c r="F319" s="404">
        <f>ROUND(Source!U297,O319)</f>
        <v/>
      </c>
      <c r="G319" s="404" t="inlineStr">
        <is>
          <t>ТрудСтр</t>
        </is>
      </c>
      <c r="H319" s="404" t="inlineStr">
        <is>
          <t>Трудозатраты строителей</t>
        </is>
      </c>
      <c r="I319" s="404" t="n"/>
      <c r="J319" s="404" t="n"/>
      <c r="K319" s="404" t="n">
        <v>207</v>
      </c>
      <c r="L319" s="404" t="n">
        <v>21</v>
      </c>
      <c r="M319" s="404" t="n">
        <v>3</v>
      </c>
      <c r="N319" s="404" t="inlineStr"/>
      <c r="O319" s="404" t="n">
        <v>7</v>
      </c>
      <c r="P319" s="404" t="n"/>
      <c r="Q319" s="404" t="n"/>
      <c r="R319" s="404" t="n"/>
      <c r="S319" s="404" t="n"/>
      <c r="T319" s="404" t="n"/>
      <c r="U319" s="404" t="n"/>
      <c r="V319" s="404" t="n"/>
      <c r="W319" s="404" t="n">
        <v>0</v>
      </c>
      <c r="X319" s="404" t="n">
        <v>1</v>
      </c>
      <c r="Y319" s="404" t="n">
        <v>0</v>
      </c>
      <c r="Z319" s="404" t="n"/>
      <c r="AA319" s="404" t="n"/>
      <c r="AB319" s="404" t="n"/>
    </row>
    <row r="320">
      <c r="A320" s="404" t="n">
        <v>50</v>
      </c>
      <c r="B320" s="404" t="n">
        <v>0</v>
      </c>
      <c r="C320" s="404" t="n">
        <v>0</v>
      </c>
      <c r="D320" s="404" t="n">
        <v>1</v>
      </c>
      <c r="E320" s="404" t="n">
        <v>208</v>
      </c>
      <c r="F320" s="404">
        <f>ROUND(Source!V297,O320)</f>
        <v/>
      </c>
      <c r="G320" s="404" t="inlineStr">
        <is>
          <t>ТрудМаш</t>
        </is>
      </c>
      <c r="H320" s="404" t="inlineStr">
        <is>
          <t>Трудозатраты машинистов</t>
        </is>
      </c>
      <c r="I320" s="404" t="n"/>
      <c r="J320" s="404" t="n"/>
      <c r="K320" s="404" t="n">
        <v>208</v>
      </c>
      <c r="L320" s="404" t="n">
        <v>22</v>
      </c>
      <c r="M320" s="404" t="n">
        <v>3</v>
      </c>
      <c r="N320" s="404" t="inlineStr"/>
      <c r="O320" s="404" t="n">
        <v>7</v>
      </c>
      <c r="P320" s="404" t="n"/>
      <c r="Q320" s="404" t="n"/>
      <c r="R320" s="404" t="n"/>
      <c r="S320" s="404" t="n"/>
      <c r="T320" s="404" t="n"/>
      <c r="U320" s="404" t="n"/>
      <c r="V320" s="404" t="n"/>
      <c r="W320" s="404" t="n">
        <v>0</v>
      </c>
      <c r="X320" s="404" t="n">
        <v>1</v>
      </c>
      <c r="Y320" s="404" t="n">
        <v>0</v>
      </c>
      <c r="Z320" s="404" t="n"/>
      <c r="AA320" s="404" t="n"/>
      <c r="AB320" s="404" t="n"/>
    </row>
    <row r="321">
      <c r="A321" s="404" t="n">
        <v>50</v>
      </c>
      <c r="B321" s="404" t="n">
        <v>0</v>
      </c>
      <c r="C321" s="404" t="n">
        <v>0</v>
      </c>
      <c r="D321" s="404" t="n">
        <v>1</v>
      </c>
      <c r="E321" s="404" t="n">
        <v>209</v>
      </c>
      <c r="F321" s="404">
        <f>ROUND(Source!W297,O321)</f>
        <v/>
      </c>
      <c r="G321" s="404" t="inlineStr">
        <is>
          <t>ТранспМат</t>
        </is>
      </c>
      <c r="H321" s="404" t="inlineStr">
        <is>
          <t>Транспорт материалов</t>
        </is>
      </c>
      <c r="I321" s="404" t="n"/>
      <c r="J321" s="404" t="n"/>
      <c r="K321" s="404" t="n">
        <v>209</v>
      </c>
      <c r="L321" s="404" t="n">
        <v>23</v>
      </c>
      <c r="M321" s="404" t="n">
        <v>3</v>
      </c>
      <c r="N321" s="404" t="inlineStr"/>
      <c r="O321" s="404" t="n">
        <v>0</v>
      </c>
      <c r="P321" s="404" t="n"/>
      <c r="Q321" s="404" t="n"/>
      <c r="R321" s="404" t="n"/>
      <c r="S321" s="404" t="n"/>
      <c r="T321" s="404" t="n"/>
      <c r="U321" s="404" t="n"/>
      <c r="V321" s="404" t="n"/>
      <c r="W321" s="404" t="n">
        <v>0</v>
      </c>
      <c r="X321" s="404" t="n">
        <v>1</v>
      </c>
      <c r="Y321" s="404" t="n">
        <v>0</v>
      </c>
      <c r="Z321" s="404" t="n"/>
      <c r="AA321" s="404" t="n"/>
      <c r="AB321" s="404" t="n"/>
    </row>
    <row r="322">
      <c r="A322" s="404" t="n">
        <v>50</v>
      </c>
      <c r="B322" s="404" t="n">
        <v>0</v>
      </c>
      <c r="C322" s="404" t="n">
        <v>0</v>
      </c>
      <c r="D322" s="404" t="n">
        <v>1</v>
      </c>
      <c r="E322" s="404" t="n">
        <v>233</v>
      </c>
      <c r="F322" s="404">
        <f>ROUND(Source!BD297,O322)</f>
        <v/>
      </c>
      <c r="G322" s="404" t="inlineStr">
        <is>
          <t>Перевозка</t>
        </is>
      </c>
      <c r="H322" s="404" t="inlineStr">
        <is>
          <t>Перевозка грузов</t>
        </is>
      </c>
      <c r="I322" s="404" t="n"/>
      <c r="J322" s="404" t="n"/>
      <c r="K322" s="404" t="n">
        <v>233</v>
      </c>
      <c r="L322" s="404" t="n">
        <v>24</v>
      </c>
      <c r="M322" s="404" t="n">
        <v>3</v>
      </c>
      <c r="N322" s="404" t="inlineStr"/>
      <c r="O322" s="404" t="n">
        <v>0</v>
      </c>
      <c r="P322" s="404" t="n"/>
      <c r="Q322" s="404" t="n"/>
      <c r="R322" s="404" t="n"/>
      <c r="S322" s="404" t="n"/>
      <c r="T322" s="404" t="n"/>
      <c r="U322" s="404" t="n"/>
      <c r="V322" s="404" t="n"/>
      <c r="W322" s="404" t="n">
        <v>0</v>
      </c>
      <c r="X322" s="404" t="n">
        <v>1</v>
      </c>
      <c r="Y322" s="404" t="n">
        <v>0</v>
      </c>
      <c r="Z322" s="404" t="n"/>
      <c r="AA322" s="404" t="n"/>
      <c r="AB322" s="404" t="n"/>
    </row>
    <row r="323">
      <c r="A323" s="404" t="n">
        <v>50</v>
      </c>
      <c r="B323" s="404" t="n">
        <v>0</v>
      </c>
      <c r="C323" s="404" t="n">
        <v>0</v>
      </c>
      <c r="D323" s="404" t="n">
        <v>1</v>
      </c>
      <c r="E323" s="404" t="n">
        <v>210</v>
      </c>
      <c r="F323" s="404">
        <f>ROUND(Source!X297,O323)</f>
        <v/>
      </c>
      <c r="G323" s="404" t="inlineStr">
        <is>
          <t>НР</t>
        </is>
      </c>
      <c r="H323" s="404" t="inlineStr">
        <is>
          <t>Накладные расходы</t>
        </is>
      </c>
      <c r="I323" s="404" t="n"/>
      <c r="J323" s="404" t="n"/>
      <c r="K323" s="404" t="n">
        <v>210</v>
      </c>
      <c r="L323" s="404" t="n">
        <v>25</v>
      </c>
      <c r="M323" s="404" t="n">
        <v>3</v>
      </c>
      <c r="N323" s="404" t="inlineStr"/>
      <c r="O323" s="404" t="n">
        <v>0</v>
      </c>
      <c r="P323" s="404" t="n"/>
      <c r="Q323" s="404" t="n"/>
      <c r="R323" s="404" t="n"/>
      <c r="S323" s="404" t="n"/>
      <c r="T323" s="404" t="n"/>
      <c r="U323" s="404" t="n"/>
      <c r="V323" s="404" t="n"/>
      <c r="W323" s="404" t="n">
        <v>0</v>
      </c>
      <c r="X323" s="404" t="n">
        <v>1</v>
      </c>
      <c r="Y323" s="404" t="n">
        <v>0</v>
      </c>
      <c r="Z323" s="404" t="n"/>
      <c r="AA323" s="404" t="n"/>
      <c r="AB323" s="404" t="n"/>
    </row>
    <row r="324">
      <c r="A324" s="404" t="n">
        <v>50</v>
      </c>
      <c r="B324" s="404" t="n">
        <v>0</v>
      </c>
      <c r="C324" s="404" t="n">
        <v>0</v>
      </c>
      <c r="D324" s="404" t="n">
        <v>1</v>
      </c>
      <c r="E324" s="404" t="n">
        <v>211</v>
      </c>
      <c r="F324" s="404">
        <f>ROUND(Source!Y297,O324)</f>
        <v/>
      </c>
      <c r="G324" s="404" t="inlineStr">
        <is>
          <t>СмПриб</t>
        </is>
      </c>
      <c r="H324" s="404" t="inlineStr">
        <is>
          <t>Сметная прибыль</t>
        </is>
      </c>
      <c r="I324" s="404" t="n"/>
      <c r="J324" s="404" t="n"/>
      <c r="K324" s="404" t="n">
        <v>211</v>
      </c>
      <c r="L324" s="404" t="n">
        <v>26</v>
      </c>
      <c r="M324" s="404" t="n">
        <v>3</v>
      </c>
      <c r="N324" s="404" t="inlineStr"/>
      <c r="O324" s="404" t="n">
        <v>0</v>
      </c>
      <c r="P324" s="404" t="n"/>
      <c r="Q324" s="404" t="n"/>
      <c r="R324" s="404" t="n"/>
      <c r="S324" s="404" t="n"/>
      <c r="T324" s="404" t="n"/>
      <c r="U324" s="404" t="n"/>
      <c r="V324" s="404" t="n"/>
      <c r="W324" s="404" t="n">
        <v>0</v>
      </c>
      <c r="X324" s="404" t="n">
        <v>1</v>
      </c>
      <c r="Y324" s="404" t="n">
        <v>0</v>
      </c>
      <c r="Z324" s="404" t="n"/>
      <c r="AA324" s="404" t="n"/>
      <c r="AB324" s="404" t="n"/>
    </row>
    <row r="325">
      <c r="A325" s="404" t="n">
        <v>50</v>
      </c>
      <c r="B325" s="404" t="n">
        <v>0</v>
      </c>
      <c r="C325" s="404" t="n">
        <v>0</v>
      </c>
      <c r="D325" s="404" t="n">
        <v>1</v>
      </c>
      <c r="E325" s="404" t="n">
        <v>224</v>
      </c>
      <c r="F325" s="404">
        <f>ROUND(Source!AR297,O325)</f>
        <v/>
      </c>
      <c r="G325" s="404" t="inlineStr">
        <is>
          <t>Всего</t>
        </is>
      </c>
      <c r="H325" s="404" t="inlineStr">
        <is>
          <t>Всего с НР и СП</t>
        </is>
      </c>
      <c r="I325" s="404" t="n"/>
      <c r="J325" s="404" t="n"/>
      <c r="K325" s="404" t="n">
        <v>224</v>
      </c>
      <c r="L325" s="404" t="n">
        <v>27</v>
      </c>
      <c r="M325" s="404" t="n">
        <v>3</v>
      </c>
      <c r="N325" s="404" t="inlineStr"/>
      <c r="O325" s="404" t="n">
        <v>0</v>
      </c>
      <c r="P325" s="404" t="n"/>
      <c r="Q325" s="404" t="n"/>
      <c r="R325" s="404" t="n"/>
      <c r="S325" s="404" t="n"/>
      <c r="T325" s="404" t="n"/>
      <c r="U325" s="404" t="n"/>
      <c r="V325" s="404" t="n"/>
      <c r="W325" s="404" t="n">
        <v>0</v>
      </c>
      <c r="X325" s="404" t="n">
        <v>1</v>
      </c>
      <c r="Y325" s="404" t="n">
        <v>0</v>
      </c>
      <c r="Z325" s="404" t="n"/>
      <c r="AA325" s="404" t="n"/>
      <c r="AB325" s="404" t="n"/>
    </row>
    <row r="326">
      <c r="A326" s="404" t="n">
        <v>50</v>
      </c>
      <c r="B326" s="404" t="n">
        <v>0</v>
      </c>
      <c r="C326" s="404" t="n">
        <v>0</v>
      </c>
      <c r="D326" s="404" t="n">
        <v>2</v>
      </c>
      <c r="E326" s="404" t="n">
        <v>0</v>
      </c>
      <c r="F326" s="404">
        <f>ROUND(F325,O326)</f>
        <v/>
      </c>
      <c r="G326" s="404" t="inlineStr">
        <is>
          <t>и1</t>
        </is>
      </c>
      <c r="H326" s="404" t="inlineStr">
        <is>
          <t>Итого</t>
        </is>
      </c>
      <c r="I326" s="404" t="n"/>
      <c r="J326" s="404" t="n"/>
      <c r="K326" s="404" t="n">
        <v>212</v>
      </c>
      <c r="L326" s="404" t="n">
        <v>28</v>
      </c>
      <c r="M326" s="404" t="n">
        <v>0</v>
      </c>
      <c r="N326" s="404" t="inlineStr"/>
      <c r="O326" s="404" t="n">
        <v>0</v>
      </c>
      <c r="P326" s="404" t="n"/>
      <c r="Q326" s="404" t="n"/>
      <c r="R326" s="404" t="n"/>
      <c r="S326" s="404" t="n"/>
      <c r="T326" s="404" t="n"/>
      <c r="U326" s="404" t="n"/>
      <c r="V326" s="404" t="n"/>
      <c r="W326" s="404" t="n">
        <v>0</v>
      </c>
      <c r="X326" s="404" t="n">
        <v>1</v>
      </c>
      <c r="Y326" s="404" t="n">
        <v>0</v>
      </c>
      <c r="Z326" s="404" t="n"/>
      <c r="AA326" s="404" t="n"/>
      <c r="AB326" s="404" t="n"/>
    </row>
    <row r="327">
      <c r="A327" s="404" t="n">
        <v>50</v>
      </c>
      <c r="B327" s="404" t="n">
        <v>0</v>
      </c>
      <c r="C327" s="404" t="n">
        <v>0</v>
      </c>
      <c r="D327" s="404" t="n">
        <v>2</v>
      </c>
      <c r="E327" s="404" t="n">
        <v>0</v>
      </c>
      <c r="F327" s="404">
        <f>ROUND(F326*0.22,O327)</f>
        <v/>
      </c>
      <c r="G327" s="404" t="inlineStr">
        <is>
          <t>и2</t>
        </is>
      </c>
      <c r="H327" s="404" t="inlineStr">
        <is>
          <t>НДС 22%</t>
        </is>
      </c>
      <c r="I327" s="404" t="n"/>
      <c r="J327" s="404" t="n"/>
      <c r="K327" s="404" t="n">
        <v>212</v>
      </c>
      <c r="L327" s="404" t="n">
        <v>29</v>
      </c>
      <c r="M327" s="404" t="n">
        <v>0</v>
      </c>
      <c r="N327" s="404" t="inlineStr"/>
      <c r="O327" s="404" t="n">
        <v>0</v>
      </c>
      <c r="P327" s="404" t="n"/>
      <c r="Q327" s="404" t="n"/>
      <c r="R327" s="404" t="n"/>
      <c r="S327" s="404" t="n"/>
      <c r="T327" s="404" t="n"/>
      <c r="U327" s="404" t="n"/>
      <c r="V327" s="404" t="n"/>
      <c r="W327" s="404" t="n">
        <v>0</v>
      </c>
      <c r="X327" s="404" t="n">
        <v>1</v>
      </c>
      <c r="Y327" s="404" t="n">
        <v>0</v>
      </c>
      <c r="Z327" s="404" t="n"/>
      <c r="AA327" s="404" t="n"/>
      <c r="AB327" s="404" t="n"/>
    </row>
    <row r="328">
      <c r="A328" s="404" t="n">
        <v>50</v>
      </c>
      <c r="B328" s="404" t="n">
        <v>0</v>
      </c>
      <c r="C328" s="404" t="n">
        <v>0</v>
      </c>
      <c r="D328" s="404" t="n">
        <v>2</v>
      </c>
      <c r="E328" s="404" t="n">
        <v>213</v>
      </c>
      <c r="F328" s="404">
        <f>ROUND(F326+F327,O328)</f>
        <v/>
      </c>
      <c r="G328" s="404" t="inlineStr">
        <is>
          <t>и3</t>
        </is>
      </c>
      <c r="H328" s="404" t="inlineStr">
        <is>
          <t>Всего</t>
        </is>
      </c>
      <c r="I328" s="404" t="n"/>
      <c r="J328" s="404" t="n"/>
      <c r="K328" s="404" t="n">
        <v>212</v>
      </c>
      <c r="L328" s="404" t="n">
        <v>30</v>
      </c>
      <c r="M328" s="404" t="n">
        <v>0</v>
      </c>
      <c r="N328" s="404" t="inlineStr"/>
      <c r="O328" s="404" t="n">
        <v>0</v>
      </c>
      <c r="P328" s="404" t="n"/>
      <c r="Q328" s="404" t="n"/>
      <c r="R328" s="404" t="n"/>
      <c r="S328" s="404" t="n"/>
      <c r="T328" s="404" t="n"/>
      <c r="U328" s="404" t="n"/>
      <c r="V328" s="404" t="n"/>
      <c r="W328" s="404" t="n">
        <v>0</v>
      </c>
      <c r="X328" s="404" t="n">
        <v>1</v>
      </c>
      <c r="Y328" s="404" t="n">
        <v>0</v>
      </c>
      <c r="Z328" s="404" t="n"/>
      <c r="AA328" s="404" t="n"/>
      <c r="AB328" s="404" t="n"/>
    </row>
    <row r="329"/>
    <row r="330">
      <c r="A330" s="401" t="n">
        <v>3</v>
      </c>
      <c r="B330" s="401" t="n">
        <v>0</v>
      </c>
      <c r="C330" s="401" t="n"/>
      <c r="D330" s="401">
        <f>ROW(A342)</f>
        <v/>
      </c>
      <c r="E330" s="401" t="n"/>
      <c r="F330" s="401" t="inlineStr">
        <is>
          <t>Новая локальная смета</t>
        </is>
      </c>
      <c r="G330" s="401" t="inlineStr">
        <is>
          <t>Текстильщиков 11</t>
        </is>
      </c>
      <c r="H330" s="401" t="inlineStr"/>
      <c r="I330" s="401" t="n">
        <v>0</v>
      </c>
      <c r="J330" s="401" t="inlineStr"/>
      <c r="K330" s="401" t="n">
        <v>0</v>
      </c>
      <c r="L330" s="401" t="inlineStr">
        <is>
          <t>Новая локальная смета</t>
        </is>
      </c>
      <c r="M330" s="401" t="inlineStr"/>
      <c r="N330" s="401" t="n"/>
      <c r="O330" s="401" t="n"/>
      <c r="P330" s="401" t="n"/>
      <c r="Q330" s="401" t="n"/>
      <c r="R330" s="401" t="n"/>
      <c r="S330" s="401" t="n">
        <v>0</v>
      </c>
      <c r="T330" s="401" t="n"/>
      <c r="U330" s="401" t="inlineStr"/>
      <c r="V330" s="401" t="n">
        <v>0</v>
      </c>
      <c r="W330" s="401" t="n"/>
      <c r="X330" s="401" t="n"/>
      <c r="Y330" s="401" t="n"/>
      <c r="Z330" s="401" t="n"/>
      <c r="AA330" s="401" t="n"/>
      <c r="AB330" s="401" t="inlineStr"/>
      <c r="AC330" s="401" t="inlineStr"/>
      <c r="AD330" s="401" t="inlineStr"/>
      <c r="AE330" s="401" t="inlineStr"/>
      <c r="AF330" s="401" t="inlineStr"/>
      <c r="AG330" s="401" t="inlineStr"/>
      <c r="AH330" s="401" t="n"/>
      <c r="AI330" s="401" t="n"/>
      <c r="AJ330" s="401" t="n"/>
      <c r="AK330" s="401" t="n"/>
      <c r="AL330" s="401" t="n"/>
      <c r="AM330" s="401" t="n"/>
      <c r="AN330" s="401" t="n"/>
      <c r="AO330" s="401" t="n"/>
      <c r="AP330" s="401" t="inlineStr"/>
      <c r="AQ330" s="401" t="inlineStr"/>
      <c r="AR330" s="401" t="inlineStr"/>
      <c r="AS330" s="401" t="n"/>
      <c r="AT330" s="401" t="n"/>
      <c r="AU330" s="401" t="n"/>
      <c r="AV330" s="401" t="n"/>
      <c r="AW330" s="401" t="n"/>
      <c r="AX330" s="401" t="n"/>
      <c r="AY330" s="401" t="n"/>
      <c r="AZ330" s="401" t="inlineStr"/>
      <c r="BA330" s="401" t="n"/>
      <c r="BB330" s="401" t="inlineStr"/>
      <c r="BC330" s="401" t="inlineStr"/>
      <c r="BD330" s="401" t="inlineStr"/>
      <c r="BE330" s="401" t="inlineStr"/>
      <c r="BF330" s="401" t="inlineStr"/>
      <c r="BG330" s="401" t="inlineStr"/>
      <c r="BH330" s="401" t="inlineStr"/>
      <c r="BI330" s="401" t="inlineStr"/>
      <c r="BJ330" s="401" t="inlineStr"/>
      <c r="BK330" s="401" t="inlineStr"/>
      <c r="BL330" s="401" t="inlineStr"/>
      <c r="BM330" s="401" t="inlineStr"/>
      <c r="BN330" s="401" t="inlineStr"/>
      <c r="BO330" s="401" t="inlineStr"/>
      <c r="BP330" s="401" t="inlineStr"/>
      <c r="BQ330" s="401" t="n"/>
      <c r="BR330" s="401" t="n"/>
      <c r="BS330" s="401" t="n"/>
      <c r="BT330" s="401" t="n"/>
      <c r="BU330" s="401" t="n"/>
      <c r="BV330" s="401" t="n"/>
      <c r="BW330" s="401" t="n"/>
      <c r="BX330" s="401" t="n">
        <v>0</v>
      </c>
      <c r="BY330" s="401" t="n"/>
      <c r="BZ330" s="401" t="n"/>
      <c r="CA330" s="401" t="n"/>
      <c r="CB330" s="401" t="n"/>
      <c r="CC330" s="401" t="n"/>
      <c r="CD330" s="401" t="n"/>
      <c r="CE330" s="401" t="n"/>
      <c r="CF330" s="401" t="n">
        <v>0</v>
      </c>
      <c r="CG330" s="401" t="n">
        <v>0</v>
      </c>
      <c r="CH330" s="401" t="n"/>
      <c r="CI330" s="401" t="inlineStr"/>
      <c r="CJ330" s="401" t="inlineStr"/>
      <c r="CK330" t="inlineStr"/>
      <c r="CL330" t="inlineStr"/>
      <c r="CM330" t="inlineStr"/>
      <c r="CN330" t="inlineStr"/>
      <c r="CO330" t="inlineStr"/>
      <c r="CP330" t="inlineStr"/>
      <c r="CQ330" t="inlineStr"/>
    </row>
    <row r="331"/>
    <row r="332">
      <c r="A332" s="402" t="n">
        <v>52</v>
      </c>
      <c r="B332" s="402">
        <f>B342</f>
        <v/>
      </c>
      <c r="C332" s="402">
        <f>C342</f>
        <v/>
      </c>
      <c r="D332" s="402">
        <f>D342</f>
        <v/>
      </c>
      <c r="E332" s="402">
        <f>E342</f>
        <v/>
      </c>
      <c r="F332" s="402">
        <f>F342</f>
        <v/>
      </c>
      <c r="G332" s="402">
        <f>G342</f>
        <v/>
      </c>
      <c r="H332" s="402" t="n"/>
      <c r="I332" s="402" t="n"/>
      <c r="J332" s="402" t="n"/>
      <c r="K332" s="402" t="n"/>
      <c r="L332" s="402" t="n"/>
      <c r="M332" s="402" t="n"/>
      <c r="N332" s="402" t="n"/>
      <c r="O332" s="402">
        <f>O342</f>
        <v/>
      </c>
      <c r="P332" s="402">
        <f>P342</f>
        <v/>
      </c>
      <c r="Q332" s="402">
        <f>Q342</f>
        <v/>
      </c>
      <c r="R332" s="402">
        <f>R342</f>
        <v/>
      </c>
      <c r="S332" s="402">
        <f>S342</f>
        <v/>
      </c>
      <c r="T332" s="402">
        <f>T342</f>
        <v/>
      </c>
      <c r="U332" s="402">
        <f>U342</f>
        <v/>
      </c>
      <c r="V332" s="402">
        <f>V342</f>
        <v/>
      </c>
      <c r="W332" s="402">
        <f>W342</f>
        <v/>
      </c>
      <c r="X332" s="402">
        <f>X342</f>
        <v/>
      </c>
      <c r="Y332" s="402">
        <f>Y342</f>
        <v/>
      </c>
      <c r="Z332" s="402">
        <f>Z342</f>
        <v/>
      </c>
      <c r="AA332" s="402">
        <f>AA342</f>
        <v/>
      </c>
      <c r="AB332" s="402">
        <f>AB342</f>
        <v/>
      </c>
      <c r="AC332" s="402">
        <f>AC342</f>
        <v/>
      </c>
      <c r="AD332" s="402">
        <f>AD342</f>
        <v/>
      </c>
      <c r="AE332" s="402">
        <f>AE342</f>
        <v/>
      </c>
      <c r="AF332" s="402">
        <f>AF342</f>
        <v/>
      </c>
      <c r="AG332" s="402">
        <f>AG342</f>
        <v/>
      </c>
      <c r="AH332" s="402">
        <f>AH342</f>
        <v/>
      </c>
      <c r="AI332" s="402">
        <f>AI342</f>
        <v/>
      </c>
      <c r="AJ332" s="402">
        <f>AJ342</f>
        <v/>
      </c>
      <c r="AK332" s="402">
        <f>AK342</f>
        <v/>
      </c>
      <c r="AL332" s="402">
        <f>AL342</f>
        <v/>
      </c>
      <c r="AM332" s="402">
        <f>AM342</f>
        <v/>
      </c>
      <c r="AN332" s="402">
        <f>AN342</f>
        <v/>
      </c>
      <c r="AO332" s="402">
        <f>AO342</f>
        <v/>
      </c>
      <c r="AP332" s="402">
        <f>AP342</f>
        <v/>
      </c>
      <c r="AQ332" s="402">
        <f>AQ342</f>
        <v/>
      </c>
      <c r="AR332" s="402">
        <f>AR342</f>
        <v/>
      </c>
      <c r="AS332" s="402">
        <f>AS342</f>
        <v/>
      </c>
      <c r="AT332" s="402">
        <f>AT342</f>
        <v/>
      </c>
      <c r="AU332" s="402">
        <f>AU342</f>
        <v/>
      </c>
      <c r="AV332" s="402">
        <f>AV342</f>
        <v/>
      </c>
      <c r="AW332" s="402">
        <f>AW342</f>
        <v/>
      </c>
      <c r="AX332" s="402">
        <f>AX342</f>
        <v/>
      </c>
      <c r="AY332" s="402">
        <f>AY342</f>
        <v/>
      </c>
      <c r="AZ332" s="402">
        <f>AZ342</f>
        <v/>
      </c>
      <c r="BA332" s="402">
        <f>BA342</f>
        <v/>
      </c>
      <c r="BB332" s="402">
        <f>BB342</f>
        <v/>
      </c>
      <c r="BC332" s="402">
        <f>BC342</f>
        <v/>
      </c>
      <c r="BD332" s="402">
        <f>BD342</f>
        <v/>
      </c>
      <c r="BE332" s="402">
        <f>BE342</f>
        <v/>
      </c>
      <c r="BF332" s="402">
        <f>BF342</f>
        <v/>
      </c>
      <c r="BG332" s="402">
        <f>BG342</f>
        <v/>
      </c>
      <c r="BH332" s="402">
        <f>BH342</f>
        <v/>
      </c>
      <c r="BI332" s="402">
        <f>BI342</f>
        <v/>
      </c>
      <c r="BJ332" s="402">
        <f>BJ342</f>
        <v/>
      </c>
      <c r="BK332" s="402">
        <f>BK342</f>
        <v/>
      </c>
      <c r="BL332" s="402">
        <f>BL342</f>
        <v/>
      </c>
      <c r="BM332" s="402">
        <f>BM342</f>
        <v/>
      </c>
      <c r="BN332" s="402">
        <f>BN342</f>
        <v/>
      </c>
      <c r="BO332" s="402">
        <f>BO342</f>
        <v/>
      </c>
      <c r="BP332" s="402">
        <f>BP342</f>
        <v/>
      </c>
      <c r="BQ332" s="402">
        <f>BQ342</f>
        <v/>
      </c>
      <c r="BR332" s="402">
        <f>BR342</f>
        <v/>
      </c>
      <c r="BS332" s="402">
        <f>BS342</f>
        <v/>
      </c>
      <c r="BT332" s="402">
        <f>BT342</f>
        <v/>
      </c>
      <c r="BU332" s="402">
        <f>BU342</f>
        <v/>
      </c>
      <c r="BV332" s="402">
        <f>BV342</f>
        <v/>
      </c>
      <c r="BW332" s="402">
        <f>BW342</f>
        <v/>
      </c>
      <c r="BX332" s="402">
        <f>BX342</f>
        <v/>
      </c>
      <c r="BY332" s="402">
        <f>BY342</f>
        <v/>
      </c>
      <c r="BZ332" s="402">
        <f>BZ342</f>
        <v/>
      </c>
      <c r="CA332" s="402">
        <f>CA342</f>
        <v/>
      </c>
      <c r="CB332" s="402">
        <f>CB342</f>
        <v/>
      </c>
      <c r="CC332" s="402">
        <f>CC342</f>
        <v/>
      </c>
      <c r="CD332" s="402">
        <f>CD342</f>
        <v/>
      </c>
      <c r="CE332" s="402">
        <f>CE342</f>
        <v/>
      </c>
      <c r="CF332" s="402">
        <f>CF342</f>
        <v/>
      </c>
      <c r="CG332" s="402">
        <f>CG342</f>
        <v/>
      </c>
      <c r="CH332" s="402">
        <f>CH342</f>
        <v/>
      </c>
      <c r="CI332" s="402">
        <f>CI342</f>
        <v/>
      </c>
      <c r="CJ332" s="402">
        <f>CJ342</f>
        <v/>
      </c>
      <c r="CK332" s="402">
        <f>CK342</f>
        <v/>
      </c>
      <c r="CL332" s="402">
        <f>CL342</f>
        <v/>
      </c>
      <c r="CM332" s="402">
        <f>CM342</f>
        <v/>
      </c>
      <c r="CN332" s="402">
        <f>CN342</f>
        <v/>
      </c>
      <c r="CO332" s="402">
        <f>CO342</f>
        <v/>
      </c>
      <c r="CP332" s="402">
        <f>CP342</f>
        <v/>
      </c>
      <c r="CQ332" s="402">
        <f>CQ342</f>
        <v/>
      </c>
      <c r="CR332" s="402">
        <f>CR342</f>
        <v/>
      </c>
      <c r="CS332" s="402">
        <f>CS342</f>
        <v/>
      </c>
      <c r="CT332" s="402">
        <f>CT342</f>
        <v/>
      </c>
      <c r="CU332" s="402">
        <f>CU342</f>
        <v/>
      </c>
      <c r="CV332" s="402">
        <f>CV342</f>
        <v/>
      </c>
      <c r="CW332" s="402">
        <f>CW342</f>
        <v/>
      </c>
      <c r="CX332" s="402">
        <f>CX342</f>
        <v/>
      </c>
      <c r="CY332" s="402">
        <f>CY342</f>
        <v/>
      </c>
      <c r="CZ332" s="402">
        <f>CZ342</f>
        <v/>
      </c>
      <c r="DA332" s="402">
        <f>DA342</f>
        <v/>
      </c>
      <c r="DB332" s="402">
        <f>DB342</f>
        <v/>
      </c>
      <c r="DC332" s="402">
        <f>DC342</f>
        <v/>
      </c>
      <c r="DD332" s="402">
        <f>DD342</f>
        <v/>
      </c>
      <c r="DE332" s="402">
        <f>DE342</f>
        <v/>
      </c>
      <c r="DF332" s="402">
        <f>DF342</f>
        <v/>
      </c>
      <c r="DG332" s="403">
        <f>DG342</f>
        <v/>
      </c>
      <c r="DH332" s="403">
        <f>DH342</f>
        <v/>
      </c>
      <c r="DI332" s="403">
        <f>DI342</f>
        <v/>
      </c>
      <c r="DJ332" s="403">
        <f>DJ342</f>
        <v/>
      </c>
      <c r="DK332" s="403">
        <f>DK342</f>
        <v/>
      </c>
      <c r="DL332" s="403">
        <f>DL342</f>
        <v/>
      </c>
      <c r="DM332" s="403">
        <f>DM342</f>
        <v/>
      </c>
      <c r="DN332" s="403">
        <f>DN342</f>
        <v/>
      </c>
      <c r="DO332" s="403">
        <f>DO342</f>
        <v/>
      </c>
      <c r="DP332" s="403">
        <f>DP342</f>
        <v/>
      </c>
      <c r="DQ332" s="403">
        <f>DQ342</f>
        <v/>
      </c>
      <c r="DR332" s="403">
        <f>DR342</f>
        <v/>
      </c>
      <c r="DS332" s="403">
        <f>DS342</f>
        <v/>
      </c>
      <c r="DT332" s="403">
        <f>DT342</f>
        <v/>
      </c>
      <c r="DU332" s="403">
        <f>DU342</f>
        <v/>
      </c>
      <c r="DV332" s="403">
        <f>DV342</f>
        <v/>
      </c>
      <c r="DW332" s="403">
        <f>DW342</f>
        <v/>
      </c>
      <c r="DX332" s="403">
        <f>DX342</f>
        <v/>
      </c>
      <c r="DY332" s="403">
        <f>DY342</f>
        <v/>
      </c>
      <c r="DZ332" s="403">
        <f>DZ342</f>
        <v/>
      </c>
      <c r="EA332" s="403">
        <f>EA342</f>
        <v/>
      </c>
      <c r="EB332" s="403">
        <f>EB342</f>
        <v/>
      </c>
      <c r="EC332" s="403">
        <f>EC342</f>
        <v/>
      </c>
      <c r="ED332" s="403">
        <f>ED342</f>
        <v/>
      </c>
      <c r="EE332" s="403">
        <f>EE342</f>
        <v/>
      </c>
      <c r="EF332" s="403">
        <f>EF342</f>
        <v/>
      </c>
      <c r="EG332" s="403">
        <f>EG342</f>
        <v/>
      </c>
      <c r="EH332" s="403">
        <f>EH342</f>
        <v/>
      </c>
      <c r="EI332" s="403">
        <f>EI342</f>
        <v/>
      </c>
      <c r="EJ332" s="403">
        <f>EJ342</f>
        <v/>
      </c>
      <c r="EK332" s="403">
        <f>EK342</f>
        <v/>
      </c>
      <c r="EL332" s="403">
        <f>EL342</f>
        <v/>
      </c>
      <c r="EM332" s="403">
        <f>EM342</f>
        <v/>
      </c>
      <c r="EN332" s="403">
        <f>EN342</f>
        <v/>
      </c>
      <c r="EO332" s="403">
        <f>EO342</f>
        <v/>
      </c>
      <c r="EP332" s="403">
        <f>EP342</f>
        <v/>
      </c>
      <c r="EQ332" s="403">
        <f>EQ342</f>
        <v/>
      </c>
      <c r="ER332" s="403">
        <f>ER342</f>
        <v/>
      </c>
      <c r="ES332" s="403">
        <f>ES342</f>
        <v/>
      </c>
      <c r="ET332" s="403">
        <f>ET342</f>
        <v/>
      </c>
      <c r="EU332" s="403">
        <f>EU342</f>
        <v/>
      </c>
      <c r="EV332" s="403">
        <f>EV342</f>
        <v/>
      </c>
      <c r="EW332" s="403">
        <f>EW342</f>
        <v/>
      </c>
      <c r="EX332" s="403">
        <f>EX342</f>
        <v/>
      </c>
      <c r="EY332" s="403">
        <f>EY342</f>
        <v/>
      </c>
      <c r="EZ332" s="403">
        <f>EZ342</f>
        <v/>
      </c>
      <c r="FA332" s="403">
        <f>FA342</f>
        <v/>
      </c>
      <c r="FB332" s="403">
        <f>FB342</f>
        <v/>
      </c>
      <c r="FC332" s="403">
        <f>FC342</f>
        <v/>
      </c>
      <c r="FD332" s="403">
        <f>FD342</f>
        <v/>
      </c>
      <c r="FE332" s="403">
        <f>FE342</f>
        <v/>
      </c>
      <c r="FF332" s="403">
        <f>FF342</f>
        <v/>
      </c>
      <c r="FG332" s="403">
        <f>FG342</f>
        <v/>
      </c>
      <c r="FH332" s="403">
        <f>FH342</f>
        <v/>
      </c>
      <c r="FI332" s="403">
        <f>FI342</f>
        <v/>
      </c>
      <c r="FJ332" s="403">
        <f>FJ342</f>
        <v/>
      </c>
      <c r="FK332" s="403">
        <f>FK342</f>
        <v/>
      </c>
      <c r="FL332" s="403">
        <f>FL342</f>
        <v/>
      </c>
      <c r="FM332" s="403">
        <f>FM342</f>
        <v/>
      </c>
      <c r="FN332" s="403">
        <f>FN342</f>
        <v/>
      </c>
      <c r="FO332" s="403">
        <f>FO342</f>
        <v/>
      </c>
      <c r="FP332" s="403">
        <f>FP342</f>
        <v/>
      </c>
      <c r="FQ332" s="403">
        <f>FQ342</f>
        <v/>
      </c>
      <c r="FR332" s="403">
        <f>FR342</f>
        <v/>
      </c>
      <c r="FS332" s="403">
        <f>FS342</f>
        <v/>
      </c>
      <c r="FT332" s="403">
        <f>FT342</f>
        <v/>
      </c>
      <c r="FU332" s="403">
        <f>FU342</f>
        <v/>
      </c>
      <c r="FV332" s="403">
        <f>FV342</f>
        <v/>
      </c>
      <c r="FW332" s="403">
        <f>FW342</f>
        <v/>
      </c>
      <c r="FX332" s="403">
        <f>FX342</f>
        <v/>
      </c>
      <c r="FY332" s="403">
        <f>FY342</f>
        <v/>
      </c>
      <c r="FZ332" s="403">
        <f>FZ342</f>
        <v/>
      </c>
      <c r="GA332" s="403">
        <f>GA342</f>
        <v/>
      </c>
      <c r="GB332" s="403">
        <f>GB342</f>
        <v/>
      </c>
      <c r="GC332" s="403">
        <f>GC342</f>
        <v/>
      </c>
      <c r="GD332" s="403">
        <f>GD342</f>
        <v/>
      </c>
      <c r="GE332" s="403">
        <f>GE342</f>
        <v/>
      </c>
      <c r="GF332" s="403">
        <f>GF342</f>
        <v/>
      </c>
      <c r="GG332" s="403">
        <f>GG342</f>
        <v/>
      </c>
      <c r="GH332" s="403">
        <f>GH342</f>
        <v/>
      </c>
      <c r="GI332" s="403">
        <f>GI342</f>
        <v/>
      </c>
      <c r="GJ332" s="403">
        <f>GJ342</f>
        <v/>
      </c>
      <c r="GK332" s="403">
        <f>GK342</f>
        <v/>
      </c>
      <c r="GL332" s="403">
        <f>GL342</f>
        <v/>
      </c>
      <c r="GM332" s="403">
        <f>GM342</f>
        <v/>
      </c>
      <c r="GN332" s="403">
        <f>GN342</f>
        <v/>
      </c>
      <c r="GO332" s="403">
        <f>GO342</f>
        <v/>
      </c>
      <c r="GP332" s="403">
        <f>GP342</f>
        <v/>
      </c>
      <c r="GQ332" s="403">
        <f>GQ342</f>
        <v/>
      </c>
      <c r="GR332" s="403">
        <f>GR342</f>
        <v/>
      </c>
      <c r="GS332" s="403">
        <f>GS342</f>
        <v/>
      </c>
      <c r="GT332" s="403">
        <f>GT342</f>
        <v/>
      </c>
      <c r="GU332" s="403">
        <f>GU342</f>
        <v/>
      </c>
      <c r="GV332" s="403">
        <f>GV342</f>
        <v/>
      </c>
      <c r="GW332" s="403">
        <f>GW342</f>
        <v/>
      </c>
      <c r="GX332" s="403">
        <f>GX342</f>
        <v/>
      </c>
    </row>
    <row r="333"/>
    <row r="334">
      <c r="A334" t="n">
        <v>17</v>
      </c>
      <c r="B334" t="n">
        <v>0</v>
      </c>
      <c r="C334">
        <f>ROW(SmtRes!A159)</f>
        <v/>
      </c>
      <c r="D334">
        <f>ROW(EtalonRes!A149)</f>
        <v/>
      </c>
      <c r="E334" t="inlineStr">
        <is>
          <t>1</t>
        </is>
      </c>
      <c r="F334" t="inlineStr">
        <is>
          <t>65-10-1</t>
        </is>
      </c>
      <c r="G334" t="inlineStr">
        <is>
          <t>Очистка канализационной сети внутренней</t>
        </is>
      </c>
      <c r="H334" t="inlineStr">
        <is>
          <t>100 м трубопровода</t>
        </is>
      </c>
      <c r="I334">
        <f>ROUND(ROUND(80/100,4),7)</f>
        <v/>
      </c>
      <c r="J334" t="n">
        <v>0</v>
      </c>
      <c r="K334">
        <f>ROUND(ROUND(80/100,4),7)</f>
        <v/>
      </c>
      <c r="O334">
        <f>ROUND(CP334,0)</f>
        <v/>
      </c>
      <c r="P334">
        <f>ROUND(CQ334*I334,0)</f>
        <v/>
      </c>
      <c r="Q334">
        <f>(ROUND((ROUND(((ET334)*I334),0)*BB334),0)+ROUND((ROUND(((AE334-(EU334))*I334),0)*BS334),0))</f>
        <v/>
      </c>
      <c r="R334">
        <f>(ROUND((ROUND(((EU334)*I334),0)*BS334),0)+ROUND((ROUND(((AE334-(EU334))*I334),0)*BS334),0))</f>
        <v/>
      </c>
      <c r="S334">
        <f>ROUND(CT334*I334,0)</f>
        <v/>
      </c>
      <c r="T334">
        <f>ROUND(CU334*I334,0)</f>
        <v/>
      </c>
      <c r="U334">
        <f>ROUND(CV334*I334,7)</f>
        <v/>
      </c>
      <c r="V334">
        <f>ROUND(CW334*I334,7)</f>
        <v/>
      </c>
      <c r="W334">
        <f>ROUND(CX334*I334,0)</f>
        <v/>
      </c>
      <c r="X334">
        <f>ROUND(CY334,0)</f>
        <v/>
      </c>
      <c r="Y334">
        <f>ROUND(CZ334,0)</f>
        <v/>
      </c>
      <c r="AA334" t="n">
        <v>78869116</v>
      </c>
      <c r="AB334">
        <f>ROUND((AC334+AD334+AF334),2)</f>
        <v/>
      </c>
      <c r="AC334">
        <f>ROUND((ES334),2)</f>
        <v/>
      </c>
      <c r="AD334">
        <f>ROUND((((ET334)-(EU334))+AE334),2)</f>
        <v/>
      </c>
      <c r="AE334">
        <f>ROUND((EU334),2)</f>
        <v/>
      </c>
      <c r="AF334">
        <f>ROUND((EV334),2)</f>
        <v/>
      </c>
      <c r="AG334">
        <f>ROUND((AP334),2)</f>
        <v/>
      </c>
      <c r="AH334">
        <f>(EW334)</f>
        <v/>
      </c>
      <c r="AI334">
        <f>(EX334)</f>
        <v/>
      </c>
      <c r="AJ334">
        <f>(AS334)</f>
        <v/>
      </c>
      <c r="AK334" t="n">
        <v>403.3</v>
      </c>
      <c r="AL334" t="n">
        <v>139.36</v>
      </c>
      <c r="AM334" t="n">
        <v>0.87</v>
      </c>
      <c r="AN334" t="n">
        <v>0</v>
      </c>
      <c r="AO334" t="n">
        <v>263.07</v>
      </c>
      <c r="AP334" t="n">
        <v>0</v>
      </c>
      <c r="AQ334" t="n">
        <v>32.2</v>
      </c>
      <c r="AR334" t="n">
        <v>0</v>
      </c>
      <c r="AS334" t="n">
        <v>0</v>
      </c>
      <c r="AT334" t="n">
        <v>103</v>
      </c>
      <c r="AU334" t="n">
        <v>52</v>
      </c>
      <c r="AV334" t="n">
        <v>1</v>
      </c>
      <c r="AW334" t="n">
        <v>1</v>
      </c>
      <c r="AZ334" t="n">
        <v>1</v>
      </c>
      <c r="BA334" t="n">
        <v>52.25</v>
      </c>
      <c r="BB334" t="n">
        <v>25.03</v>
      </c>
      <c r="BC334" t="n">
        <v>11.85</v>
      </c>
      <c r="BD334" t="inlineStr"/>
      <c r="BE334" t="inlineStr"/>
      <c r="BF334" t="inlineStr"/>
      <c r="BG334" t="inlineStr"/>
      <c r="BH334" t="n">
        <v>0</v>
      </c>
      <c r="BI334" t="n">
        <v>1</v>
      </c>
      <c r="BJ334" t="inlineStr">
        <is>
          <t>ТЕРр Московской обл., 65-10-1, приказ Минстроя России №675/пр от 28.02.2017 № 263/пр</t>
        </is>
      </c>
      <c r="BM334" t="n">
        <v>65007</v>
      </c>
      <c r="BN334" t="n">
        <v>0</v>
      </c>
      <c r="BO334" t="inlineStr">
        <is>
          <t>65-10-1</t>
        </is>
      </c>
      <c r="BP334" t="n">
        <v>1</v>
      </c>
      <c r="BQ334" t="n">
        <v>6</v>
      </c>
      <c r="BR334" t="n">
        <v>0</v>
      </c>
      <c r="BS334" t="n">
        <v>52.25</v>
      </c>
      <c r="BT334" t="n">
        <v>1</v>
      </c>
      <c r="BU334" t="n">
        <v>1</v>
      </c>
      <c r="BV334" t="n">
        <v>1</v>
      </c>
      <c r="BW334" t="n">
        <v>1</v>
      </c>
      <c r="BX334" t="n">
        <v>1</v>
      </c>
      <c r="BY334" t="inlineStr"/>
      <c r="BZ334" t="n">
        <v>103</v>
      </c>
      <c r="CA334" t="n">
        <v>52</v>
      </c>
      <c r="CB334" t="inlineStr"/>
      <c r="CE334" t="n">
        <v>12</v>
      </c>
      <c r="CF334" t="n">
        <v>0</v>
      </c>
      <c r="CG334" t="n">
        <v>0</v>
      </c>
      <c r="CM334" t="n">
        <v>0</v>
      </c>
      <c r="CN334" t="inlineStr"/>
      <c r="CO334" t="n">
        <v>0</v>
      </c>
      <c r="CP334">
        <f>(P334+Q334+S334)</f>
        <v/>
      </c>
      <c r="CQ334">
        <f>AC334*BC334</f>
        <v/>
      </c>
      <c r="CR334">
        <f>(ROUND((ROUND(((ET334)*1),0)*BB334),0)+ROUND((ROUND(((AE334-(EU334))*1),0)*BS334),0))</f>
        <v/>
      </c>
      <c r="CS334">
        <f>(ROUND((ROUND(((EU334)*1),0)*BS334),0)+ROUND((ROUND(((AE334-(EU334))*1),0)*BS334),0))</f>
        <v/>
      </c>
      <c r="CT334">
        <f>AF334*BA334</f>
        <v/>
      </c>
      <c r="CU334">
        <f>AG334</f>
        <v/>
      </c>
      <c r="CV334">
        <f>AH334</f>
        <v/>
      </c>
      <c r="CW334">
        <f>AI334</f>
        <v/>
      </c>
      <c r="CX334">
        <f>AJ334</f>
        <v/>
      </c>
      <c r="CY334">
        <f>(((S334+R334)*AT334)/100)</f>
        <v/>
      </c>
      <c r="CZ334">
        <f>(((S334+R334)*AU334)/100)</f>
        <v/>
      </c>
      <c r="DC334" t="inlineStr"/>
      <c r="DD334" t="inlineStr"/>
      <c r="DE334" t="inlineStr"/>
      <c r="DF334" t="inlineStr"/>
      <c r="DG334" t="inlineStr"/>
      <c r="DH334" t="inlineStr"/>
      <c r="DI334" t="inlineStr"/>
      <c r="DJ334" t="inlineStr"/>
      <c r="DK334" t="inlineStr"/>
      <c r="DL334" t="inlineStr"/>
      <c r="DM334" t="inlineStr"/>
      <c r="DN334" t="n">
        <v>0</v>
      </c>
      <c r="DO334" t="n">
        <v>0</v>
      </c>
      <c r="DP334" t="n">
        <v>1</v>
      </c>
      <c r="DQ334" t="n">
        <v>1</v>
      </c>
      <c r="DU334" t="n">
        <v>1013</v>
      </c>
      <c r="DV334" t="inlineStr">
        <is>
          <t>100 м трубопровода</t>
        </is>
      </c>
      <c r="DW334" t="inlineStr">
        <is>
          <t>100 м трубопровода</t>
        </is>
      </c>
      <c r="DX334" t="n">
        <v>1</v>
      </c>
      <c r="DZ334" t="inlineStr"/>
      <c r="EA334" t="inlineStr"/>
      <c r="EB334" t="inlineStr"/>
      <c r="EC334" t="inlineStr"/>
      <c r="EE334" t="n">
        <v>78726000</v>
      </c>
      <c r="EF334" t="n">
        <v>6</v>
      </c>
      <c r="EG334" t="inlineStr">
        <is>
          <t>Ремонтно-строительные работы</t>
        </is>
      </c>
      <c r="EH334" t="n">
        <v>99</v>
      </c>
      <c r="EI334" t="inlineStr">
        <is>
          <t>Внутренние санитарно-технические работы</t>
        </is>
      </c>
      <c r="EJ334" t="n">
        <v>1</v>
      </c>
      <c r="EK334" t="n">
        <v>65007</v>
      </c>
      <c r="EL334" t="inlineStr">
        <is>
          <t>Внутренние санитарнотехнические работы: смена труб, санприборов, запорной арматуры и другое</t>
        </is>
      </c>
      <c r="EM334" t="inlineStr">
        <is>
          <t>рФЕР-65</t>
        </is>
      </c>
      <c r="EO334" t="inlineStr"/>
      <c r="EQ334" t="n">
        <v>0</v>
      </c>
      <c r="ER334" t="n">
        <v>403.3</v>
      </c>
      <c r="ES334" t="n">
        <v>139.36</v>
      </c>
      <c r="ET334" t="n">
        <v>0.87</v>
      </c>
      <c r="EU334" t="n">
        <v>0</v>
      </c>
      <c r="EV334" t="n">
        <v>263.07</v>
      </c>
      <c r="EW334" t="n">
        <v>32.2</v>
      </c>
      <c r="EX334" t="n">
        <v>0</v>
      </c>
      <c r="EY334" t="n">
        <v>0</v>
      </c>
      <c r="FQ334" t="n">
        <v>0</v>
      </c>
      <c r="FR334" t="n">
        <v>0</v>
      </c>
      <c r="FS334" t="n">
        <v>0</v>
      </c>
      <c r="FX334" t="n">
        <v>103</v>
      </c>
      <c r="FY334" t="n">
        <v>52</v>
      </c>
      <c r="GA334" t="inlineStr"/>
      <c r="GD334" t="n">
        <v>1</v>
      </c>
      <c r="GF334" t="n">
        <v>-66904957</v>
      </c>
      <c r="GG334" t="n">
        <v>2</v>
      </c>
      <c r="GH334" t="n">
        <v>1</v>
      </c>
      <c r="GI334" t="n">
        <v>2</v>
      </c>
      <c r="GJ334" t="n">
        <v>0</v>
      </c>
      <c r="GK334" t="n">
        <v>0</v>
      </c>
      <c r="GL334">
        <f>ROUND(IF(AND(BH334=3,BI334=3,FS334&lt;&gt;0),P334,0),0)</f>
        <v/>
      </c>
      <c r="GM334">
        <f>ROUND(O334+X334+Y334,0)+GX334</f>
        <v/>
      </c>
      <c r="GN334">
        <f>IF(OR(BI334=0,BI334=1),GM334-GX334,0)</f>
        <v/>
      </c>
      <c r="GO334">
        <f>IF(BI334=2,GM334-GX334,0)</f>
        <v/>
      </c>
      <c r="GP334">
        <f>IF(BI334=4,GM334-GX334,0)</f>
        <v/>
      </c>
      <c r="GR334" t="n">
        <v>0</v>
      </c>
      <c r="GS334" t="n">
        <v>3</v>
      </c>
      <c r="GT334" t="n">
        <v>0</v>
      </c>
      <c r="GU334" t="inlineStr"/>
      <c r="GV334">
        <f>ROUND((GT334),2)</f>
        <v/>
      </c>
      <c r="GW334" t="n">
        <v>1</v>
      </c>
      <c r="GX334">
        <f>ROUND(HC334*I334,0)</f>
        <v/>
      </c>
      <c r="HA334" t="n">
        <v>0</v>
      </c>
      <c r="HB334" t="n">
        <v>0</v>
      </c>
      <c r="HC334">
        <f>GV334*GW334</f>
        <v/>
      </c>
      <c r="HE334" t="inlineStr"/>
      <c r="HF334" t="inlineStr"/>
      <c r="HM334" t="inlineStr"/>
      <c r="HN334" t="inlineStr">
        <is>
          <t>Пр/812-099.2-1</t>
        </is>
      </c>
      <c r="HO334" t="inlineStr">
        <is>
          <t>Пр/774-099.2</t>
        </is>
      </c>
      <c r="HP334" t="inlineStr">
        <is>
          <t>Внутренние санитарнотехнические работы: смена труб, санприборов, запорной арматуры и другое</t>
        </is>
      </c>
      <c r="HQ334" t="inlineStr">
        <is>
          <t>Внутренние санитарнотехнические работы: смена труб, санприборов, запорной арматуры и другое</t>
        </is>
      </c>
      <c r="HS334" t="n">
        <v>0</v>
      </c>
      <c r="IK334" t="n">
        <v>0</v>
      </c>
    </row>
    <row r="335">
      <c r="A335" t="n">
        <v>17</v>
      </c>
      <c r="B335" t="n">
        <v>0</v>
      </c>
      <c r="C335">
        <f>ROW(SmtRes!A162)</f>
        <v/>
      </c>
      <c r="D335">
        <f>ROW(EtalonRes!A151)</f>
        <v/>
      </c>
      <c r="E335" t="inlineStr">
        <is>
          <t>2</t>
        </is>
      </c>
      <c r="F335" t="inlineStr">
        <is>
          <t>67-5-2</t>
        </is>
      </c>
      <c r="G335" t="inlineStr">
        <is>
          <t>Смена ламп люминесцентных</t>
        </is>
      </c>
      <c r="H335" t="inlineStr">
        <is>
          <t>100 шт.</t>
        </is>
      </c>
      <c r="I335">
        <f>ROUND(ROUND(1/100,4),7)</f>
        <v/>
      </c>
      <c r="J335" t="n">
        <v>0</v>
      </c>
      <c r="K335">
        <f>ROUND(ROUND(1/100,4),7)</f>
        <v/>
      </c>
      <c r="O335">
        <f>ROUND(CP335,0)</f>
        <v/>
      </c>
      <c r="P335">
        <f>ROUND(CQ335*I335,0)</f>
        <v/>
      </c>
      <c r="Q335">
        <f>(ROUND((ROUND(((ET335)*I335),0)*BB335),0)+ROUND((ROUND(((AE335-(EU335))*I335),0)*BS335),0))</f>
        <v/>
      </c>
      <c r="R335">
        <f>(ROUND((ROUND(((EU335)*I335),0)*BS335),0)+ROUND((ROUND(((AE335-(EU335))*I335),0)*BS335),0))</f>
        <v/>
      </c>
      <c r="S335">
        <f>ROUND(CT335*I335,0)</f>
        <v/>
      </c>
      <c r="T335">
        <f>ROUND(CU335*I335,0)</f>
        <v/>
      </c>
      <c r="U335">
        <f>ROUND(CV335*I335,7)</f>
        <v/>
      </c>
      <c r="V335">
        <f>ROUND(CW335*I335,7)</f>
        <v/>
      </c>
      <c r="W335">
        <f>ROUND(CX335*I335,0)</f>
        <v/>
      </c>
      <c r="X335">
        <f>ROUND(CY335,0)</f>
        <v/>
      </c>
      <c r="Y335">
        <f>ROUND(CZ335,0)</f>
        <v/>
      </c>
      <c r="AA335" t="n">
        <v>78869116</v>
      </c>
      <c r="AB335">
        <f>ROUND((AC335+AD335+AF335),2)</f>
        <v/>
      </c>
      <c r="AC335">
        <f>ROUND((ES335),2)</f>
        <v/>
      </c>
      <c r="AD335">
        <f>ROUND((((ET335)-(EU335))+AE335),2)</f>
        <v/>
      </c>
      <c r="AE335">
        <f>ROUND((EU335),2)</f>
        <v/>
      </c>
      <c r="AF335">
        <f>ROUND((EV335),2)</f>
        <v/>
      </c>
      <c r="AG335">
        <f>ROUND((AP335),2)</f>
        <v/>
      </c>
      <c r="AH335">
        <f>(EW335)</f>
        <v/>
      </c>
      <c r="AI335">
        <f>(EX335)</f>
        <v/>
      </c>
      <c r="AJ335">
        <f>(AS335)</f>
        <v/>
      </c>
      <c r="AK335" t="n">
        <v>970.5700000000001</v>
      </c>
      <c r="AL335" t="n">
        <v>852</v>
      </c>
      <c r="AM335" t="n">
        <v>0</v>
      </c>
      <c r="AN335" t="n">
        <v>0</v>
      </c>
      <c r="AO335" t="n">
        <v>118.57</v>
      </c>
      <c r="AP335" t="n">
        <v>0</v>
      </c>
      <c r="AQ335" t="n">
        <v>13.9</v>
      </c>
      <c r="AR335" t="n">
        <v>0</v>
      </c>
      <c r="AS335" t="n">
        <v>0</v>
      </c>
      <c r="AT335" t="n">
        <v>91</v>
      </c>
      <c r="AU335" t="n">
        <v>48</v>
      </c>
      <c r="AV335" t="n">
        <v>1</v>
      </c>
      <c r="AW335" t="n">
        <v>1</v>
      </c>
      <c r="AZ335" t="n">
        <v>1</v>
      </c>
      <c r="BA335" t="n">
        <v>52.25</v>
      </c>
      <c r="BB335" t="n">
        <v>1</v>
      </c>
      <c r="BC335" t="n">
        <v>4.14</v>
      </c>
      <c r="BD335" t="inlineStr"/>
      <c r="BE335" t="inlineStr"/>
      <c r="BF335" t="inlineStr"/>
      <c r="BG335" t="inlineStr"/>
      <c r="BH335" t="n">
        <v>0</v>
      </c>
      <c r="BI335" t="n">
        <v>1</v>
      </c>
      <c r="BJ335" t="inlineStr">
        <is>
          <t>ТЕРр Московской обл., 67-5-2, приказ Минстроя России №675/пр от 28.02.2017 № 263/пр</t>
        </is>
      </c>
      <c r="BM335" t="n">
        <v>67001</v>
      </c>
      <c r="BN335" t="n">
        <v>0</v>
      </c>
      <c r="BO335" t="inlineStr">
        <is>
          <t>67-5-2</t>
        </is>
      </c>
      <c r="BP335" t="n">
        <v>1</v>
      </c>
      <c r="BQ335" t="n">
        <v>6</v>
      </c>
      <c r="BR335" t="n">
        <v>0</v>
      </c>
      <c r="BS335" t="n">
        <v>52.25</v>
      </c>
      <c r="BT335" t="n">
        <v>1</v>
      </c>
      <c r="BU335" t="n">
        <v>1</v>
      </c>
      <c r="BV335" t="n">
        <v>1</v>
      </c>
      <c r="BW335" t="n">
        <v>1</v>
      </c>
      <c r="BX335" t="n">
        <v>1</v>
      </c>
      <c r="BY335" t="inlineStr"/>
      <c r="BZ335" t="n">
        <v>91</v>
      </c>
      <c r="CA335" t="n">
        <v>48</v>
      </c>
      <c r="CB335" t="inlineStr"/>
      <c r="CE335" t="n">
        <v>12</v>
      </c>
      <c r="CF335" t="n">
        <v>0</v>
      </c>
      <c r="CG335" t="n">
        <v>0</v>
      </c>
      <c r="CM335" t="n">
        <v>0</v>
      </c>
      <c r="CN335" t="inlineStr"/>
      <c r="CO335" t="n">
        <v>0</v>
      </c>
      <c r="CP335">
        <f>(P335+Q335+S335)</f>
        <v/>
      </c>
      <c r="CQ335">
        <f>AC335*BC335</f>
        <v/>
      </c>
      <c r="CR335">
        <f>(ROUND((ROUND(((ET335)*1),0)*BB335),0)+ROUND((ROUND(((AE335-(EU335))*1),0)*BS335),0))</f>
        <v/>
      </c>
      <c r="CS335">
        <f>(ROUND((ROUND(((EU335)*1),0)*BS335),0)+ROUND((ROUND(((AE335-(EU335))*1),0)*BS335),0))</f>
        <v/>
      </c>
      <c r="CT335">
        <f>AF335*BA335</f>
        <v/>
      </c>
      <c r="CU335">
        <f>AG335</f>
        <v/>
      </c>
      <c r="CV335">
        <f>AH335</f>
        <v/>
      </c>
      <c r="CW335">
        <f>AI335</f>
        <v/>
      </c>
      <c r="CX335">
        <f>AJ335</f>
        <v/>
      </c>
      <c r="CY335">
        <f>(((S335+R335)*AT335)/100)</f>
        <v/>
      </c>
      <c r="CZ335">
        <f>(((S335+R335)*AU335)/100)</f>
        <v/>
      </c>
      <c r="DC335" t="inlineStr"/>
      <c r="DD335" t="inlineStr"/>
      <c r="DE335" t="inlineStr"/>
      <c r="DF335" t="inlineStr"/>
      <c r="DG335" t="inlineStr"/>
      <c r="DH335" t="inlineStr"/>
      <c r="DI335" t="inlineStr"/>
      <c r="DJ335" t="inlineStr"/>
      <c r="DK335" t="inlineStr"/>
      <c r="DL335" t="inlineStr"/>
      <c r="DM335" t="inlineStr"/>
      <c r="DN335" t="n">
        <v>0</v>
      </c>
      <c r="DO335" t="n">
        <v>0</v>
      </c>
      <c r="DP335" t="n">
        <v>1</v>
      </c>
      <c r="DQ335" t="n">
        <v>1</v>
      </c>
      <c r="DU335" t="n">
        <v>1010</v>
      </c>
      <c r="DV335" t="inlineStr">
        <is>
          <t>100 шт.</t>
        </is>
      </c>
      <c r="DW335" t="inlineStr">
        <is>
          <t>100 шт.</t>
        </is>
      </c>
      <c r="DX335" t="n">
        <v>100</v>
      </c>
      <c r="DZ335" t="inlineStr"/>
      <c r="EA335" t="inlineStr"/>
      <c r="EB335" t="inlineStr"/>
      <c r="EC335" t="inlineStr"/>
      <c r="EE335" t="n">
        <v>78726030</v>
      </c>
      <c r="EF335" t="n">
        <v>6</v>
      </c>
      <c r="EG335" t="inlineStr">
        <is>
          <t>Ремонтно-строительные работы</t>
        </is>
      </c>
      <c r="EH335" t="n">
        <v>101</v>
      </c>
      <c r="EI335" t="inlineStr">
        <is>
          <t>Электромонтажные работы</t>
        </is>
      </c>
      <c r="EJ335" t="n">
        <v>1</v>
      </c>
      <c r="EK335" t="n">
        <v>67001</v>
      </c>
      <c r="EL335" t="inlineStr">
        <is>
          <t>Электромонтажные работы</t>
        </is>
      </c>
      <c r="EM335" t="inlineStr">
        <is>
          <t>рФЕР-67</t>
        </is>
      </c>
      <c r="EO335" t="inlineStr"/>
      <c r="EQ335" t="n">
        <v>0</v>
      </c>
      <c r="ER335" t="n">
        <v>970.5700000000001</v>
      </c>
      <c r="ES335" t="n">
        <v>852</v>
      </c>
      <c r="ET335" t="n">
        <v>0</v>
      </c>
      <c r="EU335" t="n">
        <v>0</v>
      </c>
      <c r="EV335" t="n">
        <v>118.57</v>
      </c>
      <c r="EW335" t="n">
        <v>13.9</v>
      </c>
      <c r="EX335" t="n">
        <v>0</v>
      </c>
      <c r="EY335" t="n">
        <v>0</v>
      </c>
      <c r="FQ335" t="n">
        <v>0</v>
      </c>
      <c r="FR335" t="n">
        <v>0</v>
      </c>
      <c r="FS335" t="n">
        <v>0</v>
      </c>
      <c r="FX335" t="n">
        <v>91</v>
      </c>
      <c r="FY335" t="n">
        <v>48</v>
      </c>
      <c r="GA335" t="inlineStr"/>
      <c r="GD335" t="n">
        <v>1</v>
      </c>
      <c r="GF335" t="n">
        <v>1400342257</v>
      </c>
      <c r="GG335" t="n">
        <v>2</v>
      </c>
      <c r="GH335" t="n">
        <v>1</v>
      </c>
      <c r="GI335" t="n">
        <v>2</v>
      </c>
      <c r="GJ335" t="n">
        <v>0</v>
      </c>
      <c r="GK335" t="n">
        <v>0</v>
      </c>
      <c r="GL335">
        <f>ROUND(IF(AND(BH335=3,BI335=3,FS335&lt;&gt;0),P335,0),0)</f>
        <v/>
      </c>
      <c r="GM335">
        <f>ROUND(O335+X335+Y335,0)+GX335</f>
        <v/>
      </c>
      <c r="GN335">
        <f>IF(OR(BI335=0,BI335=1),GM335-GX335,0)</f>
        <v/>
      </c>
      <c r="GO335">
        <f>IF(BI335=2,GM335-GX335,0)</f>
        <v/>
      </c>
      <c r="GP335">
        <f>IF(BI335=4,GM335-GX335,0)</f>
        <v/>
      </c>
      <c r="GR335" t="n">
        <v>0</v>
      </c>
      <c r="GS335" t="n">
        <v>3</v>
      </c>
      <c r="GT335" t="n">
        <v>0</v>
      </c>
      <c r="GU335" t="inlineStr"/>
      <c r="GV335">
        <f>ROUND((GT335),2)</f>
        <v/>
      </c>
      <c r="GW335" t="n">
        <v>1</v>
      </c>
      <c r="GX335">
        <f>ROUND(HC335*I335,0)</f>
        <v/>
      </c>
      <c r="HA335" t="n">
        <v>0</v>
      </c>
      <c r="HB335" t="n">
        <v>0</v>
      </c>
      <c r="HC335">
        <f>GV335*GW335</f>
        <v/>
      </c>
      <c r="HE335" t="inlineStr"/>
      <c r="HF335" t="inlineStr"/>
      <c r="HM335" t="inlineStr"/>
      <c r="HN335" t="inlineStr">
        <is>
          <t>Пр/812-101.0-1</t>
        </is>
      </c>
      <c r="HO335" t="inlineStr">
        <is>
          <t>Пр/774-101.0</t>
        </is>
      </c>
      <c r="HP335" t="inlineStr">
        <is>
          <t>Электромонтажные работы</t>
        </is>
      </c>
      <c r="HQ335" t="inlineStr">
        <is>
          <t>Электромонтажные работы</t>
        </is>
      </c>
      <c r="HS335" t="n">
        <v>0</v>
      </c>
      <c r="IK335" t="n">
        <v>0</v>
      </c>
    </row>
    <row r="336">
      <c r="A336" t="n">
        <v>18</v>
      </c>
      <c r="B336" t="n">
        <v>0</v>
      </c>
      <c r="C336" t="n">
        <v>162</v>
      </c>
      <c r="E336" t="inlineStr">
        <is>
          <t>2,1</t>
        </is>
      </c>
      <c r="F336" t="inlineStr">
        <is>
          <t>509-6744</t>
        </is>
      </c>
      <c r="G336" t="inlineStr">
        <is>
          <t>Лампы люминесцентные компактные энергосберегающие с цоколем Е27 мощностью 55 Вт</t>
        </is>
      </c>
      <c r="H336" t="inlineStr">
        <is>
          <t>шт.</t>
        </is>
      </c>
      <c r="I336">
        <f>I335*J336</f>
        <v/>
      </c>
      <c r="J336" t="n">
        <v>100</v>
      </c>
      <c r="K336" t="n">
        <v>100</v>
      </c>
      <c r="O336">
        <f>ROUND(CP336,0)</f>
        <v/>
      </c>
      <c r="P336">
        <f>ROUND(CQ336*I336,0)</f>
        <v/>
      </c>
      <c r="Q336">
        <f>(ROUND((ROUND(((ET336)*I336),0)*BB336),0)+ROUND((ROUND(((AE336-(EU336))*I336),0)*BS336),0))</f>
        <v/>
      </c>
      <c r="R336">
        <f>(ROUND((ROUND(((EU336)*I336),0)*BS336),0)+ROUND((ROUND(((AE336-(EU336))*I336),0)*BS336),0))</f>
        <v/>
      </c>
      <c r="S336">
        <f>ROUND(CT336*I336,0)</f>
        <v/>
      </c>
      <c r="T336">
        <f>ROUND(CU336*I336,0)</f>
        <v/>
      </c>
      <c r="U336">
        <f>ROUND(CV336*I336,7)</f>
        <v/>
      </c>
      <c r="V336">
        <f>ROUND(CW336*I336,7)</f>
        <v/>
      </c>
      <c r="W336">
        <f>ROUND(CX336*I336,0)</f>
        <v/>
      </c>
      <c r="X336">
        <f>ROUND(CY336,0)</f>
        <v/>
      </c>
      <c r="Y336">
        <f>ROUND(CZ336,0)</f>
        <v/>
      </c>
      <c r="AA336" t="n">
        <v>78869116</v>
      </c>
      <c r="AB336">
        <f>ROUND((AC336+AD336+AF336),2)</f>
        <v/>
      </c>
      <c r="AC336">
        <f>ROUND((ES336),2)</f>
        <v/>
      </c>
      <c r="AD336">
        <f>ROUND((((ET336)-(EU336))+AE336),2)</f>
        <v/>
      </c>
      <c r="AE336">
        <f>ROUND((EU336),2)</f>
        <v/>
      </c>
      <c r="AF336">
        <f>ROUND((EV336),2)</f>
        <v/>
      </c>
      <c r="AG336">
        <f>ROUND((AP336),2)</f>
        <v/>
      </c>
      <c r="AH336">
        <f>(EW336)</f>
        <v/>
      </c>
      <c r="AI336">
        <f>(EX336)</f>
        <v/>
      </c>
      <c r="AJ336">
        <f>(AS336)</f>
        <v/>
      </c>
      <c r="AK336" t="n">
        <v>140.69</v>
      </c>
      <c r="AL336" t="n">
        <v>140.69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  <c r="AS336" t="n">
        <v>0.02</v>
      </c>
      <c r="AT336" t="n">
        <v>91</v>
      </c>
      <c r="AU336" t="n">
        <v>48</v>
      </c>
      <c r="AV336" t="n">
        <v>1</v>
      </c>
      <c r="AW336" t="n">
        <v>1</v>
      </c>
      <c r="AZ336" t="n">
        <v>1</v>
      </c>
      <c r="BA336" t="n">
        <v>1</v>
      </c>
      <c r="BB336" t="n">
        <v>1</v>
      </c>
      <c r="BC336" t="n">
        <v>1.69</v>
      </c>
      <c r="BD336" t="inlineStr"/>
      <c r="BE336" t="inlineStr"/>
      <c r="BF336" t="inlineStr"/>
      <c r="BG336" t="inlineStr"/>
      <c r="BH336" t="n">
        <v>3</v>
      </c>
      <c r="BI336" t="n">
        <v>1</v>
      </c>
      <c r="BJ336" t="inlineStr">
        <is>
          <t>ТССЦ Московской обл., 509-6744, приказ Минстроя России №675/пр от 28.02.2017 № 258/пр</t>
        </is>
      </c>
      <c r="BM336" t="n">
        <v>67001</v>
      </c>
      <c r="BN336" t="n">
        <v>0</v>
      </c>
      <c r="BO336" t="inlineStr">
        <is>
          <t>509-6744</t>
        </is>
      </c>
      <c r="BP336" t="n">
        <v>1</v>
      </c>
      <c r="BQ336" t="n">
        <v>6</v>
      </c>
      <c r="BR336" t="n">
        <v>0</v>
      </c>
      <c r="BS336" t="n">
        <v>1</v>
      </c>
      <c r="BT336" t="n">
        <v>1</v>
      </c>
      <c r="BU336" t="n">
        <v>1</v>
      </c>
      <c r="BV336" t="n">
        <v>1</v>
      </c>
      <c r="BW336" t="n">
        <v>1</v>
      </c>
      <c r="BX336" t="n">
        <v>1</v>
      </c>
      <c r="BY336" t="inlineStr"/>
      <c r="BZ336" t="n">
        <v>91</v>
      </c>
      <c r="CA336" t="n">
        <v>48</v>
      </c>
      <c r="CB336" t="inlineStr"/>
      <c r="CE336" t="n">
        <v>12</v>
      </c>
      <c r="CF336" t="n">
        <v>0</v>
      </c>
      <c r="CG336" t="n">
        <v>0</v>
      </c>
      <c r="CM336" t="n">
        <v>0</v>
      </c>
      <c r="CN336" t="inlineStr"/>
      <c r="CO336" t="n">
        <v>0</v>
      </c>
      <c r="CP336">
        <f>(P336+Q336+S336)</f>
        <v/>
      </c>
      <c r="CQ336">
        <f>AC336*BC336</f>
        <v/>
      </c>
      <c r="CR336">
        <f>(ROUND((ROUND(((ET336)*1),0)*BB336),0)+ROUND((ROUND(((AE336-(EU336))*1),0)*BS336),0))</f>
        <v/>
      </c>
      <c r="CS336">
        <f>(ROUND((ROUND(((EU336)*1),0)*BS336),0)+ROUND((ROUND(((AE336-(EU336))*1),0)*BS336),0))</f>
        <v/>
      </c>
      <c r="CT336">
        <f>AF336*BA336</f>
        <v/>
      </c>
      <c r="CU336">
        <f>AG336</f>
        <v/>
      </c>
      <c r="CV336">
        <f>AH336</f>
        <v/>
      </c>
      <c r="CW336">
        <f>AI336</f>
        <v/>
      </c>
      <c r="CX336">
        <f>AJ336</f>
        <v/>
      </c>
      <c r="CY336">
        <f>(((S336+R336)*AT336)/100)</f>
        <v/>
      </c>
      <c r="CZ336">
        <f>(((S336+R336)*AU336)/100)</f>
        <v/>
      </c>
      <c r="DC336" t="inlineStr"/>
      <c r="DD336" t="inlineStr"/>
      <c r="DE336" t="inlineStr"/>
      <c r="DF336" t="inlineStr"/>
      <c r="DG336" t="inlineStr"/>
      <c r="DH336" t="inlineStr"/>
      <c r="DI336" t="inlineStr"/>
      <c r="DJ336" t="inlineStr"/>
      <c r="DK336" t="inlineStr"/>
      <c r="DL336" t="inlineStr"/>
      <c r="DM336" t="inlineStr"/>
      <c r="DN336" t="n">
        <v>0</v>
      </c>
      <c r="DO336" t="n">
        <v>0</v>
      </c>
      <c r="DP336" t="n">
        <v>1</v>
      </c>
      <c r="DQ336" t="n">
        <v>1</v>
      </c>
      <c r="DU336" t="n">
        <v>1010</v>
      </c>
      <c r="DV336" t="inlineStr">
        <is>
          <t>шт.</t>
        </is>
      </c>
      <c r="DW336" t="inlineStr">
        <is>
          <t>шт.</t>
        </is>
      </c>
      <c r="DX336" t="n">
        <v>1</v>
      </c>
      <c r="DZ336" t="inlineStr"/>
      <c r="EA336" t="inlineStr"/>
      <c r="EB336" t="inlineStr"/>
      <c r="EC336" t="inlineStr"/>
      <c r="EE336" t="n">
        <v>78726030</v>
      </c>
      <c r="EF336" t="n">
        <v>6</v>
      </c>
      <c r="EG336" t="inlineStr">
        <is>
          <t>Ремонтно-строительные работы</t>
        </is>
      </c>
      <c r="EH336" t="n">
        <v>101</v>
      </c>
      <c r="EI336" t="inlineStr">
        <is>
          <t>Электромонтажные работы</t>
        </is>
      </c>
      <c r="EJ336" t="n">
        <v>1</v>
      </c>
      <c r="EK336" t="n">
        <v>67001</v>
      </c>
      <c r="EL336" t="inlineStr">
        <is>
          <t>Электромонтажные работы</t>
        </is>
      </c>
      <c r="EM336" t="inlineStr">
        <is>
          <t>рФЕР-67</t>
        </is>
      </c>
      <c r="EO336" t="inlineStr"/>
      <c r="EQ336" t="n">
        <v>0</v>
      </c>
      <c r="ER336" t="n">
        <v>140.69</v>
      </c>
      <c r="ES336" t="n">
        <v>140.69</v>
      </c>
      <c r="ET336" t="n">
        <v>0</v>
      </c>
      <c r="EU336" t="n">
        <v>0</v>
      </c>
      <c r="EV336" t="n">
        <v>0</v>
      </c>
      <c r="EW336" t="n">
        <v>0</v>
      </c>
      <c r="EX336" t="n">
        <v>0</v>
      </c>
      <c r="FQ336" t="n">
        <v>0</v>
      </c>
      <c r="FR336" t="n">
        <v>0</v>
      </c>
      <c r="FS336" t="n">
        <v>0</v>
      </c>
      <c r="FX336" t="n">
        <v>91</v>
      </c>
      <c r="FY336" t="n">
        <v>48</v>
      </c>
      <c r="GA336" t="inlineStr"/>
      <c r="GD336" t="n">
        <v>1</v>
      </c>
      <c r="GF336" t="n">
        <v>-228955380</v>
      </c>
      <c r="GG336" t="n">
        <v>2</v>
      </c>
      <c r="GH336" t="n">
        <v>1</v>
      </c>
      <c r="GI336" t="n">
        <v>2</v>
      </c>
      <c r="GJ336" t="n">
        <v>0</v>
      </c>
      <c r="GK336" t="n">
        <v>0</v>
      </c>
      <c r="GL336">
        <f>ROUND(IF(AND(BH336=3,BI336=3,FS336&lt;&gt;0),P336,0),0)</f>
        <v/>
      </c>
      <c r="GM336">
        <f>ROUND(O336+X336+Y336,0)+GX336</f>
        <v/>
      </c>
      <c r="GN336">
        <f>IF(OR(BI336=0,BI336=1),GM336-GX336,0)</f>
        <v/>
      </c>
      <c r="GO336">
        <f>IF(BI336=2,GM336-GX336,0)</f>
        <v/>
      </c>
      <c r="GP336">
        <f>IF(BI336=4,GM336-GX336,0)</f>
        <v/>
      </c>
      <c r="GR336" t="n">
        <v>0</v>
      </c>
      <c r="GS336" t="n">
        <v>3</v>
      </c>
      <c r="GT336" t="n">
        <v>0</v>
      </c>
      <c r="GU336" t="inlineStr"/>
      <c r="GV336">
        <f>ROUND((GT336),2)</f>
        <v/>
      </c>
      <c r="GW336" t="n">
        <v>1</v>
      </c>
      <c r="GX336">
        <f>ROUND(HC336*I336,0)</f>
        <v/>
      </c>
      <c r="HA336" t="n">
        <v>0</v>
      </c>
      <c r="HB336" t="n">
        <v>0</v>
      </c>
      <c r="HC336">
        <f>GV336*GW336</f>
        <v/>
      </c>
      <c r="HE336" t="inlineStr"/>
      <c r="HF336" t="inlineStr"/>
      <c r="HM336" t="inlineStr"/>
      <c r="HN336" t="inlineStr">
        <is>
          <t>Пр/812-101.0-1</t>
        </is>
      </c>
      <c r="HO336" t="inlineStr">
        <is>
          <t>Пр/774-101.0</t>
        </is>
      </c>
      <c r="HP336" t="inlineStr">
        <is>
          <t>Электромонтажные работы</t>
        </is>
      </c>
      <c r="HQ336" t="inlineStr">
        <is>
          <t>Электромонтажные работы</t>
        </is>
      </c>
      <c r="HS336" t="n">
        <v>0</v>
      </c>
      <c r="IK336" t="n">
        <v>0</v>
      </c>
    </row>
    <row r="337">
      <c r="A337" t="n">
        <v>17</v>
      </c>
      <c r="B337" t="n">
        <v>0</v>
      </c>
      <c r="C337">
        <f>ROW(SmtRes!A170)</f>
        <v/>
      </c>
      <c r="D337">
        <f>ROW(EtalonRes!A158)</f>
        <v/>
      </c>
      <c r="E337" t="inlineStr">
        <is>
          <t>3</t>
        </is>
      </c>
      <c r="F337" t="inlineStr">
        <is>
          <t>65-5-1</t>
        </is>
      </c>
      <c r="G337" t="inlineStr">
        <is>
          <t>Смена вентилей и клапанов обратных муфтовых диаметром до 20 мм</t>
        </is>
      </c>
      <c r="H337" t="inlineStr">
        <is>
          <t>100 шт.</t>
        </is>
      </c>
      <c r="I337">
        <f>ROUND(ROUND(1/100,4),7)</f>
        <v/>
      </c>
      <c r="J337" t="n">
        <v>0</v>
      </c>
      <c r="K337">
        <f>ROUND(ROUND(1/100,4),7)</f>
        <v/>
      </c>
      <c r="O337">
        <f>ROUND(CP337,0)</f>
        <v/>
      </c>
      <c r="P337">
        <f>ROUND(CQ337*I337,0)</f>
        <v/>
      </c>
      <c r="Q337">
        <f>(ROUND((ROUND(((ET337)*I337),0)*BB337),0)+ROUND((ROUND(((AE337-(EU337))*I337),0)*BS337),0))</f>
        <v/>
      </c>
      <c r="R337">
        <f>(ROUND((ROUND(((EU337)*I337),0)*BS337),0)+ROUND((ROUND(((AE337-(EU337))*I337),0)*BS337),0))</f>
        <v/>
      </c>
      <c r="S337">
        <f>ROUND(CT337*I337,0)</f>
        <v/>
      </c>
      <c r="T337">
        <f>ROUND(CU337*I337,0)</f>
        <v/>
      </c>
      <c r="U337">
        <f>ROUND(CV337*I337,7)</f>
        <v/>
      </c>
      <c r="V337">
        <f>ROUND(CW337*I337,7)</f>
        <v/>
      </c>
      <c r="W337">
        <f>ROUND(CX337*I337,0)</f>
        <v/>
      </c>
      <c r="X337">
        <f>ROUND(CY337,0)</f>
        <v/>
      </c>
      <c r="Y337">
        <f>ROUND(CZ337,0)</f>
        <v/>
      </c>
      <c r="AA337" t="n">
        <v>78869116</v>
      </c>
      <c r="AB337">
        <f>ROUND((AC337+AD337+AF337),2)</f>
        <v/>
      </c>
      <c r="AC337">
        <f>ROUND((ES337),2)</f>
        <v/>
      </c>
      <c r="AD337">
        <f>ROUND((((ET337)-(EU337))+AE337),2)</f>
        <v/>
      </c>
      <c r="AE337">
        <f>ROUND((EU337),2)</f>
        <v/>
      </c>
      <c r="AF337">
        <f>ROUND((EV337),2)</f>
        <v/>
      </c>
      <c r="AG337">
        <f>ROUND((AP337),2)</f>
        <v/>
      </c>
      <c r="AH337">
        <f>(EW337)</f>
        <v/>
      </c>
      <c r="AI337">
        <f>(EX337)</f>
        <v/>
      </c>
      <c r="AJ337">
        <f>(AS337)</f>
        <v/>
      </c>
      <c r="AK337" t="n">
        <v>2979.16</v>
      </c>
      <c r="AL337" t="n">
        <v>2240.13</v>
      </c>
      <c r="AM337" t="n">
        <v>4.36</v>
      </c>
      <c r="AN337" t="n">
        <v>0</v>
      </c>
      <c r="AO337" t="n">
        <v>734.67</v>
      </c>
      <c r="AP337" t="n">
        <v>0</v>
      </c>
      <c r="AQ337" t="n">
        <v>81</v>
      </c>
      <c r="AR337" t="n">
        <v>0</v>
      </c>
      <c r="AS337" t="n">
        <v>0</v>
      </c>
      <c r="AT337" t="n">
        <v>103</v>
      </c>
      <c r="AU337" t="n">
        <v>52</v>
      </c>
      <c r="AV337" t="n">
        <v>1</v>
      </c>
      <c r="AW337" t="n">
        <v>1</v>
      </c>
      <c r="AZ337" t="n">
        <v>1</v>
      </c>
      <c r="BA337" t="n">
        <v>52.25</v>
      </c>
      <c r="BB337" t="n">
        <v>24.98</v>
      </c>
      <c r="BC337" t="n">
        <v>10.16</v>
      </c>
      <c r="BD337" t="inlineStr"/>
      <c r="BE337" t="inlineStr"/>
      <c r="BF337" t="inlineStr"/>
      <c r="BG337" t="inlineStr"/>
      <c r="BH337" t="n">
        <v>0</v>
      </c>
      <c r="BI337" t="n">
        <v>1</v>
      </c>
      <c r="BJ337" t="inlineStr">
        <is>
          <t>ТЕРр Московской обл., 65-5-1, приказ Минстроя России №675/пр от 28.02.2017 № 263/пр</t>
        </is>
      </c>
      <c r="BM337" t="n">
        <v>65007</v>
      </c>
      <c r="BN337" t="n">
        <v>0</v>
      </c>
      <c r="BO337" t="inlineStr">
        <is>
          <t>65-5-1</t>
        </is>
      </c>
      <c r="BP337" t="n">
        <v>1</v>
      </c>
      <c r="BQ337" t="n">
        <v>6</v>
      </c>
      <c r="BR337" t="n">
        <v>0</v>
      </c>
      <c r="BS337" t="n">
        <v>52.25</v>
      </c>
      <c r="BT337" t="n">
        <v>1</v>
      </c>
      <c r="BU337" t="n">
        <v>1</v>
      </c>
      <c r="BV337" t="n">
        <v>1</v>
      </c>
      <c r="BW337" t="n">
        <v>1</v>
      </c>
      <c r="BX337" t="n">
        <v>1</v>
      </c>
      <c r="BY337" t="inlineStr"/>
      <c r="BZ337" t="n">
        <v>103</v>
      </c>
      <c r="CA337" t="n">
        <v>52</v>
      </c>
      <c r="CB337" t="inlineStr"/>
      <c r="CE337" t="n">
        <v>12</v>
      </c>
      <c r="CF337" t="n">
        <v>0</v>
      </c>
      <c r="CG337" t="n">
        <v>0</v>
      </c>
      <c r="CM337" t="n">
        <v>0</v>
      </c>
      <c r="CN337" t="inlineStr"/>
      <c r="CO337" t="n">
        <v>0</v>
      </c>
      <c r="CP337">
        <f>(P337+Q337+S337)</f>
        <v/>
      </c>
      <c r="CQ337">
        <f>AC337*BC337</f>
        <v/>
      </c>
      <c r="CR337">
        <f>(ROUND((ROUND(((ET337)*1),0)*BB337),0)+ROUND((ROUND(((AE337-(EU337))*1),0)*BS337),0))</f>
        <v/>
      </c>
      <c r="CS337">
        <f>(ROUND((ROUND(((EU337)*1),0)*BS337),0)+ROUND((ROUND(((AE337-(EU337))*1),0)*BS337),0))</f>
        <v/>
      </c>
      <c r="CT337">
        <f>AF337*BA337</f>
        <v/>
      </c>
      <c r="CU337">
        <f>AG337</f>
        <v/>
      </c>
      <c r="CV337">
        <f>AH337</f>
        <v/>
      </c>
      <c r="CW337">
        <f>AI337</f>
        <v/>
      </c>
      <c r="CX337">
        <f>AJ337</f>
        <v/>
      </c>
      <c r="CY337">
        <f>(((S337+R337)*AT337)/100)</f>
        <v/>
      </c>
      <c r="CZ337">
        <f>(((S337+R337)*AU337)/100)</f>
        <v/>
      </c>
      <c r="DC337" t="inlineStr"/>
      <c r="DD337" t="inlineStr"/>
      <c r="DE337" t="inlineStr"/>
      <c r="DF337" t="inlineStr"/>
      <c r="DG337" t="inlineStr"/>
      <c r="DH337" t="inlineStr"/>
      <c r="DI337" t="inlineStr"/>
      <c r="DJ337" t="inlineStr"/>
      <c r="DK337" t="inlineStr"/>
      <c r="DL337" t="inlineStr"/>
      <c r="DM337" t="inlineStr"/>
      <c r="DN337" t="n">
        <v>0</v>
      </c>
      <c r="DO337" t="n">
        <v>0</v>
      </c>
      <c r="DP337" t="n">
        <v>1</v>
      </c>
      <c r="DQ337" t="n">
        <v>1</v>
      </c>
      <c r="DU337" t="n">
        <v>1010</v>
      </c>
      <c r="DV337" t="inlineStr">
        <is>
          <t>100 шт.</t>
        </is>
      </c>
      <c r="DW337" t="inlineStr">
        <is>
          <t>100 шт.</t>
        </is>
      </c>
      <c r="DX337" t="n">
        <v>100</v>
      </c>
      <c r="DZ337" t="inlineStr"/>
      <c r="EA337" t="inlineStr"/>
      <c r="EB337" t="inlineStr"/>
      <c r="EC337" t="inlineStr"/>
      <c r="EE337" t="n">
        <v>78726000</v>
      </c>
      <c r="EF337" t="n">
        <v>6</v>
      </c>
      <c r="EG337" t="inlineStr">
        <is>
          <t>Ремонтно-строительные работы</t>
        </is>
      </c>
      <c r="EH337" t="n">
        <v>99</v>
      </c>
      <c r="EI337" t="inlineStr">
        <is>
          <t>Внутренние санитарно-технические работы</t>
        </is>
      </c>
      <c r="EJ337" t="n">
        <v>1</v>
      </c>
      <c r="EK337" t="n">
        <v>65007</v>
      </c>
      <c r="EL337" t="inlineStr">
        <is>
          <t>Внутренние санитарнотехнические работы: смена труб, санприборов, запорной арматуры и другое</t>
        </is>
      </c>
      <c r="EM337" t="inlineStr">
        <is>
          <t>рФЕР-65</t>
        </is>
      </c>
      <c r="EO337" t="inlineStr"/>
      <c r="EQ337" t="n">
        <v>0</v>
      </c>
      <c r="ER337" t="n">
        <v>2979.16</v>
      </c>
      <c r="ES337" t="n">
        <v>2240.13</v>
      </c>
      <c r="ET337" t="n">
        <v>4.36</v>
      </c>
      <c r="EU337" t="n">
        <v>0</v>
      </c>
      <c r="EV337" t="n">
        <v>734.67</v>
      </c>
      <c r="EW337" t="n">
        <v>81</v>
      </c>
      <c r="EX337" t="n">
        <v>0</v>
      </c>
      <c r="EY337" t="n">
        <v>0</v>
      </c>
      <c r="FQ337" t="n">
        <v>0</v>
      </c>
      <c r="FR337" t="n">
        <v>0</v>
      </c>
      <c r="FS337" t="n">
        <v>0</v>
      </c>
      <c r="FX337" t="n">
        <v>103</v>
      </c>
      <c r="FY337" t="n">
        <v>52</v>
      </c>
      <c r="GA337" t="inlineStr"/>
      <c r="GD337" t="n">
        <v>1</v>
      </c>
      <c r="GF337" t="n">
        <v>152852496</v>
      </c>
      <c r="GG337" t="n">
        <v>2</v>
      </c>
      <c r="GH337" t="n">
        <v>1</v>
      </c>
      <c r="GI337" t="n">
        <v>2</v>
      </c>
      <c r="GJ337" t="n">
        <v>0</v>
      </c>
      <c r="GK337" t="n">
        <v>0</v>
      </c>
      <c r="GL337">
        <f>ROUND(IF(AND(BH337=3,BI337=3,FS337&lt;&gt;0),P337,0),0)</f>
        <v/>
      </c>
      <c r="GM337">
        <f>ROUND(O337+X337+Y337,0)+GX337</f>
        <v/>
      </c>
      <c r="GN337">
        <f>IF(OR(BI337=0,BI337=1),GM337-GX337,0)</f>
        <v/>
      </c>
      <c r="GO337">
        <f>IF(BI337=2,GM337-GX337,0)</f>
        <v/>
      </c>
      <c r="GP337">
        <f>IF(BI337=4,GM337-GX337,0)</f>
        <v/>
      </c>
      <c r="GR337" t="n">
        <v>0</v>
      </c>
      <c r="GS337" t="n">
        <v>3</v>
      </c>
      <c r="GT337" t="n">
        <v>0</v>
      </c>
      <c r="GU337" t="inlineStr"/>
      <c r="GV337">
        <f>ROUND((GT337),2)</f>
        <v/>
      </c>
      <c r="GW337" t="n">
        <v>1</v>
      </c>
      <c r="GX337">
        <f>ROUND(HC337*I337,0)</f>
        <v/>
      </c>
      <c r="HA337" t="n">
        <v>0</v>
      </c>
      <c r="HB337" t="n">
        <v>0</v>
      </c>
      <c r="HC337">
        <f>GV337*GW337</f>
        <v/>
      </c>
      <c r="HE337" t="inlineStr"/>
      <c r="HF337" t="inlineStr"/>
      <c r="HM337" t="inlineStr"/>
      <c r="HN337" t="inlineStr">
        <is>
          <t>Пр/812-099.2-1</t>
        </is>
      </c>
      <c r="HO337" t="inlineStr">
        <is>
          <t>Пр/774-099.2</t>
        </is>
      </c>
      <c r="HP337" t="inlineStr">
        <is>
          <t>Внутренние санитарнотехнические работы: смена труб, санприборов, запорной арматуры и другое</t>
        </is>
      </c>
      <c r="HQ337" t="inlineStr">
        <is>
          <t>Внутренние санитарнотехнические работы: смена труб, санприборов, запорной арматуры и другое</t>
        </is>
      </c>
      <c r="HS337" t="n">
        <v>0</v>
      </c>
      <c r="IK337" t="n">
        <v>0</v>
      </c>
    </row>
    <row r="338">
      <c r="A338" t="n">
        <v>18</v>
      </c>
      <c r="B338" t="n">
        <v>0</v>
      </c>
      <c r="C338" t="n">
        <v>170</v>
      </c>
      <c r="E338" t="inlineStr">
        <is>
          <t>3,1</t>
        </is>
      </c>
      <c r="F338" t="inlineStr">
        <is>
          <t>509-9899</t>
        </is>
      </c>
      <c r="G338" t="inlineStr">
        <is>
          <t>Строительный мусор и масса возвратных материалов</t>
        </is>
      </c>
      <c r="H338" t="inlineStr">
        <is>
          <t>т</t>
        </is>
      </c>
      <c r="I338">
        <f>I337*J338</f>
        <v/>
      </c>
      <c r="J338" t="n">
        <v>0.04</v>
      </c>
      <c r="K338" t="n">
        <v>0.04</v>
      </c>
      <c r="O338">
        <f>ROUND(CP338,0)</f>
        <v/>
      </c>
      <c r="P338">
        <f>ROUND(CQ338*I338,0)</f>
        <v/>
      </c>
      <c r="Q338">
        <f>(ROUND((ROUND(((ET338)*I338),0)*BB338),0)+ROUND((ROUND(((AE338-(EU338))*I338),0)*BS338),0))</f>
        <v/>
      </c>
      <c r="R338">
        <f>(ROUND((ROUND(((EU338)*I338),0)*BS338),0)+ROUND((ROUND(((AE338-(EU338))*I338),0)*BS338),0))</f>
        <v/>
      </c>
      <c r="S338">
        <f>ROUND(CT338*I338,0)</f>
        <v/>
      </c>
      <c r="T338">
        <f>ROUND(CU338*I338,0)</f>
        <v/>
      </c>
      <c r="U338">
        <f>ROUND(CV338*I338,7)</f>
        <v/>
      </c>
      <c r="V338">
        <f>ROUND(CW338*I338,7)</f>
        <v/>
      </c>
      <c r="W338">
        <f>ROUND(CX338*I338,0)</f>
        <v/>
      </c>
      <c r="X338">
        <f>ROUND(CY338,0)</f>
        <v/>
      </c>
      <c r="Y338">
        <f>ROUND(CZ338,0)</f>
        <v/>
      </c>
      <c r="AA338" t="n">
        <v>78869116</v>
      </c>
      <c r="AB338">
        <f>ROUND((AC338+AD338+AF338),2)</f>
        <v/>
      </c>
      <c r="AC338">
        <f>ROUND((ES338),2)</f>
        <v/>
      </c>
      <c r="AD338">
        <f>ROUND((((ET338)-(EU338))+AE338),2)</f>
        <v/>
      </c>
      <c r="AE338">
        <f>ROUND((EU338),2)</f>
        <v/>
      </c>
      <c r="AF338">
        <f>ROUND((EV338),2)</f>
        <v/>
      </c>
      <c r="AG338">
        <f>ROUND((AP338),2)</f>
        <v/>
      </c>
      <c r="AH338">
        <f>(EW338)</f>
        <v/>
      </c>
      <c r="AI338">
        <f>(EX338)</f>
        <v/>
      </c>
      <c r="AJ338">
        <f>(AS338)</f>
        <v/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  <c r="AS338" t="n">
        <v>0</v>
      </c>
      <c r="AT338" t="n">
        <v>103</v>
      </c>
      <c r="AU338" t="n">
        <v>52</v>
      </c>
      <c r="AV338" t="n">
        <v>1</v>
      </c>
      <c r="AW338" t="n">
        <v>1</v>
      </c>
      <c r="AZ338" t="n">
        <v>1</v>
      </c>
      <c r="BA338" t="n">
        <v>1</v>
      </c>
      <c r="BB338" t="n">
        <v>1</v>
      </c>
      <c r="BC338" t="n">
        <v>1</v>
      </c>
      <c r="BD338" t="inlineStr"/>
      <c r="BE338" t="inlineStr"/>
      <c r="BF338" t="inlineStr"/>
      <c r="BG338" t="inlineStr"/>
      <c r="BH338" t="n">
        <v>3</v>
      </c>
      <c r="BI338" t="n">
        <v>1</v>
      </c>
      <c r="BJ338" t="inlineStr">
        <is>
          <t>ТССЦ Московской обл., 509-9899, приказ Минстроя России №675/пр от 28.02.2017 № 258/пр</t>
        </is>
      </c>
      <c r="BM338" t="n">
        <v>65007</v>
      </c>
      <c r="BN338" t="n">
        <v>0</v>
      </c>
      <c r="BO338" t="inlineStr"/>
      <c r="BP338" t="n">
        <v>0</v>
      </c>
      <c r="BQ338" t="n">
        <v>6</v>
      </c>
      <c r="BR338" t="n">
        <v>0</v>
      </c>
      <c r="BS338" t="n">
        <v>1</v>
      </c>
      <c r="BT338" t="n">
        <v>1</v>
      </c>
      <c r="BU338" t="n">
        <v>1</v>
      </c>
      <c r="BV338" t="n">
        <v>1</v>
      </c>
      <c r="BW338" t="n">
        <v>1</v>
      </c>
      <c r="BX338" t="n">
        <v>1</v>
      </c>
      <c r="BY338" t="inlineStr"/>
      <c r="BZ338" t="n">
        <v>103</v>
      </c>
      <c r="CA338" t="n">
        <v>52</v>
      </c>
      <c r="CB338" t="inlineStr"/>
      <c r="CE338" t="n">
        <v>12</v>
      </c>
      <c r="CF338" t="n">
        <v>0</v>
      </c>
      <c r="CG338" t="n">
        <v>0</v>
      </c>
      <c r="CM338" t="n">
        <v>0</v>
      </c>
      <c r="CN338" t="inlineStr"/>
      <c r="CO338" t="n">
        <v>0</v>
      </c>
      <c r="CP338">
        <f>(P338+Q338+S338)</f>
        <v/>
      </c>
      <c r="CQ338">
        <f>AC338*BC338</f>
        <v/>
      </c>
      <c r="CR338">
        <f>(ROUND((ROUND(((ET338)*1),0)*BB338),0)+ROUND((ROUND(((AE338-(EU338))*1),0)*BS338),0))</f>
        <v/>
      </c>
      <c r="CS338">
        <f>(ROUND((ROUND(((EU338)*1),0)*BS338),0)+ROUND((ROUND(((AE338-(EU338))*1),0)*BS338),0))</f>
        <v/>
      </c>
      <c r="CT338">
        <f>AF338*BA338</f>
        <v/>
      </c>
      <c r="CU338">
        <f>AG338</f>
        <v/>
      </c>
      <c r="CV338">
        <f>AH338</f>
        <v/>
      </c>
      <c r="CW338">
        <f>AI338</f>
        <v/>
      </c>
      <c r="CX338">
        <f>AJ338</f>
        <v/>
      </c>
      <c r="CY338">
        <f>(((S338+R338)*AT338)/100)</f>
        <v/>
      </c>
      <c r="CZ338">
        <f>(((S338+R338)*AU338)/100)</f>
        <v/>
      </c>
      <c r="DC338" t="inlineStr"/>
      <c r="DD338" t="inlineStr"/>
      <c r="DE338" t="inlineStr"/>
      <c r="DF338" t="inlineStr"/>
      <c r="DG338" t="inlineStr"/>
      <c r="DH338" t="inlineStr"/>
      <c r="DI338" t="inlineStr"/>
      <c r="DJ338" t="inlineStr"/>
      <c r="DK338" t="inlineStr"/>
      <c r="DL338" t="inlineStr"/>
      <c r="DM338" t="inlineStr"/>
      <c r="DN338" t="n">
        <v>0</v>
      </c>
      <c r="DO338" t="n">
        <v>0</v>
      </c>
      <c r="DP338" t="n">
        <v>1</v>
      </c>
      <c r="DQ338" t="n">
        <v>1</v>
      </c>
      <c r="DU338" t="n">
        <v>1009</v>
      </c>
      <c r="DV338" t="inlineStr">
        <is>
          <t>т</t>
        </is>
      </c>
      <c r="DW338" t="inlineStr">
        <is>
          <t>т</t>
        </is>
      </c>
      <c r="DX338" t="n">
        <v>1000</v>
      </c>
      <c r="DZ338" t="inlineStr"/>
      <c r="EA338" t="inlineStr"/>
      <c r="EB338" t="inlineStr"/>
      <c r="EC338" t="inlineStr"/>
      <c r="EE338" t="n">
        <v>78726000</v>
      </c>
      <c r="EF338" t="n">
        <v>6</v>
      </c>
      <c r="EG338" t="inlineStr">
        <is>
          <t>Ремонтно-строительные работы</t>
        </is>
      </c>
      <c r="EH338" t="n">
        <v>99</v>
      </c>
      <c r="EI338" t="inlineStr">
        <is>
          <t>Внутренние санитарно-технические работы</t>
        </is>
      </c>
      <c r="EJ338" t="n">
        <v>1</v>
      </c>
      <c r="EK338" t="n">
        <v>65007</v>
      </c>
      <c r="EL338" t="inlineStr">
        <is>
          <t>Внутренние санитарнотехнические работы: смена труб, санприборов, запорной арматуры и другое</t>
        </is>
      </c>
      <c r="EM338" t="inlineStr">
        <is>
          <t>рФЕР-65</t>
        </is>
      </c>
      <c r="EO338" t="inlineStr"/>
      <c r="EQ338" t="n">
        <v>0</v>
      </c>
      <c r="ER338" t="n">
        <v>0</v>
      </c>
      <c r="ES338" t="n">
        <v>0</v>
      </c>
      <c r="ET338" t="n">
        <v>0</v>
      </c>
      <c r="EU338" t="n">
        <v>0</v>
      </c>
      <c r="EV338" t="n">
        <v>0</v>
      </c>
      <c r="EW338" t="n">
        <v>0</v>
      </c>
      <c r="EX338" t="n">
        <v>0</v>
      </c>
      <c r="FQ338" t="n">
        <v>0</v>
      </c>
      <c r="FR338" t="n">
        <v>0</v>
      </c>
      <c r="FS338" t="n">
        <v>0</v>
      </c>
      <c r="FX338" t="n">
        <v>103</v>
      </c>
      <c r="FY338" t="n">
        <v>52</v>
      </c>
      <c r="GA338" t="inlineStr"/>
      <c r="GD338" t="n">
        <v>1</v>
      </c>
      <c r="GF338" t="n">
        <v>1839160745</v>
      </c>
      <c r="GG338" t="n">
        <v>2</v>
      </c>
      <c r="GH338" t="n">
        <v>1</v>
      </c>
      <c r="GI338" t="n">
        <v>-2</v>
      </c>
      <c r="GJ338" t="n">
        <v>0</v>
      </c>
      <c r="GK338" t="n">
        <v>0</v>
      </c>
      <c r="GL338">
        <f>ROUND(IF(AND(BH338=3,BI338=3,FS338&lt;&gt;0),P338,0),0)</f>
        <v/>
      </c>
      <c r="GM338">
        <f>ROUND(O338+X338+Y338,0)+GX338</f>
        <v/>
      </c>
      <c r="GN338">
        <f>IF(OR(BI338=0,BI338=1),GM338-GX338,0)</f>
        <v/>
      </c>
      <c r="GO338">
        <f>IF(BI338=2,GM338-GX338,0)</f>
        <v/>
      </c>
      <c r="GP338">
        <f>IF(BI338=4,GM338-GX338,0)</f>
        <v/>
      </c>
      <c r="GR338" t="n">
        <v>0</v>
      </c>
      <c r="GS338" t="n">
        <v>3</v>
      </c>
      <c r="GT338" t="n">
        <v>0</v>
      </c>
      <c r="GU338" t="inlineStr"/>
      <c r="GV338">
        <f>ROUND((GT338),2)</f>
        <v/>
      </c>
      <c r="GW338" t="n">
        <v>1</v>
      </c>
      <c r="GX338">
        <f>ROUND(HC338*I338,0)</f>
        <v/>
      </c>
      <c r="HA338" t="n">
        <v>0</v>
      </c>
      <c r="HB338" t="n">
        <v>0</v>
      </c>
      <c r="HC338">
        <f>GV338*GW338</f>
        <v/>
      </c>
      <c r="HE338" t="inlineStr"/>
      <c r="HF338" t="inlineStr"/>
      <c r="HM338" t="inlineStr"/>
      <c r="HN338" t="inlineStr">
        <is>
          <t>Пр/812-099.2-1</t>
        </is>
      </c>
      <c r="HO338" t="inlineStr">
        <is>
          <t>Пр/774-099.2</t>
        </is>
      </c>
      <c r="HP338" t="inlineStr">
        <is>
          <t>Внутренние санитарнотехнические работы: смена труб, санприборов, запорной арматуры и другое</t>
        </is>
      </c>
      <c r="HQ338" t="inlineStr">
        <is>
          <t>Внутренние санитарнотехнические работы: смена труб, санприборов, запорной арматуры и другое</t>
        </is>
      </c>
      <c r="HS338" t="n">
        <v>0</v>
      </c>
      <c r="IK338" t="n">
        <v>0</v>
      </c>
    </row>
    <row r="339">
      <c r="A339" t="n">
        <v>18</v>
      </c>
      <c r="B339" t="n">
        <v>0</v>
      </c>
      <c r="C339" t="n">
        <v>168</v>
      </c>
      <c r="E339" t="inlineStr">
        <is>
          <t>3,2</t>
        </is>
      </c>
      <c r="F339" t="inlineStr">
        <is>
          <t>302-0062</t>
        </is>
      </c>
      <c r="G339" t="inlineStr">
        <is>
          <t>Кран шаровый муфтовый Valtec для воды диаметром 15 мм, тип в/в</t>
        </is>
      </c>
      <c r="H339" t="inlineStr">
        <is>
          <t>шт.</t>
        </is>
      </c>
      <c r="I339">
        <f>I337*J339</f>
        <v/>
      </c>
      <c r="J339" t="n">
        <v>100</v>
      </c>
      <c r="K339" t="n">
        <v>100</v>
      </c>
      <c r="O339">
        <f>ROUND(CP339,0)</f>
        <v/>
      </c>
      <c r="P339">
        <f>ROUND(CQ339*I339,0)</f>
        <v/>
      </c>
      <c r="Q339">
        <f>(ROUND((ROUND(((ET339)*I339),0)*BB339),0)+ROUND((ROUND(((AE339-(EU339))*I339),0)*BS339),0))</f>
        <v/>
      </c>
      <c r="R339">
        <f>(ROUND((ROUND(((EU339)*I339),0)*BS339),0)+ROUND((ROUND(((AE339-(EU339))*I339),0)*BS339),0))</f>
        <v/>
      </c>
      <c r="S339">
        <f>ROUND(CT339*I339,0)</f>
        <v/>
      </c>
      <c r="T339">
        <f>ROUND(CU339*I339,0)</f>
        <v/>
      </c>
      <c r="U339">
        <f>ROUND(CV339*I339,7)</f>
        <v/>
      </c>
      <c r="V339">
        <f>ROUND(CW339*I339,7)</f>
        <v/>
      </c>
      <c r="W339">
        <f>ROUND(CX339*I339,0)</f>
        <v/>
      </c>
      <c r="X339">
        <f>ROUND(CY339,0)</f>
        <v/>
      </c>
      <c r="Y339">
        <f>ROUND(CZ339,0)</f>
        <v/>
      </c>
      <c r="AA339" t="n">
        <v>78869116</v>
      </c>
      <c r="AB339">
        <f>ROUND((AC339+AD339+AF339),2)</f>
        <v/>
      </c>
      <c r="AC339">
        <f>ROUND((ES339),2)</f>
        <v/>
      </c>
      <c r="AD339">
        <f>ROUND((((ET339)-(EU339))+AE339),2)</f>
        <v/>
      </c>
      <c r="AE339">
        <f>ROUND((EU339),2)</f>
        <v/>
      </c>
      <c r="AF339">
        <f>ROUND((EV339),2)</f>
        <v/>
      </c>
      <c r="AG339">
        <f>ROUND((AP339),2)</f>
        <v/>
      </c>
      <c r="AH339">
        <f>(EW339)</f>
        <v/>
      </c>
      <c r="AI339">
        <f>(EX339)</f>
        <v/>
      </c>
      <c r="AJ339">
        <f>(AS339)</f>
        <v/>
      </c>
      <c r="AK339" t="n">
        <v>28.53</v>
      </c>
      <c r="AL339" t="n">
        <v>28.53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  <c r="AS339" t="n">
        <v>0.01</v>
      </c>
      <c r="AT339" t="n">
        <v>103</v>
      </c>
      <c r="AU339" t="n">
        <v>52</v>
      </c>
      <c r="AV339" t="n">
        <v>1</v>
      </c>
      <c r="AW339" t="n">
        <v>1</v>
      </c>
      <c r="AZ339" t="n">
        <v>1</v>
      </c>
      <c r="BA339" t="n">
        <v>1</v>
      </c>
      <c r="BB339" t="n">
        <v>1</v>
      </c>
      <c r="BC339" t="n">
        <v>13.47</v>
      </c>
      <c r="BD339" t="inlineStr"/>
      <c r="BE339" t="inlineStr"/>
      <c r="BF339" t="inlineStr"/>
      <c r="BG339" t="inlineStr"/>
      <c r="BH339" t="n">
        <v>3</v>
      </c>
      <c r="BI339" t="n">
        <v>1</v>
      </c>
      <c r="BJ339" t="inlineStr">
        <is>
          <t>ТССЦ Московской обл., 302-0062, приказ Минстроя России №675/пр от 28.02.2017 № 256/пр</t>
        </is>
      </c>
      <c r="BM339" t="n">
        <v>65007</v>
      </c>
      <c r="BN339" t="n">
        <v>0</v>
      </c>
      <c r="BO339" t="inlineStr">
        <is>
          <t>302-0062</t>
        </is>
      </c>
      <c r="BP339" t="n">
        <v>1</v>
      </c>
      <c r="BQ339" t="n">
        <v>6</v>
      </c>
      <c r="BR339" t="n">
        <v>0</v>
      </c>
      <c r="BS339" t="n">
        <v>1</v>
      </c>
      <c r="BT339" t="n">
        <v>1</v>
      </c>
      <c r="BU339" t="n">
        <v>1</v>
      </c>
      <c r="BV339" t="n">
        <v>1</v>
      </c>
      <c r="BW339" t="n">
        <v>1</v>
      </c>
      <c r="BX339" t="n">
        <v>1</v>
      </c>
      <c r="BY339" t="inlineStr"/>
      <c r="BZ339" t="n">
        <v>103</v>
      </c>
      <c r="CA339" t="n">
        <v>52</v>
      </c>
      <c r="CB339" t="inlineStr"/>
      <c r="CE339" t="n">
        <v>12</v>
      </c>
      <c r="CF339" t="n">
        <v>0</v>
      </c>
      <c r="CG339" t="n">
        <v>0</v>
      </c>
      <c r="CM339" t="n">
        <v>0</v>
      </c>
      <c r="CN339" t="inlineStr"/>
      <c r="CO339" t="n">
        <v>0</v>
      </c>
      <c r="CP339">
        <f>(P339+Q339+S339)</f>
        <v/>
      </c>
      <c r="CQ339">
        <f>AC339*BC339</f>
        <v/>
      </c>
      <c r="CR339">
        <f>(ROUND((ROUND(((ET339)*1),0)*BB339),0)+ROUND((ROUND(((AE339-(EU339))*1),0)*BS339),0))</f>
        <v/>
      </c>
      <c r="CS339">
        <f>(ROUND((ROUND(((EU339)*1),0)*BS339),0)+ROUND((ROUND(((AE339-(EU339))*1),0)*BS339),0))</f>
        <v/>
      </c>
      <c r="CT339">
        <f>AF339*BA339</f>
        <v/>
      </c>
      <c r="CU339">
        <f>AG339</f>
        <v/>
      </c>
      <c r="CV339">
        <f>AH339</f>
        <v/>
      </c>
      <c r="CW339">
        <f>AI339</f>
        <v/>
      </c>
      <c r="CX339">
        <f>AJ339</f>
        <v/>
      </c>
      <c r="CY339">
        <f>(((S339+R339)*AT339)/100)</f>
        <v/>
      </c>
      <c r="CZ339">
        <f>(((S339+R339)*AU339)/100)</f>
        <v/>
      </c>
      <c r="DC339" t="inlineStr"/>
      <c r="DD339" t="inlineStr"/>
      <c r="DE339" t="inlineStr"/>
      <c r="DF339" t="inlineStr"/>
      <c r="DG339" t="inlineStr"/>
      <c r="DH339" t="inlineStr"/>
      <c r="DI339" t="inlineStr"/>
      <c r="DJ339" t="inlineStr"/>
      <c r="DK339" t="inlineStr"/>
      <c r="DL339" t="inlineStr"/>
      <c r="DM339" t="inlineStr"/>
      <c r="DN339" t="n">
        <v>0</v>
      </c>
      <c r="DO339" t="n">
        <v>0</v>
      </c>
      <c r="DP339" t="n">
        <v>1</v>
      </c>
      <c r="DQ339" t="n">
        <v>1</v>
      </c>
      <c r="DU339" t="n">
        <v>1010</v>
      </c>
      <c r="DV339" t="inlineStr">
        <is>
          <t>шт.</t>
        </is>
      </c>
      <c r="DW339" t="inlineStr">
        <is>
          <t>шт.</t>
        </is>
      </c>
      <c r="DX339" t="n">
        <v>1</v>
      </c>
      <c r="DZ339" t="inlineStr"/>
      <c r="EA339" t="inlineStr"/>
      <c r="EB339" t="inlineStr"/>
      <c r="EC339" t="inlineStr"/>
      <c r="EE339" t="n">
        <v>78726000</v>
      </c>
      <c r="EF339" t="n">
        <v>6</v>
      </c>
      <c r="EG339" t="inlineStr">
        <is>
          <t>Ремонтно-строительные работы</t>
        </is>
      </c>
      <c r="EH339" t="n">
        <v>99</v>
      </c>
      <c r="EI339" t="inlineStr">
        <is>
          <t>Внутренние санитарно-технические работы</t>
        </is>
      </c>
      <c r="EJ339" t="n">
        <v>1</v>
      </c>
      <c r="EK339" t="n">
        <v>65007</v>
      </c>
      <c r="EL339" t="inlineStr">
        <is>
          <t>Внутренние санитарнотехнические работы: смена труб, санприборов, запорной арматуры и другое</t>
        </is>
      </c>
      <c r="EM339" t="inlineStr">
        <is>
          <t>рФЕР-65</t>
        </is>
      </c>
      <c r="EO339" t="inlineStr"/>
      <c r="EQ339" t="n">
        <v>0</v>
      </c>
      <c r="ER339" t="n">
        <v>28.53</v>
      </c>
      <c r="ES339" t="n">
        <v>28.53</v>
      </c>
      <c r="ET339" t="n">
        <v>0</v>
      </c>
      <c r="EU339" t="n">
        <v>0</v>
      </c>
      <c r="EV339" t="n">
        <v>0</v>
      </c>
      <c r="EW339" t="n">
        <v>0</v>
      </c>
      <c r="EX339" t="n">
        <v>0</v>
      </c>
      <c r="FQ339" t="n">
        <v>0</v>
      </c>
      <c r="FR339" t="n">
        <v>0</v>
      </c>
      <c r="FS339" t="n">
        <v>0</v>
      </c>
      <c r="FX339" t="n">
        <v>103</v>
      </c>
      <c r="FY339" t="n">
        <v>52</v>
      </c>
      <c r="GA339" t="inlineStr"/>
      <c r="GD339" t="n">
        <v>1</v>
      </c>
      <c r="GF339" t="n">
        <v>-1687406522</v>
      </c>
      <c r="GG339" t="n">
        <v>2</v>
      </c>
      <c r="GH339" t="n">
        <v>1</v>
      </c>
      <c r="GI339" t="n">
        <v>2</v>
      </c>
      <c r="GJ339" t="n">
        <v>0</v>
      </c>
      <c r="GK339" t="n">
        <v>0</v>
      </c>
      <c r="GL339">
        <f>ROUND(IF(AND(BH339=3,BI339=3,FS339&lt;&gt;0),P339,0),0)</f>
        <v/>
      </c>
      <c r="GM339">
        <f>ROUND(O339+X339+Y339,0)+GX339</f>
        <v/>
      </c>
      <c r="GN339">
        <f>IF(OR(BI339=0,BI339=1),GM339-GX339,0)</f>
        <v/>
      </c>
      <c r="GO339">
        <f>IF(BI339=2,GM339-GX339,0)</f>
        <v/>
      </c>
      <c r="GP339">
        <f>IF(BI339=4,GM339-GX339,0)</f>
        <v/>
      </c>
      <c r="GR339" t="n">
        <v>0</v>
      </c>
      <c r="GS339" t="n">
        <v>3</v>
      </c>
      <c r="GT339" t="n">
        <v>0</v>
      </c>
      <c r="GU339" t="inlineStr"/>
      <c r="GV339">
        <f>ROUND((GT339),2)</f>
        <v/>
      </c>
      <c r="GW339" t="n">
        <v>1</v>
      </c>
      <c r="GX339">
        <f>ROUND(HC339*I339,0)</f>
        <v/>
      </c>
      <c r="HA339" t="n">
        <v>0</v>
      </c>
      <c r="HB339" t="n">
        <v>0</v>
      </c>
      <c r="HC339">
        <f>GV339*GW339</f>
        <v/>
      </c>
      <c r="HE339" t="inlineStr"/>
      <c r="HF339" t="inlineStr"/>
      <c r="HM339" t="inlineStr"/>
      <c r="HN339" t="inlineStr">
        <is>
          <t>Пр/812-099.2-1</t>
        </is>
      </c>
      <c r="HO339" t="inlineStr">
        <is>
          <t>Пр/774-099.2</t>
        </is>
      </c>
      <c r="HP339" t="inlineStr">
        <is>
          <t>Внутренние санитарнотехнические работы: смена труб, санприборов, запорной арматуры и другое</t>
        </is>
      </c>
      <c r="HQ339" t="inlineStr">
        <is>
          <t>Внутренние санитарнотехнические работы: смена труб, санприборов, запорной арматуры и другое</t>
        </is>
      </c>
      <c r="HS339" t="n">
        <v>0</v>
      </c>
      <c r="IK339" t="n">
        <v>0</v>
      </c>
    </row>
    <row r="340">
      <c r="A340" t="n">
        <v>17</v>
      </c>
      <c r="B340" t="n">
        <v>0</v>
      </c>
      <c r="C340">
        <f>ROW(SmtRes!A176)</f>
        <v/>
      </c>
      <c r="D340">
        <f>ROW(EtalonRes!A164)</f>
        <v/>
      </c>
      <c r="E340" t="inlineStr">
        <is>
          <t>4</t>
        </is>
      </c>
      <c r="F340" t="inlineStr">
        <is>
          <t>16-07-005-1</t>
        </is>
      </c>
      <c r="G34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40" t="inlineStr">
        <is>
          <t>100 м трубопровода</t>
        </is>
      </c>
      <c r="I340">
        <f>ROUND(ROUND(60/100,4),7)</f>
        <v/>
      </c>
      <c r="J340" t="n">
        <v>0</v>
      </c>
      <c r="K340">
        <f>ROUND(ROUND(60/100,4),7)</f>
        <v/>
      </c>
      <c r="O340">
        <f>ROUND(CP340,0)</f>
        <v/>
      </c>
      <c r="P340">
        <f>ROUND(CQ340*I340,0)</f>
        <v/>
      </c>
      <c r="Q340">
        <f>(ROUND((ROUND((((ET340*ROUND(4,7)))*I340),0)*BB340),0)+ROUND((ROUND(((AE340-((EU340*ROUND(4,7))))*I340),0)*BS340),0))</f>
        <v/>
      </c>
      <c r="R340">
        <f>(ROUND((ROUND((((EU340*ROUND(4,7)))*I340),0)*BS340),0)+ROUND((ROUND(((AE340-((EU340*ROUND(4,7))))*I340),0)*BS340),0))</f>
        <v/>
      </c>
      <c r="S340">
        <f>ROUND(CT340*I340,0)</f>
        <v/>
      </c>
      <c r="T340">
        <f>ROUND(CU340*I340,0)</f>
        <v/>
      </c>
      <c r="U340">
        <f>ROUND(CV340*I340,7)</f>
        <v/>
      </c>
      <c r="V340">
        <f>ROUND(CW340*I340,7)</f>
        <v/>
      </c>
      <c r="W340">
        <f>ROUND(CX340*I340,0)</f>
        <v/>
      </c>
      <c r="X340">
        <f>ROUND(CY340,0)</f>
        <v/>
      </c>
      <c r="Y340">
        <f>ROUND(CZ340,0)</f>
        <v/>
      </c>
      <c r="AA340" t="n">
        <v>78869116</v>
      </c>
      <c r="AB340">
        <f>ROUND((AC340+AD340+AF340),2)</f>
        <v/>
      </c>
      <c r="AC340">
        <f>ROUND(((ES340*ROUND(4,7))),2)</f>
        <v/>
      </c>
      <c r="AD340">
        <f>ROUND(((((ET340*ROUND(4,7)))-((EU340*ROUND(4,7))))+AE340),2)</f>
        <v/>
      </c>
      <c r="AE340">
        <f>ROUND(((EU340*ROUND(4,7))),2)</f>
        <v/>
      </c>
      <c r="AF340">
        <f>ROUND(((EV340*ROUND(4,7))),2)</f>
        <v/>
      </c>
      <c r="AG340">
        <f>ROUND((AP340),2)</f>
        <v/>
      </c>
      <c r="AH340">
        <f>((EW340*ROUND(4,7)))</f>
        <v/>
      </c>
      <c r="AI340">
        <f>((EX340*ROUND(4,7)))</f>
        <v/>
      </c>
      <c r="AJ340">
        <f>(AS340)</f>
        <v/>
      </c>
      <c r="AK340" t="n">
        <v>107.11</v>
      </c>
      <c r="AL340" t="n">
        <v>4.28</v>
      </c>
      <c r="AM340" t="n">
        <v>44.51</v>
      </c>
      <c r="AN340" t="n">
        <v>0</v>
      </c>
      <c r="AO340" t="n">
        <v>58.32</v>
      </c>
      <c r="AP340" t="n">
        <v>0</v>
      </c>
      <c r="AQ340" t="n">
        <v>5.01</v>
      </c>
      <c r="AR340" t="n">
        <v>0</v>
      </c>
      <c r="AS340" t="n">
        <v>0</v>
      </c>
      <c r="AT340" t="n">
        <v>121</v>
      </c>
      <c r="AU340" t="n">
        <v>72</v>
      </c>
      <c r="AV340" t="n">
        <v>1</v>
      </c>
      <c r="AW340" t="n">
        <v>1</v>
      </c>
      <c r="AZ340" t="n">
        <v>1</v>
      </c>
      <c r="BA340" t="n">
        <v>52.25</v>
      </c>
      <c r="BB340" t="n">
        <v>5.97</v>
      </c>
      <c r="BC340" t="n">
        <v>11.38</v>
      </c>
      <c r="BD340" t="inlineStr"/>
      <c r="BE340" t="inlineStr"/>
      <c r="BF340" t="inlineStr"/>
      <c r="BG340" t="inlineStr"/>
      <c r="BH340" t="n">
        <v>0</v>
      </c>
      <c r="BI340" t="n">
        <v>1</v>
      </c>
      <c r="BJ340" t="inlineStr">
        <is>
          <t>ТЕР Московской обл., 16-07-005-1, приказ Минстроя России №675/пр от 28.02.2017 № 260/пр</t>
        </is>
      </c>
      <c r="BM340" t="n">
        <v>16001</v>
      </c>
      <c r="BN340" t="n">
        <v>0</v>
      </c>
      <c r="BO340" t="inlineStr">
        <is>
          <t>16-07-005-1</t>
        </is>
      </c>
      <c r="BP340" t="n">
        <v>1</v>
      </c>
      <c r="BQ340" t="n">
        <v>2</v>
      </c>
      <c r="BR340" t="n">
        <v>0</v>
      </c>
      <c r="BS340" t="n">
        <v>52.25</v>
      </c>
      <c r="BT340" t="n">
        <v>1</v>
      </c>
      <c r="BU340" t="n">
        <v>1</v>
      </c>
      <c r="BV340" t="n">
        <v>1</v>
      </c>
      <c r="BW340" t="n">
        <v>1</v>
      </c>
      <c r="BX340" t="n">
        <v>1</v>
      </c>
      <c r="BY340" t="inlineStr"/>
      <c r="BZ340" t="n">
        <v>121</v>
      </c>
      <c r="CA340" t="n">
        <v>72</v>
      </c>
      <c r="CB340" t="inlineStr"/>
      <c r="CE340" t="n">
        <v>12</v>
      </c>
      <c r="CF340" t="n">
        <v>0</v>
      </c>
      <c r="CG340" t="n">
        <v>0</v>
      </c>
      <c r="CM340" t="n">
        <v>0</v>
      </c>
      <c r="CN340" t="inlineStr"/>
      <c r="CO340" t="n">
        <v>0</v>
      </c>
      <c r="CP340">
        <f>(P340+Q340+S340)</f>
        <v/>
      </c>
      <c r="CQ340">
        <f>AC340*BC340</f>
        <v/>
      </c>
      <c r="CR340">
        <f>(ROUND((ROUND((((ET340*ROUND(4,7)))*1),0)*BB340),0)+ROUND((ROUND(((AE340-((EU340*ROUND(4,7))))*1),0)*BS340),0))</f>
        <v/>
      </c>
      <c r="CS340">
        <f>(ROUND((ROUND((((EU340*ROUND(4,7)))*1),0)*BS340),0)+ROUND((ROUND(((AE340-((EU340*ROUND(4,7))))*1),0)*BS340),0))</f>
        <v/>
      </c>
      <c r="CT340">
        <f>AF340*BA340</f>
        <v/>
      </c>
      <c r="CU340">
        <f>AG340</f>
        <v/>
      </c>
      <c r="CV340">
        <f>AH340</f>
        <v/>
      </c>
      <c r="CW340">
        <f>AI340</f>
        <v/>
      </c>
      <c r="CX340">
        <f>AJ340</f>
        <v/>
      </c>
      <c r="CY340">
        <f>(((S340+R340)*AT340)/100)</f>
        <v/>
      </c>
      <c r="CZ340">
        <f>(((S340+R340)*AU340)/100)</f>
        <v/>
      </c>
      <c r="DC340" t="inlineStr"/>
      <c r="DD340" t="inlineStr">
        <is>
          <t>)*4</t>
        </is>
      </c>
      <c r="DE340" t="inlineStr">
        <is>
          <t>)*4</t>
        </is>
      </c>
      <c r="DF340" t="inlineStr">
        <is>
          <t>)*4</t>
        </is>
      </c>
      <c r="DG340" t="inlineStr">
        <is>
          <t>)*4</t>
        </is>
      </c>
      <c r="DH340" t="inlineStr"/>
      <c r="DI340" t="inlineStr">
        <is>
          <t>)*4</t>
        </is>
      </c>
      <c r="DJ340" t="inlineStr">
        <is>
          <t>)*4</t>
        </is>
      </c>
      <c r="DK340" t="inlineStr"/>
      <c r="DL340" t="inlineStr"/>
      <c r="DM340" t="inlineStr"/>
      <c r="DN340" t="n">
        <v>0</v>
      </c>
      <c r="DO340" t="n">
        <v>0</v>
      </c>
      <c r="DP340" t="n">
        <v>1</v>
      </c>
      <c r="DQ340" t="n">
        <v>1</v>
      </c>
      <c r="DU340" t="n">
        <v>1013</v>
      </c>
      <c r="DV340" t="inlineStr">
        <is>
          <t>100 м трубопровода</t>
        </is>
      </c>
      <c r="DW340" t="inlineStr">
        <is>
          <t>100 м трубопровода</t>
        </is>
      </c>
      <c r="DX340" t="n">
        <v>1</v>
      </c>
      <c r="DZ340" t="inlineStr"/>
      <c r="EA340" t="inlineStr"/>
      <c r="EB340" t="inlineStr"/>
      <c r="EC340" t="inlineStr"/>
      <c r="EE340" t="n">
        <v>78725882</v>
      </c>
      <c r="EF340" t="n">
        <v>2</v>
      </c>
      <c r="EG340" t="inlineStr">
        <is>
          <t>Общестроительные работы</t>
        </is>
      </c>
      <c r="EH340" t="n">
        <v>16</v>
      </c>
      <c r="EI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40" t="n">
        <v>1</v>
      </c>
      <c r="EK340" t="n">
        <v>16001</v>
      </c>
      <c r="EL340" t="inlineStr">
        <is>
          <t>Трубопроводы внутренние</t>
        </is>
      </c>
      <c r="EM340" t="inlineStr">
        <is>
          <t>ФЕР-16</t>
        </is>
      </c>
      <c r="EO340" t="inlineStr"/>
      <c r="EQ340" t="n">
        <v>0</v>
      </c>
      <c r="ER340" t="n">
        <v>107.11</v>
      </c>
      <c r="ES340" t="n">
        <v>4.28</v>
      </c>
      <c r="ET340" t="n">
        <v>44.51</v>
      </c>
      <c r="EU340" t="n">
        <v>0</v>
      </c>
      <c r="EV340" t="n">
        <v>58.32</v>
      </c>
      <c r="EW340" t="n">
        <v>5.01</v>
      </c>
      <c r="EX340" t="n">
        <v>0</v>
      </c>
      <c r="EY340" t="n">
        <v>0</v>
      </c>
      <c r="FQ340" t="n">
        <v>0</v>
      </c>
      <c r="FR340" t="n">
        <v>0</v>
      </c>
      <c r="FS340" t="n">
        <v>0</v>
      </c>
      <c r="FX340" t="n">
        <v>121</v>
      </c>
      <c r="FY340" t="n">
        <v>72</v>
      </c>
      <c r="GA340" t="inlineStr"/>
      <c r="GD340" t="n">
        <v>1</v>
      </c>
      <c r="GF340" t="n">
        <v>635989612</v>
      </c>
      <c r="GG340" t="n">
        <v>2</v>
      </c>
      <c r="GH340" t="n">
        <v>1</v>
      </c>
      <c r="GI340" t="n">
        <v>2</v>
      </c>
      <c r="GJ340" t="n">
        <v>0</v>
      </c>
      <c r="GK340" t="n">
        <v>0</v>
      </c>
      <c r="GL340">
        <f>ROUND(IF(AND(BH340=3,BI340=3,FS340&lt;&gt;0),P340,0),0)</f>
        <v/>
      </c>
      <c r="GM340">
        <f>ROUND(O340+X340+Y340,0)+GX340</f>
        <v/>
      </c>
      <c r="GN340">
        <f>IF(OR(BI340=0,BI340=1),GM340-GX340,0)</f>
        <v/>
      </c>
      <c r="GO340">
        <f>IF(BI340=2,GM340-GX340,0)</f>
        <v/>
      </c>
      <c r="GP340">
        <f>IF(BI340=4,GM340-GX340,0)</f>
        <v/>
      </c>
      <c r="GR340" t="n">
        <v>0</v>
      </c>
      <c r="GS340" t="n">
        <v>3</v>
      </c>
      <c r="GT340" t="n">
        <v>0</v>
      </c>
      <c r="GU340" t="inlineStr"/>
      <c r="GV340">
        <f>ROUND((GT340),2)</f>
        <v/>
      </c>
      <c r="GW340" t="n">
        <v>1</v>
      </c>
      <c r="GX340">
        <f>ROUND(HC340*I340,0)</f>
        <v/>
      </c>
      <c r="HA340" t="n">
        <v>0</v>
      </c>
      <c r="HB340" t="n">
        <v>0</v>
      </c>
      <c r="HC340">
        <f>GV340*GW340</f>
        <v/>
      </c>
      <c r="HE340" t="inlineStr"/>
      <c r="HF340" t="inlineStr"/>
      <c r="HM340" t="inlineStr"/>
      <c r="HN340" t="inlineStr">
        <is>
          <t>Пр/812-016.0-1</t>
        </is>
      </c>
      <c r="HO340" t="inlineStr">
        <is>
          <t>Пр/774-016.0</t>
        </is>
      </c>
      <c r="HP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40" t="n">
        <v>0</v>
      </c>
      <c r="IK340" t="n">
        <v>0</v>
      </c>
    </row>
    <row r="341"/>
    <row r="342">
      <c r="A342" s="402" t="n">
        <v>51</v>
      </c>
      <c r="B342" s="402">
        <f>B330</f>
        <v/>
      </c>
      <c r="C342" s="402">
        <f>A330</f>
        <v/>
      </c>
      <c r="D342" s="402">
        <f>ROW(A330)</f>
        <v/>
      </c>
      <c r="E342" s="402" t="n"/>
      <c r="F342" s="402">
        <f>IF(F330&lt;&gt;"",F330,"")</f>
        <v/>
      </c>
      <c r="G342" s="402">
        <f>IF(G330&lt;&gt;"",G330,"")</f>
        <v/>
      </c>
      <c r="H342" s="402" t="n">
        <v>0</v>
      </c>
      <c r="I342" s="402" t="n"/>
      <c r="J342" s="402" t="n"/>
      <c r="K342" s="402" t="n"/>
      <c r="L342" s="402" t="n"/>
      <c r="M342" s="402" t="n"/>
      <c r="N342" s="402" t="n"/>
      <c r="O342" s="402" t="n">
        <v>0</v>
      </c>
      <c r="P342" s="402" t="n">
        <v>0</v>
      </c>
      <c r="Q342" s="402" t="n">
        <v>0</v>
      </c>
      <c r="R342" s="402" t="n">
        <v>0</v>
      </c>
      <c r="S342" s="402" t="n">
        <v>0</v>
      </c>
      <c r="T342" s="402" t="n">
        <v>0</v>
      </c>
      <c r="U342" s="402" t="n">
        <v>0</v>
      </c>
      <c r="V342" s="402" t="n">
        <v>0</v>
      </c>
      <c r="W342" s="402" t="n">
        <v>0</v>
      </c>
      <c r="X342" s="402" t="n">
        <v>0</v>
      </c>
      <c r="Y342" s="402" t="n">
        <v>0</v>
      </c>
      <c r="Z342" s="402" t="n"/>
      <c r="AA342" s="402" t="n"/>
      <c r="AB342" s="402" t="n"/>
      <c r="AC342" s="402" t="n"/>
      <c r="AD342" s="402" t="n"/>
      <c r="AE342" s="402" t="n"/>
      <c r="AF342" s="402" t="n"/>
      <c r="AG342" s="402" t="n"/>
      <c r="AH342" s="402" t="n"/>
      <c r="AI342" s="402" t="n"/>
      <c r="AJ342" s="402" t="n"/>
      <c r="AK342" s="402" t="n"/>
      <c r="AL342" s="402" t="n"/>
      <c r="AM342" s="402" t="n"/>
      <c r="AN342" s="402" t="n"/>
      <c r="AO342" s="402">
        <f>ROUND(BX342,0)</f>
        <v/>
      </c>
      <c r="AP342" s="402">
        <f>ROUND(BY342,0)</f>
        <v/>
      </c>
      <c r="AQ342" s="402">
        <f>ROUND(BZ342,0)</f>
        <v/>
      </c>
      <c r="AR342" s="402">
        <f>ROUND(CA342,0)</f>
        <v/>
      </c>
      <c r="AS342" s="402">
        <f>ROUND(CB342,0)</f>
        <v/>
      </c>
      <c r="AT342" s="402">
        <f>ROUND(CC342,0)</f>
        <v/>
      </c>
      <c r="AU342" s="402">
        <f>ROUND(CD342,0)</f>
        <v/>
      </c>
      <c r="AV342" s="402">
        <f>ROUND(CE342,0)</f>
        <v/>
      </c>
      <c r="AW342" s="402">
        <f>ROUND(CF342,0)</f>
        <v/>
      </c>
      <c r="AX342" s="402">
        <f>ROUND(CG342,0)</f>
        <v/>
      </c>
      <c r="AY342" s="402">
        <f>ROUND(CH342,0)</f>
        <v/>
      </c>
      <c r="AZ342" s="402">
        <f>ROUND(CI342,0)</f>
        <v/>
      </c>
      <c r="BA342" s="402">
        <f>ROUND(CJ342,0)</f>
        <v/>
      </c>
      <c r="BB342" s="402">
        <f>ROUND(CK342,0)</f>
        <v/>
      </c>
      <c r="BC342" s="402">
        <f>ROUND(CL342,0)</f>
        <v/>
      </c>
      <c r="BD342" s="402">
        <f>ROUND(CM342,0)</f>
        <v/>
      </c>
      <c r="BE342" s="402" t="n"/>
      <c r="BF342" s="402" t="n"/>
      <c r="BG342" s="402" t="n"/>
      <c r="BH342" s="402" t="n"/>
      <c r="BI342" s="402" t="n"/>
      <c r="BJ342" s="402" t="n"/>
      <c r="BK342" s="402" t="n"/>
      <c r="BL342" s="402" t="n"/>
      <c r="BM342" s="402" t="n"/>
      <c r="BN342" s="402" t="n"/>
      <c r="BO342" s="402" t="n"/>
      <c r="BP342" s="402" t="n"/>
      <c r="BQ342" s="402" t="n"/>
      <c r="BR342" s="402" t="n"/>
      <c r="BS342" s="402" t="n"/>
      <c r="BT342" s="402" t="n"/>
      <c r="BU342" s="402" t="n"/>
      <c r="BV342" s="402" t="n"/>
      <c r="BW342" s="402" t="n"/>
      <c r="BX342" s="402" t="n"/>
      <c r="BY342" s="402" t="n"/>
      <c r="BZ342" s="402" t="n"/>
      <c r="CA342" s="402" t="n"/>
      <c r="CB342" s="402" t="n"/>
      <c r="CC342" s="402" t="n"/>
      <c r="CD342" s="402" t="n"/>
      <c r="CE342" s="402" t="n"/>
      <c r="CF342" s="402" t="n"/>
      <c r="CG342" s="402" t="n"/>
      <c r="CH342" s="402" t="n"/>
      <c r="CI342" s="402" t="n"/>
      <c r="CJ342" s="402" t="n"/>
      <c r="CK342" s="402" t="n"/>
      <c r="CL342" s="402" t="n"/>
      <c r="CM342" s="402" t="n"/>
      <c r="CN342" s="402" t="n"/>
      <c r="CO342" s="402" t="n"/>
      <c r="CP342" s="402" t="n"/>
      <c r="CQ342" s="402" t="n"/>
      <c r="CR342" s="402" t="n"/>
      <c r="CS342" s="402" t="n"/>
      <c r="CT342" s="402" t="n"/>
      <c r="CU342" s="402" t="n"/>
      <c r="CV342" s="402" t="n"/>
      <c r="CW342" s="402" t="n"/>
      <c r="CX342" s="402" t="n"/>
      <c r="CY342" s="402" t="n"/>
      <c r="CZ342" s="402" t="n"/>
      <c r="DA342" s="402" t="n"/>
      <c r="DB342" s="402" t="n"/>
      <c r="DC342" s="402" t="n"/>
      <c r="DD342" s="402" t="n"/>
      <c r="DE342" s="402" t="n"/>
      <c r="DF342" s="402" t="n"/>
      <c r="DG342" s="403" t="n"/>
      <c r="DH342" s="403" t="n"/>
      <c r="DI342" s="403" t="n"/>
      <c r="DJ342" s="403" t="n"/>
      <c r="DK342" s="403" t="n"/>
      <c r="DL342" s="403" t="n"/>
      <c r="DM342" s="403" t="n"/>
      <c r="DN342" s="403" t="n"/>
      <c r="DO342" s="403" t="n"/>
      <c r="DP342" s="403" t="n"/>
      <c r="DQ342" s="403" t="n"/>
      <c r="DR342" s="403" t="n"/>
      <c r="DS342" s="403" t="n"/>
      <c r="DT342" s="403" t="n"/>
      <c r="DU342" s="403" t="n"/>
      <c r="DV342" s="403" t="n"/>
      <c r="DW342" s="403" t="n"/>
      <c r="DX342" s="403" t="n"/>
      <c r="DY342" s="403" t="n"/>
      <c r="DZ342" s="403" t="n"/>
      <c r="EA342" s="403" t="n"/>
      <c r="EB342" s="403" t="n"/>
      <c r="EC342" s="403" t="n"/>
      <c r="ED342" s="403" t="n"/>
      <c r="EE342" s="403" t="n"/>
      <c r="EF342" s="403" t="n"/>
      <c r="EG342" s="403" t="n"/>
      <c r="EH342" s="403" t="n"/>
      <c r="EI342" s="403" t="n"/>
      <c r="EJ342" s="403" t="n"/>
      <c r="EK342" s="403" t="n"/>
      <c r="EL342" s="403" t="n"/>
      <c r="EM342" s="403" t="n"/>
      <c r="EN342" s="403" t="n"/>
      <c r="EO342" s="403" t="n"/>
      <c r="EP342" s="403" t="n"/>
      <c r="EQ342" s="403" t="n"/>
      <c r="ER342" s="403" t="n"/>
      <c r="ES342" s="403" t="n"/>
      <c r="ET342" s="403" t="n"/>
      <c r="EU342" s="403" t="n"/>
      <c r="EV342" s="403" t="n"/>
      <c r="EW342" s="403" t="n"/>
      <c r="EX342" s="403" t="n"/>
      <c r="EY342" s="403" t="n"/>
      <c r="EZ342" s="403" t="n"/>
      <c r="FA342" s="403" t="n"/>
      <c r="FB342" s="403" t="n"/>
      <c r="FC342" s="403" t="n"/>
      <c r="FD342" s="403" t="n"/>
      <c r="FE342" s="403" t="n"/>
      <c r="FF342" s="403" t="n"/>
      <c r="FG342" s="403" t="n"/>
      <c r="FH342" s="403" t="n"/>
      <c r="FI342" s="403" t="n"/>
      <c r="FJ342" s="403" t="n"/>
      <c r="FK342" s="403" t="n"/>
      <c r="FL342" s="403" t="n"/>
      <c r="FM342" s="403" t="n"/>
      <c r="FN342" s="403" t="n"/>
      <c r="FO342" s="403" t="n"/>
      <c r="FP342" s="403" t="n"/>
      <c r="FQ342" s="403" t="n"/>
      <c r="FR342" s="403" t="n"/>
      <c r="FS342" s="403" t="n"/>
      <c r="FT342" s="403" t="n"/>
      <c r="FU342" s="403" t="n"/>
      <c r="FV342" s="403" t="n"/>
      <c r="FW342" s="403" t="n"/>
      <c r="FX342" s="403" t="n"/>
      <c r="FY342" s="403" t="n"/>
      <c r="FZ342" s="403" t="n"/>
      <c r="GA342" s="403" t="n"/>
      <c r="GB342" s="403" t="n"/>
      <c r="GC342" s="403" t="n"/>
      <c r="GD342" s="403" t="n"/>
      <c r="GE342" s="403" t="n"/>
      <c r="GF342" s="403" t="n"/>
      <c r="GG342" s="403" t="n"/>
      <c r="GH342" s="403" t="n"/>
      <c r="GI342" s="403" t="n"/>
      <c r="GJ342" s="403" t="n"/>
      <c r="GK342" s="403" t="n"/>
      <c r="GL342" s="403" t="n"/>
      <c r="GM342" s="403" t="n"/>
      <c r="GN342" s="403" t="n"/>
      <c r="GO342" s="403" t="n"/>
      <c r="GP342" s="403" t="n"/>
      <c r="GQ342" s="403" t="n"/>
      <c r="GR342" s="403" t="n"/>
      <c r="GS342" s="403" t="n"/>
      <c r="GT342" s="403" t="n"/>
      <c r="GU342" s="403" t="n"/>
      <c r="GV342" s="403" t="n"/>
      <c r="GW342" s="403" t="n"/>
      <c r="GX342" s="403" t="n">
        <v>0</v>
      </c>
    </row>
    <row r="343"/>
    <row r="344">
      <c r="A344" s="404" t="n">
        <v>50</v>
      </c>
      <c r="B344" s="404" t="n">
        <v>0</v>
      </c>
      <c r="C344" s="404" t="n">
        <v>0</v>
      </c>
      <c r="D344" s="404" t="n">
        <v>1</v>
      </c>
      <c r="E344" s="404" t="n">
        <v>201</v>
      </c>
      <c r="F344" s="404">
        <f>ROUND(Source!O342,O344)</f>
        <v/>
      </c>
      <c r="G344" s="404" t="inlineStr">
        <is>
          <t>ПЗ</t>
        </is>
      </c>
      <c r="H344" s="404" t="inlineStr">
        <is>
          <t>Прямые затраты</t>
        </is>
      </c>
      <c r="I344" s="404" t="n"/>
      <c r="J344" s="404" t="n"/>
      <c r="K344" s="404" t="n">
        <v>201</v>
      </c>
      <c r="L344" s="404" t="n">
        <v>1</v>
      </c>
      <c r="M344" s="404" t="n">
        <v>3</v>
      </c>
      <c r="N344" s="404" t="inlineStr"/>
      <c r="O344" s="404" t="n">
        <v>0</v>
      </c>
      <c r="P344" s="404" t="n"/>
      <c r="Q344" s="404" t="n"/>
      <c r="R344" s="404" t="n"/>
      <c r="S344" s="404" t="n"/>
      <c r="T344" s="404" t="n"/>
      <c r="U344" s="404" t="n"/>
      <c r="V344" s="404" t="n"/>
      <c r="W344" s="404" t="n">
        <v>0</v>
      </c>
      <c r="X344" s="404" t="n">
        <v>1</v>
      </c>
      <c r="Y344" s="404" t="n">
        <v>0</v>
      </c>
      <c r="Z344" s="404" t="n"/>
      <c r="AA344" s="404" t="n"/>
      <c r="AB344" s="404" t="n"/>
    </row>
    <row r="345">
      <c r="A345" s="404" t="n">
        <v>50</v>
      </c>
      <c r="B345" s="404" t="n">
        <v>0</v>
      </c>
      <c r="C345" s="404" t="n">
        <v>0</v>
      </c>
      <c r="D345" s="404" t="n">
        <v>1</v>
      </c>
      <c r="E345" s="404" t="n">
        <v>202</v>
      </c>
      <c r="F345" s="404">
        <f>ROUND(Source!P342,O345)</f>
        <v/>
      </c>
      <c r="G345" s="404" t="inlineStr">
        <is>
          <t>СтМатОб</t>
        </is>
      </c>
      <c r="H345" s="404" t="inlineStr">
        <is>
          <t>Стоимость материальных ресурсов (всего)</t>
        </is>
      </c>
      <c r="I345" s="404" t="n"/>
      <c r="J345" s="404" t="n"/>
      <c r="K345" s="404" t="n">
        <v>202</v>
      </c>
      <c r="L345" s="404" t="n">
        <v>2</v>
      </c>
      <c r="M345" s="404" t="n">
        <v>3</v>
      </c>
      <c r="N345" s="404" t="inlineStr"/>
      <c r="O345" s="404" t="n">
        <v>0</v>
      </c>
      <c r="P345" s="404" t="n"/>
      <c r="Q345" s="404" t="n"/>
      <c r="R345" s="404" t="n"/>
      <c r="S345" s="404" t="n"/>
      <c r="T345" s="404" t="n"/>
      <c r="U345" s="404" t="n"/>
      <c r="V345" s="404" t="n"/>
      <c r="W345" s="404" t="n">
        <v>0</v>
      </c>
      <c r="X345" s="404" t="n">
        <v>1</v>
      </c>
      <c r="Y345" s="404" t="n">
        <v>0</v>
      </c>
      <c r="Z345" s="404" t="n"/>
      <c r="AA345" s="404" t="n"/>
      <c r="AB345" s="404" t="n"/>
    </row>
    <row r="346">
      <c r="A346" s="404" t="n">
        <v>50</v>
      </c>
      <c r="B346" s="404" t="n">
        <v>0</v>
      </c>
      <c r="C346" s="404" t="n">
        <v>0</v>
      </c>
      <c r="D346" s="404" t="n">
        <v>1</v>
      </c>
      <c r="E346" s="404" t="n">
        <v>222</v>
      </c>
      <c r="F346" s="404">
        <f>ROUND(Source!AO342,O346)</f>
        <v/>
      </c>
      <c r="G346" s="404" t="inlineStr">
        <is>
          <t>СтМатОбЗак</t>
        </is>
      </c>
      <c r="H346" s="404" t="inlineStr">
        <is>
          <t>Стоимость материалов и оборудования заказчика</t>
        </is>
      </c>
      <c r="I346" s="404" t="n"/>
      <c r="J346" s="404" t="n"/>
      <c r="K346" s="404" t="n">
        <v>222</v>
      </c>
      <c r="L346" s="404" t="n">
        <v>3</v>
      </c>
      <c r="M346" s="404" t="n">
        <v>3</v>
      </c>
      <c r="N346" s="404" t="inlineStr"/>
      <c r="O346" s="404" t="n">
        <v>0</v>
      </c>
      <c r="P346" s="404" t="n"/>
      <c r="Q346" s="404" t="n"/>
      <c r="R346" s="404" t="n"/>
      <c r="S346" s="404" t="n"/>
      <c r="T346" s="404" t="n"/>
      <c r="U346" s="404" t="n"/>
      <c r="V346" s="404" t="n"/>
      <c r="W346" s="404" t="n">
        <v>0</v>
      </c>
      <c r="X346" s="404" t="n">
        <v>1</v>
      </c>
      <c r="Y346" s="404" t="n">
        <v>0</v>
      </c>
      <c r="Z346" s="404" t="n"/>
      <c r="AA346" s="404" t="n"/>
      <c r="AB346" s="404" t="n"/>
    </row>
    <row r="347">
      <c r="A347" s="404" t="n">
        <v>50</v>
      </c>
      <c r="B347" s="404" t="n">
        <v>0</v>
      </c>
      <c r="C347" s="404" t="n">
        <v>0</v>
      </c>
      <c r="D347" s="404" t="n">
        <v>1</v>
      </c>
      <c r="E347" s="404" t="n">
        <v>225</v>
      </c>
      <c r="F347" s="404">
        <f>ROUND(Source!AV342,O347)</f>
        <v/>
      </c>
      <c r="G347" s="404" t="inlineStr">
        <is>
          <t>СтМатОбПод</t>
        </is>
      </c>
      <c r="H347" s="404" t="inlineStr">
        <is>
          <t>Стоимость материалов и оборудования подрядчика</t>
        </is>
      </c>
      <c r="I347" s="404" t="n"/>
      <c r="J347" s="404" t="n"/>
      <c r="K347" s="404" t="n">
        <v>225</v>
      </c>
      <c r="L347" s="404" t="n">
        <v>4</v>
      </c>
      <c r="M347" s="404" t="n">
        <v>3</v>
      </c>
      <c r="N347" s="404" t="inlineStr"/>
      <c r="O347" s="404" t="n">
        <v>0</v>
      </c>
      <c r="P347" s="404" t="n"/>
      <c r="Q347" s="404" t="n"/>
      <c r="R347" s="404" t="n"/>
      <c r="S347" s="404" t="n"/>
      <c r="T347" s="404" t="n"/>
      <c r="U347" s="404" t="n"/>
      <c r="V347" s="404" t="n"/>
      <c r="W347" s="404" t="n">
        <v>0</v>
      </c>
      <c r="X347" s="404" t="n">
        <v>1</v>
      </c>
      <c r="Y347" s="404" t="n">
        <v>0</v>
      </c>
      <c r="Z347" s="404" t="n"/>
      <c r="AA347" s="404" t="n"/>
      <c r="AB347" s="404" t="n"/>
    </row>
    <row r="348">
      <c r="A348" s="404" t="n">
        <v>50</v>
      </c>
      <c r="B348" s="404" t="n">
        <v>0</v>
      </c>
      <c r="C348" s="404" t="n">
        <v>0</v>
      </c>
      <c r="D348" s="404" t="n">
        <v>1</v>
      </c>
      <c r="E348" s="404" t="n">
        <v>226</v>
      </c>
      <c r="F348" s="404">
        <f>ROUND(Source!AW342,O348)</f>
        <v/>
      </c>
      <c r="G348" s="404" t="inlineStr">
        <is>
          <t>СтМат</t>
        </is>
      </c>
      <c r="H348" s="404" t="inlineStr">
        <is>
          <t>Стоимость материалов (всего)</t>
        </is>
      </c>
      <c r="I348" s="404" t="n"/>
      <c r="J348" s="404" t="n"/>
      <c r="K348" s="404" t="n">
        <v>226</v>
      </c>
      <c r="L348" s="404" t="n">
        <v>5</v>
      </c>
      <c r="M348" s="404" t="n">
        <v>3</v>
      </c>
      <c r="N348" s="404" t="inlineStr"/>
      <c r="O348" s="404" t="n">
        <v>0</v>
      </c>
      <c r="P348" s="404" t="n"/>
      <c r="Q348" s="404" t="n"/>
      <c r="R348" s="404" t="n"/>
      <c r="S348" s="404" t="n"/>
      <c r="T348" s="404" t="n"/>
      <c r="U348" s="404" t="n"/>
      <c r="V348" s="404" t="n"/>
      <c r="W348" s="404" t="n">
        <v>0</v>
      </c>
      <c r="X348" s="404" t="n">
        <v>1</v>
      </c>
      <c r="Y348" s="404" t="n">
        <v>0</v>
      </c>
      <c r="Z348" s="404" t="n"/>
      <c r="AA348" s="404" t="n"/>
      <c r="AB348" s="404" t="n"/>
    </row>
    <row r="349">
      <c r="A349" s="404" t="n">
        <v>50</v>
      </c>
      <c r="B349" s="404" t="n">
        <v>0</v>
      </c>
      <c r="C349" s="404" t="n">
        <v>0</v>
      </c>
      <c r="D349" s="404" t="n">
        <v>1</v>
      </c>
      <c r="E349" s="404" t="n">
        <v>227</v>
      </c>
      <c r="F349" s="404">
        <f>ROUND(Source!AX342,O349)</f>
        <v/>
      </c>
      <c r="G349" s="404" t="inlineStr">
        <is>
          <t>СтМатЗак</t>
        </is>
      </c>
      <c r="H349" s="404" t="inlineStr">
        <is>
          <t>Стоимость материалов заказчика</t>
        </is>
      </c>
      <c r="I349" s="404" t="n"/>
      <c r="J349" s="404" t="n"/>
      <c r="K349" s="404" t="n">
        <v>227</v>
      </c>
      <c r="L349" s="404" t="n">
        <v>6</v>
      </c>
      <c r="M349" s="404" t="n">
        <v>3</v>
      </c>
      <c r="N349" s="404" t="inlineStr"/>
      <c r="O349" s="404" t="n">
        <v>0</v>
      </c>
      <c r="P349" s="404" t="n"/>
      <c r="Q349" s="404" t="n"/>
      <c r="R349" s="404" t="n"/>
      <c r="S349" s="404" t="n"/>
      <c r="T349" s="404" t="n"/>
      <c r="U349" s="404" t="n"/>
      <c r="V349" s="404" t="n"/>
      <c r="W349" s="404" t="n">
        <v>0</v>
      </c>
      <c r="X349" s="404" t="n">
        <v>1</v>
      </c>
      <c r="Y349" s="404" t="n">
        <v>0</v>
      </c>
      <c r="Z349" s="404" t="n"/>
      <c r="AA349" s="404" t="n"/>
      <c r="AB349" s="404" t="n"/>
    </row>
    <row r="350">
      <c r="A350" s="404" t="n">
        <v>50</v>
      </c>
      <c r="B350" s="404" t="n">
        <v>0</v>
      </c>
      <c r="C350" s="404" t="n">
        <v>0</v>
      </c>
      <c r="D350" s="404" t="n">
        <v>1</v>
      </c>
      <c r="E350" s="404" t="n">
        <v>228</v>
      </c>
      <c r="F350" s="404">
        <f>ROUND(Source!AY342,O350)</f>
        <v/>
      </c>
      <c r="G350" s="404" t="inlineStr">
        <is>
          <t>СтМатПод</t>
        </is>
      </c>
      <c r="H350" s="404" t="inlineStr">
        <is>
          <t>Стоимость материалов подрядчика</t>
        </is>
      </c>
      <c r="I350" s="404" t="n"/>
      <c r="J350" s="404" t="n"/>
      <c r="K350" s="404" t="n">
        <v>228</v>
      </c>
      <c r="L350" s="404" t="n">
        <v>7</v>
      </c>
      <c r="M350" s="404" t="n">
        <v>3</v>
      </c>
      <c r="N350" s="404" t="inlineStr"/>
      <c r="O350" s="404" t="n">
        <v>0</v>
      </c>
      <c r="P350" s="404" t="n"/>
      <c r="Q350" s="404" t="n"/>
      <c r="R350" s="404" t="n"/>
      <c r="S350" s="404" t="n"/>
      <c r="T350" s="404" t="n"/>
      <c r="U350" s="404" t="n"/>
      <c r="V350" s="404" t="n"/>
      <c r="W350" s="404" t="n">
        <v>0</v>
      </c>
      <c r="X350" s="404" t="n">
        <v>1</v>
      </c>
      <c r="Y350" s="404" t="n">
        <v>0</v>
      </c>
      <c r="Z350" s="404" t="n"/>
      <c r="AA350" s="404" t="n"/>
      <c r="AB350" s="404" t="n"/>
    </row>
    <row r="351">
      <c r="A351" s="404" t="n">
        <v>50</v>
      </c>
      <c r="B351" s="404" t="n">
        <v>0</v>
      </c>
      <c r="C351" s="404" t="n">
        <v>0</v>
      </c>
      <c r="D351" s="404" t="n">
        <v>1</v>
      </c>
      <c r="E351" s="404" t="n">
        <v>216</v>
      </c>
      <c r="F351" s="404">
        <f>ROUND(Source!AP342,O351)</f>
        <v/>
      </c>
      <c r="G351" s="404" t="inlineStr">
        <is>
          <t>Оборуд</t>
        </is>
      </c>
      <c r="H351" s="404" t="inlineStr">
        <is>
          <t>Стоимость оборудования (всего)</t>
        </is>
      </c>
      <c r="I351" s="404" t="n"/>
      <c r="J351" s="404" t="n"/>
      <c r="K351" s="404" t="n">
        <v>216</v>
      </c>
      <c r="L351" s="404" t="n">
        <v>8</v>
      </c>
      <c r="M351" s="404" t="n">
        <v>3</v>
      </c>
      <c r="N351" s="404" t="inlineStr"/>
      <c r="O351" s="404" t="n">
        <v>0</v>
      </c>
      <c r="P351" s="404" t="n"/>
      <c r="Q351" s="404" t="n"/>
      <c r="R351" s="404" t="n"/>
      <c r="S351" s="404" t="n"/>
      <c r="T351" s="404" t="n"/>
      <c r="U351" s="404" t="n"/>
      <c r="V351" s="404" t="n"/>
      <c r="W351" s="404" t="n">
        <v>0</v>
      </c>
      <c r="X351" s="404" t="n">
        <v>1</v>
      </c>
      <c r="Y351" s="404" t="n">
        <v>0</v>
      </c>
      <c r="Z351" s="404" t="n"/>
      <c r="AA351" s="404" t="n"/>
      <c r="AB351" s="404" t="n"/>
    </row>
    <row r="352">
      <c r="A352" s="404" t="n">
        <v>50</v>
      </c>
      <c r="B352" s="404" t="n">
        <v>0</v>
      </c>
      <c r="C352" s="404" t="n">
        <v>0</v>
      </c>
      <c r="D352" s="404" t="n">
        <v>1</v>
      </c>
      <c r="E352" s="404" t="n">
        <v>223</v>
      </c>
      <c r="F352" s="404">
        <f>ROUND(Source!AQ342,O352)</f>
        <v/>
      </c>
      <c r="G352" s="404" t="inlineStr">
        <is>
          <t>ОборудЗак</t>
        </is>
      </c>
      <c r="H352" s="404" t="inlineStr">
        <is>
          <t>Стоимость оборудования заказчика</t>
        </is>
      </c>
      <c r="I352" s="404" t="n"/>
      <c r="J352" s="404" t="n"/>
      <c r="K352" s="404" t="n">
        <v>223</v>
      </c>
      <c r="L352" s="404" t="n">
        <v>9</v>
      </c>
      <c r="M352" s="404" t="n">
        <v>3</v>
      </c>
      <c r="N352" s="404" t="inlineStr"/>
      <c r="O352" s="404" t="n">
        <v>0</v>
      </c>
      <c r="P352" s="404" t="n"/>
      <c r="Q352" s="404" t="n"/>
      <c r="R352" s="404" t="n"/>
      <c r="S352" s="404" t="n"/>
      <c r="T352" s="404" t="n"/>
      <c r="U352" s="404" t="n"/>
      <c r="V352" s="404" t="n"/>
      <c r="W352" s="404" t="n">
        <v>0</v>
      </c>
      <c r="X352" s="404" t="n">
        <v>1</v>
      </c>
      <c r="Y352" s="404" t="n">
        <v>0</v>
      </c>
      <c r="Z352" s="404" t="n"/>
      <c r="AA352" s="404" t="n"/>
      <c r="AB352" s="404" t="n"/>
    </row>
    <row r="353">
      <c r="A353" s="404" t="n">
        <v>50</v>
      </c>
      <c r="B353" s="404" t="n">
        <v>0</v>
      </c>
      <c r="C353" s="404" t="n">
        <v>0</v>
      </c>
      <c r="D353" s="404" t="n">
        <v>1</v>
      </c>
      <c r="E353" s="404" t="n">
        <v>229</v>
      </c>
      <c r="F353" s="404">
        <f>ROUND(Source!AZ342,O353)</f>
        <v/>
      </c>
      <c r="G353" s="404" t="inlineStr">
        <is>
          <t>ОборудПод</t>
        </is>
      </c>
      <c r="H353" s="404" t="inlineStr">
        <is>
          <t>Стоимость оборудования подрядчика</t>
        </is>
      </c>
      <c r="I353" s="404" t="n"/>
      <c r="J353" s="404" t="n"/>
      <c r="K353" s="404" t="n">
        <v>229</v>
      </c>
      <c r="L353" s="404" t="n">
        <v>10</v>
      </c>
      <c r="M353" s="404" t="n">
        <v>3</v>
      </c>
      <c r="N353" s="404" t="inlineStr"/>
      <c r="O353" s="404" t="n">
        <v>0</v>
      </c>
      <c r="P353" s="404" t="n"/>
      <c r="Q353" s="404" t="n"/>
      <c r="R353" s="404" t="n"/>
      <c r="S353" s="404" t="n"/>
      <c r="T353" s="404" t="n"/>
      <c r="U353" s="404" t="n"/>
      <c r="V353" s="404" t="n"/>
      <c r="W353" s="404" t="n">
        <v>0</v>
      </c>
      <c r="X353" s="404" t="n">
        <v>1</v>
      </c>
      <c r="Y353" s="404" t="n">
        <v>0</v>
      </c>
      <c r="Z353" s="404" t="n"/>
      <c r="AA353" s="404" t="n"/>
      <c r="AB353" s="404" t="n"/>
    </row>
    <row r="354">
      <c r="A354" s="404" t="n">
        <v>50</v>
      </c>
      <c r="B354" s="404" t="n">
        <v>0</v>
      </c>
      <c r="C354" s="404" t="n">
        <v>0</v>
      </c>
      <c r="D354" s="404" t="n">
        <v>1</v>
      </c>
      <c r="E354" s="404" t="n">
        <v>203</v>
      </c>
      <c r="F354" s="404">
        <f>ROUND(Source!Q342,O354)</f>
        <v/>
      </c>
      <c r="G354" s="404" t="inlineStr">
        <is>
          <t>ЭММ</t>
        </is>
      </c>
      <c r="H354" s="404" t="inlineStr">
        <is>
          <t>Эксплуатация машин</t>
        </is>
      </c>
      <c r="I354" s="404" t="n"/>
      <c r="J354" s="404" t="n"/>
      <c r="K354" s="404" t="n">
        <v>203</v>
      </c>
      <c r="L354" s="404" t="n">
        <v>11</v>
      </c>
      <c r="M354" s="404" t="n">
        <v>3</v>
      </c>
      <c r="N354" s="404" t="inlineStr"/>
      <c r="O354" s="404" t="n">
        <v>0</v>
      </c>
      <c r="P354" s="404" t="n"/>
      <c r="Q354" s="404" t="n"/>
      <c r="R354" s="404" t="n"/>
      <c r="S354" s="404" t="n"/>
      <c r="T354" s="404" t="n"/>
      <c r="U354" s="404" t="n"/>
      <c r="V354" s="404" t="n"/>
      <c r="W354" s="404" t="n">
        <v>0</v>
      </c>
      <c r="X354" s="404" t="n">
        <v>1</v>
      </c>
      <c r="Y354" s="404" t="n">
        <v>0</v>
      </c>
      <c r="Z354" s="404" t="n"/>
      <c r="AA354" s="404" t="n"/>
      <c r="AB354" s="404" t="n"/>
    </row>
    <row r="355">
      <c r="A355" s="404" t="n">
        <v>50</v>
      </c>
      <c r="B355" s="404" t="n">
        <v>0</v>
      </c>
      <c r="C355" s="404" t="n">
        <v>0</v>
      </c>
      <c r="D355" s="404" t="n">
        <v>1</v>
      </c>
      <c r="E355" s="404" t="n">
        <v>231</v>
      </c>
      <c r="F355" s="404">
        <f>ROUND(Source!BB342,O355)</f>
        <v/>
      </c>
      <c r="G355" s="404" t="inlineStr">
        <is>
          <t>ЭММсНРиСП</t>
        </is>
      </c>
      <c r="H355" s="404" t="inlineStr">
        <is>
          <t>Эксплуатация машин по ТСН-2001.16</t>
        </is>
      </c>
      <c r="I355" s="404" t="n"/>
      <c r="J355" s="404" t="n"/>
      <c r="K355" s="404" t="n">
        <v>231</v>
      </c>
      <c r="L355" s="404" t="n">
        <v>12</v>
      </c>
      <c r="M355" s="404" t="n">
        <v>3</v>
      </c>
      <c r="N355" s="404" t="inlineStr"/>
      <c r="O355" s="404" t="n">
        <v>0</v>
      </c>
      <c r="P355" s="404" t="n"/>
      <c r="Q355" s="404" t="n"/>
      <c r="R355" s="404" t="n"/>
      <c r="S355" s="404" t="n"/>
      <c r="T355" s="404" t="n"/>
      <c r="U355" s="404" t="n"/>
      <c r="V355" s="404" t="n"/>
      <c r="W355" s="404" t="n">
        <v>0</v>
      </c>
      <c r="X355" s="404" t="n">
        <v>1</v>
      </c>
      <c r="Y355" s="404" t="n">
        <v>0</v>
      </c>
      <c r="Z355" s="404" t="n"/>
      <c r="AA355" s="404" t="n"/>
      <c r="AB355" s="404" t="n"/>
    </row>
    <row r="356">
      <c r="A356" s="404" t="n">
        <v>50</v>
      </c>
      <c r="B356" s="404" t="n">
        <v>0</v>
      </c>
      <c r="C356" s="404" t="n">
        <v>0</v>
      </c>
      <c r="D356" s="404" t="n">
        <v>1</v>
      </c>
      <c r="E356" s="404" t="n">
        <v>204</v>
      </c>
      <c r="F356" s="404">
        <f>ROUND(Source!R342,O356)</f>
        <v/>
      </c>
      <c r="G356" s="404" t="inlineStr">
        <is>
          <t>ЗПМ</t>
        </is>
      </c>
      <c r="H356" s="404" t="inlineStr">
        <is>
          <t>ЗП машинистов</t>
        </is>
      </c>
      <c r="I356" s="404" t="n"/>
      <c r="J356" s="404" t="n"/>
      <c r="K356" s="404" t="n">
        <v>204</v>
      </c>
      <c r="L356" s="404" t="n">
        <v>13</v>
      </c>
      <c r="M356" s="404" t="n">
        <v>3</v>
      </c>
      <c r="N356" s="404" t="inlineStr"/>
      <c r="O356" s="404" t="n">
        <v>0</v>
      </c>
      <c r="P356" s="404" t="n"/>
      <c r="Q356" s="404" t="n"/>
      <c r="R356" s="404" t="n"/>
      <c r="S356" s="404" t="n"/>
      <c r="T356" s="404" t="n"/>
      <c r="U356" s="404" t="n"/>
      <c r="V356" s="404" t="n"/>
      <c r="W356" s="404" t="n">
        <v>0</v>
      </c>
      <c r="X356" s="404" t="n">
        <v>1</v>
      </c>
      <c r="Y356" s="404" t="n">
        <v>0</v>
      </c>
      <c r="Z356" s="404" t="n"/>
      <c r="AA356" s="404" t="n"/>
      <c r="AB356" s="404" t="n"/>
    </row>
    <row r="357">
      <c r="A357" s="404" t="n">
        <v>50</v>
      </c>
      <c r="B357" s="404" t="n">
        <v>0</v>
      </c>
      <c r="C357" s="404" t="n">
        <v>0</v>
      </c>
      <c r="D357" s="404" t="n">
        <v>1</v>
      </c>
      <c r="E357" s="404" t="n">
        <v>205</v>
      </c>
      <c r="F357" s="404">
        <f>ROUND(Source!S342,O357)</f>
        <v/>
      </c>
      <c r="G357" s="404" t="inlineStr">
        <is>
          <t>ОЗП</t>
        </is>
      </c>
      <c r="H357" s="404" t="inlineStr">
        <is>
          <t>Основная ЗП рабочих</t>
        </is>
      </c>
      <c r="I357" s="404" t="n"/>
      <c r="J357" s="404" t="n"/>
      <c r="K357" s="404" t="n">
        <v>205</v>
      </c>
      <c r="L357" s="404" t="n">
        <v>14</v>
      </c>
      <c r="M357" s="404" t="n">
        <v>3</v>
      </c>
      <c r="N357" s="404" t="inlineStr"/>
      <c r="O357" s="404" t="n">
        <v>0</v>
      </c>
      <c r="P357" s="404" t="n"/>
      <c r="Q357" s="404" t="n"/>
      <c r="R357" s="404" t="n"/>
      <c r="S357" s="404" t="n"/>
      <c r="T357" s="404" t="n"/>
      <c r="U357" s="404" t="n"/>
      <c r="V357" s="404" t="n"/>
      <c r="W357" s="404" t="n">
        <v>0</v>
      </c>
      <c r="X357" s="404" t="n">
        <v>1</v>
      </c>
      <c r="Y357" s="404" t="n">
        <v>0</v>
      </c>
      <c r="Z357" s="404" t="n"/>
      <c r="AA357" s="404" t="n"/>
      <c r="AB357" s="404" t="n"/>
    </row>
    <row r="358">
      <c r="A358" s="404" t="n">
        <v>50</v>
      </c>
      <c r="B358" s="404" t="n">
        <v>0</v>
      </c>
      <c r="C358" s="404" t="n">
        <v>0</v>
      </c>
      <c r="D358" s="404" t="n">
        <v>1</v>
      </c>
      <c r="E358" s="404" t="n">
        <v>232</v>
      </c>
      <c r="F358" s="404">
        <f>ROUND(Source!BC342,O358)</f>
        <v/>
      </c>
      <c r="G358" s="404" t="inlineStr">
        <is>
          <t>ОЗПсНРиСП</t>
        </is>
      </c>
      <c r="H358" s="404" t="inlineStr">
        <is>
          <t>Основная ЗП рабочих по ТСН-2001.16</t>
        </is>
      </c>
      <c r="I358" s="404" t="n"/>
      <c r="J358" s="404" t="n"/>
      <c r="K358" s="404" t="n">
        <v>232</v>
      </c>
      <c r="L358" s="404" t="n">
        <v>15</v>
      </c>
      <c r="M358" s="404" t="n">
        <v>3</v>
      </c>
      <c r="N358" s="404" t="inlineStr"/>
      <c r="O358" s="404" t="n">
        <v>0</v>
      </c>
      <c r="P358" s="404" t="n"/>
      <c r="Q358" s="404" t="n"/>
      <c r="R358" s="404" t="n"/>
      <c r="S358" s="404" t="n"/>
      <c r="T358" s="404" t="n"/>
      <c r="U358" s="404" t="n"/>
      <c r="V358" s="404" t="n"/>
      <c r="W358" s="404" t="n">
        <v>0</v>
      </c>
      <c r="X358" s="404" t="n">
        <v>1</v>
      </c>
      <c r="Y358" s="404" t="n">
        <v>0</v>
      </c>
      <c r="Z358" s="404" t="n"/>
      <c r="AA358" s="404" t="n"/>
      <c r="AB358" s="404" t="n"/>
    </row>
    <row r="359">
      <c r="A359" s="404" t="n">
        <v>50</v>
      </c>
      <c r="B359" s="404" t="n">
        <v>0</v>
      </c>
      <c r="C359" s="404" t="n">
        <v>0</v>
      </c>
      <c r="D359" s="404" t="n">
        <v>1</v>
      </c>
      <c r="E359" s="404" t="n">
        <v>214</v>
      </c>
      <c r="F359" s="404">
        <f>ROUND(Source!AS342,O359)</f>
        <v/>
      </c>
      <c r="G359" s="404" t="inlineStr">
        <is>
          <t>Строит</t>
        </is>
      </c>
      <c r="H359" s="404" t="inlineStr">
        <is>
          <t>Строительные работы с НР и СП</t>
        </is>
      </c>
      <c r="I359" s="404" t="n"/>
      <c r="J359" s="404" t="n"/>
      <c r="K359" s="404" t="n">
        <v>214</v>
      </c>
      <c r="L359" s="404" t="n">
        <v>16</v>
      </c>
      <c r="M359" s="404" t="n">
        <v>3</v>
      </c>
      <c r="N359" s="404" t="inlineStr"/>
      <c r="O359" s="404" t="n">
        <v>0</v>
      </c>
      <c r="P359" s="404" t="n"/>
      <c r="Q359" s="404" t="n"/>
      <c r="R359" s="404" t="n"/>
      <c r="S359" s="404" t="n"/>
      <c r="T359" s="404" t="n"/>
      <c r="U359" s="404" t="n"/>
      <c r="V359" s="404" t="n"/>
      <c r="W359" s="404" t="n">
        <v>0</v>
      </c>
      <c r="X359" s="404" t="n">
        <v>1</v>
      </c>
      <c r="Y359" s="404" t="n">
        <v>0</v>
      </c>
      <c r="Z359" s="404" t="n"/>
      <c r="AA359" s="404" t="n"/>
      <c r="AB359" s="404" t="n"/>
    </row>
    <row r="360">
      <c r="A360" s="404" t="n">
        <v>50</v>
      </c>
      <c r="B360" s="404" t="n">
        <v>0</v>
      </c>
      <c r="C360" s="404" t="n">
        <v>0</v>
      </c>
      <c r="D360" s="404" t="n">
        <v>1</v>
      </c>
      <c r="E360" s="404" t="n">
        <v>215</v>
      </c>
      <c r="F360" s="404">
        <f>ROUND(Source!AT342,O360)</f>
        <v/>
      </c>
      <c r="G360" s="404" t="inlineStr">
        <is>
          <t>Монтаж</t>
        </is>
      </c>
      <c r="H360" s="404" t="inlineStr">
        <is>
          <t>Монтажные работы с НР и СП</t>
        </is>
      </c>
      <c r="I360" s="404" t="n"/>
      <c r="J360" s="404" t="n"/>
      <c r="K360" s="404" t="n">
        <v>215</v>
      </c>
      <c r="L360" s="404" t="n">
        <v>17</v>
      </c>
      <c r="M360" s="404" t="n">
        <v>3</v>
      </c>
      <c r="N360" s="404" t="inlineStr"/>
      <c r="O360" s="404" t="n">
        <v>0</v>
      </c>
      <c r="P360" s="404" t="n"/>
      <c r="Q360" s="404" t="n"/>
      <c r="R360" s="404" t="n"/>
      <c r="S360" s="404" t="n"/>
      <c r="T360" s="404" t="n"/>
      <c r="U360" s="404" t="n"/>
      <c r="V360" s="404" t="n"/>
      <c r="W360" s="404" t="n">
        <v>0</v>
      </c>
      <c r="X360" s="404" t="n">
        <v>1</v>
      </c>
      <c r="Y360" s="404" t="n">
        <v>0</v>
      </c>
      <c r="Z360" s="404" t="n"/>
      <c r="AA360" s="404" t="n"/>
      <c r="AB360" s="404" t="n"/>
    </row>
    <row r="361">
      <c r="A361" s="404" t="n">
        <v>50</v>
      </c>
      <c r="B361" s="404" t="n">
        <v>0</v>
      </c>
      <c r="C361" s="404" t="n">
        <v>0</v>
      </c>
      <c r="D361" s="404" t="n">
        <v>1</v>
      </c>
      <c r="E361" s="404" t="n">
        <v>217</v>
      </c>
      <c r="F361" s="404">
        <f>ROUND(Source!AU342,O361)</f>
        <v/>
      </c>
      <c r="G361" s="404" t="inlineStr">
        <is>
          <t>Прочие</t>
        </is>
      </c>
      <c r="H361" s="404" t="inlineStr">
        <is>
          <t>Прочие работы с НР и СП</t>
        </is>
      </c>
      <c r="I361" s="404" t="n"/>
      <c r="J361" s="404" t="n"/>
      <c r="K361" s="404" t="n">
        <v>217</v>
      </c>
      <c r="L361" s="404" t="n">
        <v>18</v>
      </c>
      <c r="M361" s="404" t="n">
        <v>3</v>
      </c>
      <c r="N361" s="404" t="inlineStr"/>
      <c r="O361" s="404" t="n">
        <v>0</v>
      </c>
      <c r="P361" s="404" t="n"/>
      <c r="Q361" s="404" t="n"/>
      <c r="R361" s="404" t="n"/>
      <c r="S361" s="404" t="n"/>
      <c r="T361" s="404" t="n"/>
      <c r="U361" s="404" t="n"/>
      <c r="V361" s="404" t="n"/>
      <c r="W361" s="404" t="n">
        <v>0</v>
      </c>
      <c r="X361" s="404" t="n">
        <v>1</v>
      </c>
      <c r="Y361" s="404" t="n">
        <v>0</v>
      </c>
      <c r="Z361" s="404" t="n"/>
      <c r="AA361" s="404" t="n"/>
      <c r="AB361" s="404" t="n"/>
    </row>
    <row r="362">
      <c r="A362" s="404" t="n">
        <v>50</v>
      </c>
      <c r="B362" s="404" t="n">
        <v>0</v>
      </c>
      <c r="C362" s="404" t="n">
        <v>0</v>
      </c>
      <c r="D362" s="404" t="n">
        <v>1</v>
      </c>
      <c r="E362" s="404" t="n">
        <v>230</v>
      </c>
      <c r="F362" s="404">
        <f>ROUND(Source!BA342,O362)</f>
        <v/>
      </c>
      <c r="G362" s="404" t="inlineStr">
        <is>
          <t>ПрочиеЗатр</t>
        </is>
      </c>
      <c r="H362" s="404" t="inlineStr">
        <is>
          <t>Прочие затраты по ТСН-2001.16</t>
        </is>
      </c>
      <c r="I362" s="404" t="n"/>
      <c r="J362" s="404" t="n"/>
      <c r="K362" s="404" t="n">
        <v>230</v>
      </c>
      <c r="L362" s="404" t="n">
        <v>19</v>
      </c>
      <c r="M362" s="404" t="n">
        <v>3</v>
      </c>
      <c r="N362" s="404" t="inlineStr"/>
      <c r="O362" s="404" t="n">
        <v>0</v>
      </c>
      <c r="P362" s="404" t="n"/>
      <c r="Q362" s="404" t="n"/>
      <c r="R362" s="404" t="n"/>
      <c r="S362" s="404" t="n"/>
      <c r="T362" s="404" t="n"/>
      <c r="U362" s="404" t="n"/>
      <c r="V362" s="404" t="n"/>
      <c r="W362" s="404" t="n">
        <v>0</v>
      </c>
      <c r="X362" s="404" t="n">
        <v>1</v>
      </c>
      <c r="Y362" s="404" t="n">
        <v>0</v>
      </c>
      <c r="Z362" s="404" t="n"/>
      <c r="AA362" s="404" t="n"/>
      <c r="AB362" s="404" t="n"/>
    </row>
    <row r="363">
      <c r="A363" s="404" t="n">
        <v>50</v>
      </c>
      <c r="B363" s="404" t="n">
        <v>0</v>
      </c>
      <c r="C363" s="404" t="n">
        <v>0</v>
      </c>
      <c r="D363" s="404" t="n">
        <v>1</v>
      </c>
      <c r="E363" s="404" t="n">
        <v>206</v>
      </c>
      <c r="F363" s="404">
        <f>ROUND(Source!T342,O363)</f>
        <v/>
      </c>
      <c r="G363" s="404" t="inlineStr">
        <is>
          <t>ВозврМат</t>
        </is>
      </c>
      <c r="H363" s="404" t="inlineStr">
        <is>
          <t>Возврат материалов</t>
        </is>
      </c>
      <c r="I363" s="404" t="n"/>
      <c r="J363" s="404" t="n"/>
      <c r="K363" s="404" t="n">
        <v>206</v>
      </c>
      <c r="L363" s="404" t="n">
        <v>20</v>
      </c>
      <c r="M363" s="404" t="n">
        <v>3</v>
      </c>
      <c r="N363" s="404" t="inlineStr"/>
      <c r="O363" s="404" t="n">
        <v>0</v>
      </c>
      <c r="P363" s="404" t="n"/>
      <c r="Q363" s="404" t="n"/>
      <c r="R363" s="404" t="n"/>
      <c r="S363" s="404" t="n"/>
      <c r="T363" s="404" t="n"/>
      <c r="U363" s="404" t="n"/>
      <c r="V363" s="404" t="n"/>
      <c r="W363" s="404" t="n">
        <v>0</v>
      </c>
      <c r="X363" s="404" t="n">
        <v>1</v>
      </c>
      <c r="Y363" s="404" t="n">
        <v>0</v>
      </c>
      <c r="Z363" s="404" t="n"/>
      <c r="AA363" s="404" t="n"/>
      <c r="AB363" s="404" t="n"/>
    </row>
    <row r="364">
      <c r="A364" s="404" t="n">
        <v>50</v>
      </c>
      <c r="B364" s="404" t="n">
        <v>0</v>
      </c>
      <c r="C364" s="404" t="n">
        <v>0</v>
      </c>
      <c r="D364" s="404" t="n">
        <v>1</v>
      </c>
      <c r="E364" s="404" t="n">
        <v>207</v>
      </c>
      <c r="F364" s="404">
        <f>ROUND(Source!U342,O364)</f>
        <v/>
      </c>
      <c r="G364" s="404" t="inlineStr">
        <is>
          <t>ТрудСтр</t>
        </is>
      </c>
      <c r="H364" s="404" t="inlineStr">
        <is>
          <t>Трудозатраты строителей</t>
        </is>
      </c>
      <c r="I364" s="404" t="n"/>
      <c r="J364" s="404" t="n"/>
      <c r="K364" s="404" t="n">
        <v>207</v>
      </c>
      <c r="L364" s="404" t="n">
        <v>21</v>
      </c>
      <c r="M364" s="404" t="n">
        <v>3</v>
      </c>
      <c r="N364" s="404" t="inlineStr"/>
      <c r="O364" s="404" t="n">
        <v>7</v>
      </c>
      <c r="P364" s="404" t="n"/>
      <c r="Q364" s="404" t="n"/>
      <c r="R364" s="404" t="n"/>
      <c r="S364" s="404" t="n"/>
      <c r="T364" s="404" t="n"/>
      <c r="U364" s="404" t="n"/>
      <c r="V364" s="404" t="n"/>
      <c r="W364" s="404" t="n">
        <v>0</v>
      </c>
      <c r="X364" s="404" t="n">
        <v>1</v>
      </c>
      <c r="Y364" s="404" t="n">
        <v>0</v>
      </c>
      <c r="Z364" s="404" t="n"/>
      <c r="AA364" s="404" t="n"/>
      <c r="AB364" s="404" t="n"/>
    </row>
    <row r="365">
      <c r="A365" s="404" t="n">
        <v>50</v>
      </c>
      <c r="B365" s="404" t="n">
        <v>0</v>
      </c>
      <c r="C365" s="404" t="n">
        <v>0</v>
      </c>
      <c r="D365" s="404" t="n">
        <v>1</v>
      </c>
      <c r="E365" s="404" t="n">
        <v>208</v>
      </c>
      <c r="F365" s="404">
        <f>ROUND(Source!V342,O365)</f>
        <v/>
      </c>
      <c r="G365" s="404" t="inlineStr">
        <is>
          <t>ТрудМаш</t>
        </is>
      </c>
      <c r="H365" s="404" t="inlineStr">
        <is>
          <t>Трудозатраты машинистов</t>
        </is>
      </c>
      <c r="I365" s="404" t="n"/>
      <c r="J365" s="404" t="n"/>
      <c r="K365" s="404" t="n">
        <v>208</v>
      </c>
      <c r="L365" s="404" t="n">
        <v>22</v>
      </c>
      <c r="M365" s="404" t="n">
        <v>3</v>
      </c>
      <c r="N365" s="404" t="inlineStr"/>
      <c r="O365" s="404" t="n">
        <v>7</v>
      </c>
      <c r="P365" s="404" t="n"/>
      <c r="Q365" s="404" t="n"/>
      <c r="R365" s="404" t="n"/>
      <c r="S365" s="404" t="n"/>
      <c r="T365" s="404" t="n"/>
      <c r="U365" s="404" t="n"/>
      <c r="V365" s="404" t="n"/>
      <c r="W365" s="404" t="n">
        <v>0</v>
      </c>
      <c r="X365" s="404" t="n">
        <v>1</v>
      </c>
      <c r="Y365" s="404" t="n">
        <v>0</v>
      </c>
      <c r="Z365" s="404" t="n"/>
      <c r="AA365" s="404" t="n"/>
      <c r="AB365" s="404" t="n"/>
    </row>
    <row r="366">
      <c r="A366" s="404" t="n">
        <v>50</v>
      </c>
      <c r="B366" s="404" t="n">
        <v>0</v>
      </c>
      <c r="C366" s="404" t="n">
        <v>0</v>
      </c>
      <c r="D366" s="404" t="n">
        <v>1</v>
      </c>
      <c r="E366" s="404" t="n">
        <v>209</v>
      </c>
      <c r="F366" s="404">
        <f>ROUND(Source!W342,O366)</f>
        <v/>
      </c>
      <c r="G366" s="404" t="inlineStr">
        <is>
          <t>ТранспМат</t>
        </is>
      </c>
      <c r="H366" s="404" t="inlineStr">
        <is>
          <t>Транспорт материалов</t>
        </is>
      </c>
      <c r="I366" s="404" t="n"/>
      <c r="J366" s="404" t="n"/>
      <c r="K366" s="404" t="n">
        <v>209</v>
      </c>
      <c r="L366" s="404" t="n">
        <v>23</v>
      </c>
      <c r="M366" s="404" t="n">
        <v>3</v>
      </c>
      <c r="N366" s="404" t="inlineStr"/>
      <c r="O366" s="404" t="n">
        <v>0</v>
      </c>
      <c r="P366" s="404" t="n"/>
      <c r="Q366" s="404" t="n"/>
      <c r="R366" s="404" t="n"/>
      <c r="S366" s="404" t="n"/>
      <c r="T366" s="404" t="n"/>
      <c r="U366" s="404" t="n"/>
      <c r="V366" s="404" t="n"/>
      <c r="W366" s="404" t="n">
        <v>0</v>
      </c>
      <c r="X366" s="404" t="n">
        <v>1</v>
      </c>
      <c r="Y366" s="404" t="n">
        <v>0</v>
      </c>
      <c r="Z366" s="404" t="n"/>
      <c r="AA366" s="404" t="n"/>
      <c r="AB366" s="404" t="n"/>
    </row>
    <row r="367">
      <c r="A367" s="404" t="n">
        <v>50</v>
      </c>
      <c r="B367" s="404" t="n">
        <v>0</v>
      </c>
      <c r="C367" s="404" t="n">
        <v>0</v>
      </c>
      <c r="D367" s="404" t="n">
        <v>1</v>
      </c>
      <c r="E367" s="404" t="n">
        <v>233</v>
      </c>
      <c r="F367" s="404">
        <f>ROUND(Source!BD342,O367)</f>
        <v/>
      </c>
      <c r="G367" s="404" t="inlineStr">
        <is>
          <t>Перевозка</t>
        </is>
      </c>
      <c r="H367" s="404" t="inlineStr">
        <is>
          <t>Перевозка грузов</t>
        </is>
      </c>
      <c r="I367" s="404" t="n"/>
      <c r="J367" s="404" t="n"/>
      <c r="K367" s="404" t="n">
        <v>233</v>
      </c>
      <c r="L367" s="404" t="n">
        <v>24</v>
      </c>
      <c r="M367" s="404" t="n">
        <v>3</v>
      </c>
      <c r="N367" s="404" t="inlineStr"/>
      <c r="O367" s="404" t="n">
        <v>0</v>
      </c>
      <c r="P367" s="404" t="n"/>
      <c r="Q367" s="404" t="n"/>
      <c r="R367" s="404" t="n"/>
      <c r="S367" s="404" t="n"/>
      <c r="T367" s="404" t="n"/>
      <c r="U367" s="404" t="n"/>
      <c r="V367" s="404" t="n"/>
      <c r="W367" s="404" t="n">
        <v>0</v>
      </c>
      <c r="X367" s="404" t="n">
        <v>1</v>
      </c>
      <c r="Y367" s="404" t="n">
        <v>0</v>
      </c>
      <c r="Z367" s="404" t="n"/>
      <c r="AA367" s="404" t="n"/>
      <c r="AB367" s="404" t="n"/>
    </row>
    <row r="368">
      <c r="A368" s="404" t="n">
        <v>50</v>
      </c>
      <c r="B368" s="404" t="n">
        <v>0</v>
      </c>
      <c r="C368" s="404" t="n">
        <v>0</v>
      </c>
      <c r="D368" s="404" t="n">
        <v>1</v>
      </c>
      <c r="E368" s="404" t="n">
        <v>210</v>
      </c>
      <c r="F368" s="404">
        <f>ROUND(Source!X342,O368)</f>
        <v/>
      </c>
      <c r="G368" s="404" t="inlineStr">
        <is>
          <t>НР</t>
        </is>
      </c>
      <c r="H368" s="404" t="inlineStr">
        <is>
          <t>Накладные расходы</t>
        </is>
      </c>
      <c r="I368" s="404" t="n"/>
      <c r="J368" s="404" t="n"/>
      <c r="K368" s="404" t="n">
        <v>210</v>
      </c>
      <c r="L368" s="404" t="n">
        <v>25</v>
      </c>
      <c r="M368" s="404" t="n">
        <v>3</v>
      </c>
      <c r="N368" s="404" t="inlineStr"/>
      <c r="O368" s="404" t="n">
        <v>0</v>
      </c>
      <c r="P368" s="404" t="n"/>
      <c r="Q368" s="404" t="n"/>
      <c r="R368" s="404" t="n"/>
      <c r="S368" s="404" t="n"/>
      <c r="T368" s="404" t="n"/>
      <c r="U368" s="404" t="n"/>
      <c r="V368" s="404" t="n"/>
      <c r="W368" s="404" t="n">
        <v>0</v>
      </c>
      <c r="X368" s="404" t="n">
        <v>1</v>
      </c>
      <c r="Y368" s="404" t="n">
        <v>0</v>
      </c>
      <c r="Z368" s="404" t="n"/>
      <c r="AA368" s="404" t="n"/>
      <c r="AB368" s="404" t="n"/>
    </row>
    <row r="369">
      <c r="A369" s="404" t="n">
        <v>50</v>
      </c>
      <c r="B369" s="404" t="n">
        <v>0</v>
      </c>
      <c r="C369" s="404" t="n">
        <v>0</v>
      </c>
      <c r="D369" s="404" t="n">
        <v>1</v>
      </c>
      <c r="E369" s="404" t="n">
        <v>211</v>
      </c>
      <c r="F369" s="404">
        <f>ROUND(Source!Y342,O369)</f>
        <v/>
      </c>
      <c r="G369" s="404" t="inlineStr">
        <is>
          <t>СмПриб</t>
        </is>
      </c>
      <c r="H369" s="404" t="inlineStr">
        <is>
          <t>Сметная прибыль</t>
        </is>
      </c>
      <c r="I369" s="404" t="n"/>
      <c r="J369" s="404" t="n"/>
      <c r="K369" s="404" t="n">
        <v>211</v>
      </c>
      <c r="L369" s="404" t="n">
        <v>26</v>
      </c>
      <c r="M369" s="404" t="n">
        <v>3</v>
      </c>
      <c r="N369" s="404" t="inlineStr"/>
      <c r="O369" s="404" t="n">
        <v>0</v>
      </c>
      <c r="P369" s="404" t="n"/>
      <c r="Q369" s="404" t="n"/>
      <c r="R369" s="404" t="n"/>
      <c r="S369" s="404" t="n"/>
      <c r="T369" s="404" t="n"/>
      <c r="U369" s="404" t="n"/>
      <c r="V369" s="404" t="n"/>
      <c r="W369" s="404" t="n">
        <v>0</v>
      </c>
      <c r="X369" s="404" t="n">
        <v>1</v>
      </c>
      <c r="Y369" s="404" t="n">
        <v>0</v>
      </c>
      <c r="Z369" s="404" t="n"/>
      <c r="AA369" s="404" t="n"/>
      <c r="AB369" s="404" t="n"/>
    </row>
    <row r="370">
      <c r="A370" s="404" t="n">
        <v>50</v>
      </c>
      <c r="B370" s="404" t="n">
        <v>0</v>
      </c>
      <c r="C370" s="404" t="n">
        <v>0</v>
      </c>
      <c r="D370" s="404" t="n">
        <v>1</v>
      </c>
      <c r="E370" s="404" t="n">
        <v>224</v>
      </c>
      <c r="F370" s="404">
        <f>ROUND(Source!AR342,O370)</f>
        <v/>
      </c>
      <c r="G370" s="404" t="inlineStr">
        <is>
          <t>Всего</t>
        </is>
      </c>
      <c r="H370" s="404" t="inlineStr">
        <is>
          <t>Всего с НР и СП</t>
        </is>
      </c>
      <c r="I370" s="404" t="n"/>
      <c r="J370" s="404" t="n"/>
      <c r="K370" s="404" t="n">
        <v>224</v>
      </c>
      <c r="L370" s="404" t="n">
        <v>27</v>
      </c>
      <c r="M370" s="404" t="n">
        <v>3</v>
      </c>
      <c r="N370" s="404" t="inlineStr"/>
      <c r="O370" s="404" t="n">
        <v>0</v>
      </c>
      <c r="P370" s="404" t="n"/>
      <c r="Q370" s="404" t="n"/>
      <c r="R370" s="404" t="n"/>
      <c r="S370" s="404" t="n"/>
      <c r="T370" s="404" t="n"/>
      <c r="U370" s="404" t="n"/>
      <c r="V370" s="404" t="n"/>
      <c r="W370" s="404" t="n">
        <v>0</v>
      </c>
      <c r="X370" s="404" t="n">
        <v>1</v>
      </c>
      <c r="Y370" s="404" t="n">
        <v>0</v>
      </c>
      <c r="Z370" s="404" t="n"/>
      <c r="AA370" s="404" t="n"/>
      <c r="AB370" s="404" t="n"/>
    </row>
    <row r="371">
      <c r="A371" s="404" t="n">
        <v>50</v>
      </c>
      <c r="B371" s="404" t="n">
        <v>0</v>
      </c>
      <c r="C371" s="404" t="n">
        <v>0</v>
      </c>
      <c r="D371" s="404" t="n">
        <v>2</v>
      </c>
      <c r="E371" s="404" t="n">
        <v>0</v>
      </c>
      <c r="F371" s="404">
        <f>ROUND(F370,O371)</f>
        <v/>
      </c>
      <c r="G371" s="404" t="inlineStr">
        <is>
          <t>и1</t>
        </is>
      </c>
      <c r="H371" s="404" t="inlineStr">
        <is>
          <t>Итого</t>
        </is>
      </c>
      <c r="I371" s="404" t="n"/>
      <c r="J371" s="404" t="n"/>
      <c r="K371" s="404" t="n">
        <v>212</v>
      </c>
      <c r="L371" s="404" t="n">
        <v>28</v>
      </c>
      <c r="M371" s="404" t="n">
        <v>0</v>
      </c>
      <c r="N371" s="404" t="inlineStr"/>
      <c r="O371" s="404" t="n">
        <v>0</v>
      </c>
      <c r="P371" s="404" t="n"/>
      <c r="Q371" s="404" t="n"/>
      <c r="R371" s="404" t="n"/>
      <c r="S371" s="404" t="n"/>
      <c r="T371" s="404" t="n"/>
      <c r="U371" s="404" t="n"/>
      <c r="V371" s="404" t="n"/>
      <c r="W371" s="404" t="n">
        <v>0</v>
      </c>
      <c r="X371" s="404" t="n">
        <v>1</v>
      </c>
      <c r="Y371" s="404" t="n">
        <v>0</v>
      </c>
      <c r="Z371" s="404" t="n"/>
      <c r="AA371" s="404" t="n"/>
      <c r="AB371" s="404" t="n"/>
    </row>
    <row r="372">
      <c r="A372" s="404" t="n">
        <v>50</v>
      </c>
      <c r="B372" s="404" t="n">
        <v>0</v>
      </c>
      <c r="C372" s="404" t="n">
        <v>0</v>
      </c>
      <c r="D372" s="404" t="n">
        <v>2</v>
      </c>
      <c r="E372" s="404" t="n">
        <v>0</v>
      </c>
      <c r="F372" s="404">
        <f>ROUND(F371*0.22,O372)</f>
        <v/>
      </c>
      <c r="G372" s="404" t="inlineStr">
        <is>
          <t>и2</t>
        </is>
      </c>
      <c r="H372" s="404" t="inlineStr">
        <is>
          <t>НДС 22%</t>
        </is>
      </c>
      <c r="I372" s="404" t="n"/>
      <c r="J372" s="404" t="n"/>
      <c r="K372" s="404" t="n">
        <v>212</v>
      </c>
      <c r="L372" s="404" t="n">
        <v>29</v>
      </c>
      <c r="M372" s="404" t="n">
        <v>0</v>
      </c>
      <c r="N372" s="404" t="inlineStr"/>
      <c r="O372" s="404" t="n">
        <v>0</v>
      </c>
      <c r="P372" s="404" t="n"/>
      <c r="Q372" s="404" t="n"/>
      <c r="R372" s="404" t="n"/>
      <c r="S372" s="404" t="n"/>
      <c r="T372" s="404" t="n"/>
      <c r="U372" s="404" t="n"/>
      <c r="V372" s="404" t="n"/>
      <c r="W372" s="404" t="n">
        <v>0</v>
      </c>
      <c r="X372" s="404" t="n">
        <v>1</v>
      </c>
      <c r="Y372" s="404" t="n">
        <v>0</v>
      </c>
      <c r="Z372" s="404" t="n"/>
      <c r="AA372" s="404" t="n"/>
      <c r="AB372" s="404" t="n"/>
    </row>
    <row r="373">
      <c r="A373" s="404" t="n">
        <v>50</v>
      </c>
      <c r="B373" s="404" t="n">
        <v>0</v>
      </c>
      <c r="C373" s="404" t="n">
        <v>0</v>
      </c>
      <c r="D373" s="404" t="n">
        <v>2</v>
      </c>
      <c r="E373" s="404" t="n">
        <v>213</v>
      </c>
      <c r="F373" s="404">
        <f>ROUND(F371+F372,O373)</f>
        <v/>
      </c>
      <c r="G373" s="404" t="inlineStr">
        <is>
          <t>и3</t>
        </is>
      </c>
      <c r="H373" s="404" t="inlineStr">
        <is>
          <t>Всего</t>
        </is>
      </c>
      <c r="I373" s="404" t="n"/>
      <c r="J373" s="404" t="n"/>
      <c r="K373" s="404" t="n">
        <v>212</v>
      </c>
      <c r="L373" s="404" t="n">
        <v>30</v>
      </c>
      <c r="M373" s="404" t="n">
        <v>0</v>
      </c>
      <c r="N373" s="404" t="inlineStr"/>
      <c r="O373" s="404" t="n">
        <v>0</v>
      </c>
      <c r="P373" s="404" t="n"/>
      <c r="Q373" s="404" t="n"/>
      <c r="R373" s="404" t="n"/>
      <c r="S373" s="404" t="n"/>
      <c r="T373" s="404" t="n"/>
      <c r="U373" s="404" t="n"/>
      <c r="V373" s="404" t="n"/>
      <c r="W373" s="404" t="n">
        <v>0</v>
      </c>
      <c r="X373" s="404" t="n">
        <v>1</v>
      </c>
      <c r="Y373" s="404" t="n">
        <v>0</v>
      </c>
      <c r="Z373" s="404" t="n"/>
      <c r="AA373" s="404" t="n"/>
      <c r="AB373" s="404" t="n"/>
    </row>
    <row r="374"/>
    <row r="375">
      <c r="A375" s="401" t="n">
        <v>3</v>
      </c>
      <c r="B375" s="401" t="n">
        <v>0</v>
      </c>
      <c r="C375" s="401" t="n"/>
      <c r="D375" s="401">
        <f>ROW(A387)</f>
        <v/>
      </c>
      <c r="E375" s="401" t="n"/>
      <c r="F375" s="401" t="inlineStr">
        <is>
          <t>Новая локальная смета</t>
        </is>
      </c>
      <c r="G375" s="401" t="inlineStr">
        <is>
          <t>Текстильщиков 12</t>
        </is>
      </c>
      <c r="H375" s="401" t="inlineStr"/>
      <c r="I375" s="401" t="n">
        <v>0</v>
      </c>
      <c r="J375" s="401" t="inlineStr"/>
      <c r="K375" s="401" t="n">
        <v>-1</v>
      </c>
      <c r="L375" s="401" t="inlineStr">
        <is>
          <t>Новая локальная смета</t>
        </is>
      </c>
      <c r="M375" s="401" t="inlineStr"/>
      <c r="N375" s="401" t="n"/>
      <c r="O375" s="401" t="n"/>
      <c r="P375" s="401" t="n"/>
      <c r="Q375" s="401" t="n"/>
      <c r="R375" s="401" t="n"/>
      <c r="S375" s="401" t="n">
        <v>0</v>
      </c>
      <c r="T375" s="401" t="n"/>
      <c r="U375" s="401" t="inlineStr"/>
      <c r="V375" s="401" t="n">
        <v>0</v>
      </c>
      <c r="W375" s="401" t="n"/>
      <c r="X375" s="401" t="n"/>
      <c r="Y375" s="401" t="n"/>
      <c r="Z375" s="401" t="n"/>
      <c r="AA375" s="401" t="n"/>
      <c r="AB375" s="401" t="inlineStr"/>
      <c r="AC375" s="401" t="inlineStr"/>
      <c r="AD375" s="401" t="inlineStr"/>
      <c r="AE375" s="401" t="inlineStr"/>
      <c r="AF375" s="401" t="inlineStr"/>
      <c r="AG375" s="401" t="inlineStr"/>
      <c r="AH375" s="401" t="n"/>
      <c r="AI375" s="401" t="n"/>
      <c r="AJ375" s="401" t="n"/>
      <c r="AK375" s="401" t="n"/>
      <c r="AL375" s="401" t="n"/>
      <c r="AM375" s="401" t="n"/>
      <c r="AN375" s="401" t="n"/>
      <c r="AO375" s="401" t="n"/>
      <c r="AP375" s="401" t="inlineStr"/>
      <c r="AQ375" s="401" t="inlineStr"/>
      <c r="AR375" s="401" t="inlineStr"/>
      <c r="AS375" s="401" t="n"/>
      <c r="AT375" s="401" t="n"/>
      <c r="AU375" s="401" t="n"/>
      <c r="AV375" s="401" t="n"/>
      <c r="AW375" s="401" t="n"/>
      <c r="AX375" s="401" t="n"/>
      <c r="AY375" s="401" t="n"/>
      <c r="AZ375" s="401" t="inlineStr"/>
      <c r="BA375" s="401" t="n"/>
      <c r="BB375" s="401" t="inlineStr"/>
      <c r="BC375" s="401" t="inlineStr"/>
      <c r="BD375" s="401" t="inlineStr"/>
      <c r="BE375" s="401" t="inlineStr"/>
      <c r="BF375" s="401" t="inlineStr"/>
      <c r="BG375" s="401" t="inlineStr"/>
      <c r="BH375" s="401" t="inlineStr"/>
      <c r="BI375" s="401" t="inlineStr"/>
      <c r="BJ375" s="401" t="inlineStr"/>
      <c r="BK375" s="401" t="inlineStr"/>
      <c r="BL375" s="401" t="inlineStr"/>
      <c r="BM375" s="401" t="inlineStr"/>
      <c r="BN375" s="401" t="inlineStr"/>
      <c r="BO375" s="401" t="inlineStr"/>
      <c r="BP375" s="401" t="inlineStr"/>
      <c r="BQ375" s="401" t="n"/>
      <c r="BR375" s="401" t="n"/>
      <c r="BS375" s="401" t="n"/>
      <c r="BT375" s="401" t="n"/>
      <c r="BU375" s="401" t="n"/>
      <c r="BV375" s="401" t="n"/>
      <c r="BW375" s="401" t="n"/>
      <c r="BX375" s="401" t="n">
        <v>0</v>
      </c>
      <c r="BY375" s="401" t="n"/>
      <c r="BZ375" s="401" t="n"/>
      <c r="CA375" s="401" t="n"/>
      <c r="CB375" s="401" t="n"/>
      <c r="CC375" s="401" t="n"/>
      <c r="CD375" s="401" t="n"/>
      <c r="CE375" s="401" t="n"/>
      <c r="CF375" s="401" t="n">
        <v>0</v>
      </c>
      <c r="CG375" s="401" t="n">
        <v>0</v>
      </c>
      <c r="CH375" s="401" t="n"/>
      <c r="CI375" s="401" t="inlineStr"/>
      <c r="CJ375" s="401" t="inlineStr"/>
      <c r="CK375" t="inlineStr"/>
      <c r="CL375" t="inlineStr"/>
      <c r="CM375" t="inlineStr"/>
      <c r="CN375" t="inlineStr"/>
      <c r="CO375" t="inlineStr"/>
      <c r="CP375" t="inlineStr"/>
      <c r="CQ375" t="inlineStr"/>
    </row>
    <row r="376"/>
    <row r="377">
      <c r="A377" s="402" t="n">
        <v>52</v>
      </c>
      <c r="B377" s="402">
        <f>B387</f>
        <v/>
      </c>
      <c r="C377" s="402">
        <f>C387</f>
        <v/>
      </c>
      <c r="D377" s="402">
        <f>D387</f>
        <v/>
      </c>
      <c r="E377" s="402">
        <f>E387</f>
        <v/>
      </c>
      <c r="F377" s="402">
        <f>F387</f>
        <v/>
      </c>
      <c r="G377" s="402">
        <f>G387</f>
        <v/>
      </c>
      <c r="H377" s="402" t="n"/>
      <c r="I377" s="402" t="n"/>
      <c r="J377" s="402" t="n"/>
      <c r="K377" s="402" t="n"/>
      <c r="L377" s="402" t="n"/>
      <c r="M377" s="402" t="n"/>
      <c r="N377" s="402" t="n"/>
      <c r="O377" s="402">
        <f>O387</f>
        <v/>
      </c>
      <c r="P377" s="402">
        <f>P387</f>
        <v/>
      </c>
      <c r="Q377" s="402">
        <f>Q387</f>
        <v/>
      </c>
      <c r="R377" s="402">
        <f>R387</f>
        <v/>
      </c>
      <c r="S377" s="402">
        <f>S387</f>
        <v/>
      </c>
      <c r="T377" s="402">
        <f>T387</f>
        <v/>
      </c>
      <c r="U377" s="402">
        <f>U387</f>
        <v/>
      </c>
      <c r="V377" s="402">
        <f>V387</f>
        <v/>
      </c>
      <c r="W377" s="402">
        <f>W387</f>
        <v/>
      </c>
      <c r="X377" s="402">
        <f>X387</f>
        <v/>
      </c>
      <c r="Y377" s="402">
        <f>Y387</f>
        <v/>
      </c>
      <c r="Z377" s="402">
        <f>Z387</f>
        <v/>
      </c>
      <c r="AA377" s="402">
        <f>AA387</f>
        <v/>
      </c>
      <c r="AB377" s="402">
        <f>AB387</f>
        <v/>
      </c>
      <c r="AC377" s="402">
        <f>AC387</f>
        <v/>
      </c>
      <c r="AD377" s="402">
        <f>AD387</f>
        <v/>
      </c>
      <c r="AE377" s="402">
        <f>AE387</f>
        <v/>
      </c>
      <c r="AF377" s="402">
        <f>AF387</f>
        <v/>
      </c>
      <c r="AG377" s="402">
        <f>AG387</f>
        <v/>
      </c>
      <c r="AH377" s="402">
        <f>AH387</f>
        <v/>
      </c>
      <c r="AI377" s="402">
        <f>AI387</f>
        <v/>
      </c>
      <c r="AJ377" s="402">
        <f>AJ387</f>
        <v/>
      </c>
      <c r="AK377" s="402">
        <f>AK387</f>
        <v/>
      </c>
      <c r="AL377" s="402">
        <f>AL387</f>
        <v/>
      </c>
      <c r="AM377" s="402">
        <f>AM387</f>
        <v/>
      </c>
      <c r="AN377" s="402">
        <f>AN387</f>
        <v/>
      </c>
      <c r="AO377" s="402">
        <f>AO387</f>
        <v/>
      </c>
      <c r="AP377" s="402">
        <f>AP387</f>
        <v/>
      </c>
      <c r="AQ377" s="402">
        <f>AQ387</f>
        <v/>
      </c>
      <c r="AR377" s="402">
        <f>AR387</f>
        <v/>
      </c>
      <c r="AS377" s="402">
        <f>AS387</f>
        <v/>
      </c>
      <c r="AT377" s="402">
        <f>AT387</f>
        <v/>
      </c>
      <c r="AU377" s="402">
        <f>AU387</f>
        <v/>
      </c>
      <c r="AV377" s="402">
        <f>AV387</f>
        <v/>
      </c>
      <c r="AW377" s="402">
        <f>AW387</f>
        <v/>
      </c>
      <c r="AX377" s="402">
        <f>AX387</f>
        <v/>
      </c>
      <c r="AY377" s="402">
        <f>AY387</f>
        <v/>
      </c>
      <c r="AZ377" s="402">
        <f>AZ387</f>
        <v/>
      </c>
      <c r="BA377" s="402">
        <f>BA387</f>
        <v/>
      </c>
      <c r="BB377" s="402">
        <f>BB387</f>
        <v/>
      </c>
      <c r="BC377" s="402">
        <f>BC387</f>
        <v/>
      </c>
      <c r="BD377" s="402">
        <f>BD387</f>
        <v/>
      </c>
      <c r="BE377" s="402">
        <f>BE387</f>
        <v/>
      </c>
      <c r="BF377" s="402">
        <f>BF387</f>
        <v/>
      </c>
      <c r="BG377" s="402">
        <f>BG387</f>
        <v/>
      </c>
      <c r="BH377" s="402">
        <f>BH387</f>
        <v/>
      </c>
      <c r="BI377" s="402">
        <f>BI387</f>
        <v/>
      </c>
      <c r="BJ377" s="402">
        <f>BJ387</f>
        <v/>
      </c>
      <c r="BK377" s="402">
        <f>BK387</f>
        <v/>
      </c>
      <c r="BL377" s="402">
        <f>BL387</f>
        <v/>
      </c>
      <c r="BM377" s="402">
        <f>BM387</f>
        <v/>
      </c>
      <c r="BN377" s="402">
        <f>BN387</f>
        <v/>
      </c>
      <c r="BO377" s="402">
        <f>BO387</f>
        <v/>
      </c>
      <c r="BP377" s="402">
        <f>BP387</f>
        <v/>
      </c>
      <c r="BQ377" s="402">
        <f>BQ387</f>
        <v/>
      </c>
      <c r="BR377" s="402">
        <f>BR387</f>
        <v/>
      </c>
      <c r="BS377" s="402">
        <f>BS387</f>
        <v/>
      </c>
      <c r="BT377" s="402">
        <f>BT387</f>
        <v/>
      </c>
      <c r="BU377" s="402">
        <f>BU387</f>
        <v/>
      </c>
      <c r="BV377" s="402">
        <f>BV387</f>
        <v/>
      </c>
      <c r="BW377" s="402">
        <f>BW387</f>
        <v/>
      </c>
      <c r="BX377" s="402">
        <f>BX387</f>
        <v/>
      </c>
      <c r="BY377" s="402">
        <f>BY387</f>
        <v/>
      </c>
      <c r="BZ377" s="402">
        <f>BZ387</f>
        <v/>
      </c>
      <c r="CA377" s="402">
        <f>CA387</f>
        <v/>
      </c>
      <c r="CB377" s="402">
        <f>CB387</f>
        <v/>
      </c>
      <c r="CC377" s="402">
        <f>CC387</f>
        <v/>
      </c>
      <c r="CD377" s="402">
        <f>CD387</f>
        <v/>
      </c>
      <c r="CE377" s="402">
        <f>CE387</f>
        <v/>
      </c>
      <c r="CF377" s="402">
        <f>CF387</f>
        <v/>
      </c>
      <c r="CG377" s="402">
        <f>CG387</f>
        <v/>
      </c>
      <c r="CH377" s="402">
        <f>CH387</f>
        <v/>
      </c>
      <c r="CI377" s="402">
        <f>CI387</f>
        <v/>
      </c>
      <c r="CJ377" s="402">
        <f>CJ387</f>
        <v/>
      </c>
      <c r="CK377" s="402">
        <f>CK387</f>
        <v/>
      </c>
      <c r="CL377" s="402">
        <f>CL387</f>
        <v/>
      </c>
      <c r="CM377" s="402">
        <f>CM387</f>
        <v/>
      </c>
      <c r="CN377" s="402">
        <f>CN387</f>
        <v/>
      </c>
      <c r="CO377" s="402">
        <f>CO387</f>
        <v/>
      </c>
      <c r="CP377" s="402">
        <f>CP387</f>
        <v/>
      </c>
      <c r="CQ377" s="402">
        <f>CQ387</f>
        <v/>
      </c>
      <c r="CR377" s="402">
        <f>CR387</f>
        <v/>
      </c>
      <c r="CS377" s="402">
        <f>CS387</f>
        <v/>
      </c>
      <c r="CT377" s="402">
        <f>CT387</f>
        <v/>
      </c>
      <c r="CU377" s="402">
        <f>CU387</f>
        <v/>
      </c>
      <c r="CV377" s="402">
        <f>CV387</f>
        <v/>
      </c>
      <c r="CW377" s="402">
        <f>CW387</f>
        <v/>
      </c>
      <c r="CX377" s="402">
        <f>CX387</f>
        <v/>
      </c>
      <c r="CY377" s="402">
        <f>CY387</f>
        <v/>
      </c>
      <c r="CZ377" s="402">
        <f>CZ387</f>
        <v/>
      </c>
      <c r="DA377" s="402">
        <f>DA387</f>
        <v/>
      </c>
      <c r="DB377" s="402">
        <f>DB387</f>
        <v/>
      </c>
      <c r="DC377" s="402">
        <f>DC387</f>
        <v/>
      </c>
      <c r="DD377" s="402">
        <f>DD387</f>
        <v/>
      </c>
      <c r="DE377" s="402">
        <f>DE387</f>
        <v/>
      </c>
      <c r="DF377" s="402">
        <f>DF387</f>
        <v/>
      </c>
      <c r="DG377" s="403">
        <f>DG387</f>
        <v/>
      </c>
      <c r="DH377" s="403">
        <f>DH387</f>
        <v/>
      </c>
      <c r="DI377" s="403">
        <f>DI387</f>
        <v/>
      </c>
      <c r="DJ377" s="403">
        <f>DJ387</f>
        <v/>
      </c>
      <c r="DK377" s="403">
        <f>DK387</f>
        <v/>
      </c>
      <c r="DL377" s="403">
        <f>DL387</f>
        <v/>
      </c>
      <c r="DM377" s="403">
        <f>DM387</f>
        <v/>
      </c>
      <c r="DN377" s="403">
        <f>DN387</f>
        <v/>
      </c>
      <c r="DO377" s="403">
        <f>DO387</f>
        <v/>
      </c>
      <c r="DP377" s="403">
        <f>DP387</f>
        <v/>
      </c>
      <c r="DQ377" s="403">
        <f>DQ387</f>
        <v/>
      </c>
      <c r="DR377" s="403">
        <f>DR387</f>
        <v/>
      </c>
      <c r="DS377" s="403">
        <f>DS387</f>
        <v/>
      </c>
      <c r="DT377" s="403">
        <f>DT387</f>
        <v/>
      </c>
      <c r="DU377" s="403">
        <f>DU387</f>
        <v/>
      </c>
      <c r="DV377" s="403">
        <f>DV387</f>
        <v/>
      </c>
      <c r="DW377" s="403">
        <f>DW387</f>
        <v/>
      </c>
      <c r="DX377" s="403">
        <f>DX387</f>
        <v/>
      </c>
      <c r="DY377" s="403">
        <f>DY387</f>
        <v/>
      </c>
      <c r="DZ377" s="403">
        <f>DZ387</f>
        <v/>
      </c>
      <c r="EA377" s="403">
        <f>EA387</f>
        <v/>
      </c>
      <c r="EB377" s="403">
        <f>EB387</f>
        <v/>
      </c>
      <c r="EC377" s="403">
        <f>EC387</f>
        <v/>
      </c>
      <c r="ED377" s="403">
        <f>ED387</f>
        <v/>
      </c>
      <c r="EE377" s="403">
        <f>EE387</f>
        <v/>
      </c>
      <c r="EF377" s="403">
        <f>EF387</f>
        <v/>
      </c>
      <c r="EG377" s="403">
        <f>EG387</f>
        <v/>
      </c>
      <c r="EH377" s="403">
        <f>EH387</f>
        <v/>
      </c>
      <c r="EI377" s="403">
        <f>EI387</f>
        <v/>
      </c>
      <c r="EJ377" s="403">
        <f>EJ387</f>
        <v/>
      </c>
      <c r="EK377" s="403">
        <f>EK387</f>
        <v/>
      </c>
      <c r="EL377" s="403">
        <f>EL387</f>
        <v/>
      </c>
      <c r="EM377" s="403">
        <f>EM387</f>
        <v/>
      </c>
      <c r="EN377" s="403">
        <f>EN387</f>
        <v/>
      </c>
      <c r="EO377" s="403">
        <f>EO387</f>
        <v/>
      </c>
      <c r="EP377" s="403">
        <f>EP387</f>
        <v/>
      </c>
      <c r="EQ377" s="403">
        <f>EQ387</f>
        <v/>
      </c>
      <c r="ER377" s="403">
        <f>ER387</f>
        <v/>
      </c>
      <c r="ES377" s="403">
        <f>ES387</f>
        <v/>
      </c>
      <c r="ET377" s="403">
        <f>ET387</f>
        <v/>
      </c>
      <c r="EU377" s="403">
        <f>EU387</f>
        <v/>
      </c>
      <c r="EV377" s="403">
        <f>EV387</f>
        <v/>
      </c>
      <c r="EW377" s="403">
        <f>EW387</f>
        <v/>
      </c>
      <c r="EX377" s="403">
        <f>EX387</f>
        <v/>
      </c>
      <c r="EY377" s="403">
        <f>EY387</f>
        <v/>
      </c>
      <c r="EZ377" s="403">
        <f>EZ387</f>
        <v/>
      </c>
      <c r="FA377" s="403">
        <f>FA387</f>
        <v/>
      </c>
      <c r="FB377" s="403">
        <f>FB387</f>
        <v/>
      </c>
      <c r="FC377" s="403">
        <f>FC387</f>
        <v/>
      </c>
      <c r="FD377" s="403">
        <f>FD387</f>
        <v/>
      </c>
      <c r="FE377" s="403">
        <f>FE387</f>
        <v/>
      </c>
      <c r="FF377" s="403">
        <f>FF387</f>
        <v/>
      </c>
      <c r="FG377" s="403">
        <f>FG387</f>
        <v/>
      </c>
      <c r="FH377" s="403">
        <f>FH387</f>
        <v/>
      </c>
      <c r="FI377" s="403">
        <f>FI387</f>
        <v/>
      </c>
      <c r="FJ377" s="403">
        <f>FJ387</f>
        <v/>
      </c>
      <c r="FK377" s="403">
        <f>FK387</f>
        <v/>
      </c>
      <c r="FL377" s="403">
        <f>FL387</f>
        <v/>
      </c>
      <c r="FM377" s="403">
        <f>FM387</f>
        <v/>
      </c>
      <c r="FN377" s="403">
        <f>FN387</f>
        <v/>
      </c>
      <c r="FO377" s="403">
        <f>FO387</f>
        <v/>
      </c>
      <c r="FP377" s="403">
        <f>FP387</f>
        <v/>
      </c>
      <c r="FQ377" s="403">
        <f>FQ387</f>
        <v/>
      </c>
      <c r="FR377" s="403">
        <f>FR387</f>
        <v/>
      </c>
      <c r="FS377" s="403">
        <f>FS387</f>
        <v/>
      </c>
      <c r="FT377" s="403">
        <f>FT387</f>
        <v/>
      </c>
      <c r="FU377" s="403">
        <f>FU387</f>
        <v/>
      </c>
      <c r="FV377" s="403">
        <f>FV387</f>
        <v/>
      </c>
      <c r="FW377" s="403">
        <f>FW387</f>
        <v/>
      </c>
      <c r="FX377" s="403">
        <f>FX387</f>
        <v/>
      </c>
      <c r="FY377" s="403">
        <f>FY387</f>
        <v/>
      </c>
      <c r="FZ377" s="403">
        <f>FZ387</f>
        <v/>
      </c>
      <c r="GA377" s="403">
        <f>GA387</f>
        <v/>
      </c>
      <c r="GB377" s="403">
        <f>GB387</f>
        <v/>
      </c>
      <c r="GC377" s="403">
        <f>GC387</f>
        <v/>
      </c>
      <c r="GD377" s="403">
        <f>GD387</f>
        <v/>
      </c>
      <c r="GE377" s="403">
        <f>GE387</f>
        <v/>
      </c>
      <c r="GF377" s="403">
        <f>GF387</f>
        <v/>
      </c>
      <c r="GG377" s="403">
        <f>GG387</f>
        <v/>
      </c>
      <c r="GH377" s="403">
        <f>GH387</f>
        <v/>
      </c>
      <c r="GI377" s="403">
        <f>GI387</f>
        <v/>
      </c>
      <c r="GJ377" s="403">
        <f>GJ387</f>
        <v/>
      </c>
      <c r="GK377" s="403">
        <f>GK387</f>
        <v/>
      </c>
      <c r="GL377" s="403">
        <f>GL387</f>
        <v/>
      </c>
      <c r="GM377" s="403">
        <f>GM387</f>
        <v/>
      </c>
      <c r="GN377" s="403">
        <f>GN387</f>
        <v/>
      </c>
      <c r="GO377" s="403">
        <f>GO387</f>
        <v/>
      </c>
      <c r="GP377" s="403">
        <f>GP387</f>
        <v/>
      </c>
      <c r="GQ377" s="403">
        <f>GQ387</f>
        <v/>
      </c>
      <c r="GR377" s="403">
        <f>GR387</f>
        <v/>
      </c>
      <c r="GS377" s="403">
        <f>GS387</f>
        <v/>
      </c>
      <c r="GT377" s="403">
        <f>GT387</f>
        <v/>
      </c>
      <c r="GU377" s="403">
        <f>GU387</f>
        <v/>
      </c>
      <c r="GV377" s="403">
        <f>GV387</f>
        <v/>
      </c>
      <c r="GW377" s="403">
        <f>GW387</f>
        <v/>
      </c>
      <c r="GX377" s="403">
        <f>GX387</f>
        <v/>
      </c>
    </row>
    <row r="378"/>
    <row r="379">
      <c r="A379" t="n">
        <v>17</v>
      </c>
      <c r="B379" t="n">
        <v>0</v>
      </c>
      <c r="C379">
        <f>ROW(SmtRes!A181)</f>
        <v/>
      </c>
      <c r="D379">
        <f>ROW(EtalonRes!A169)</f>
        <v/>
      </c>
      <c r="E379" t="inlineStr">
        <is>
          <t>1</t>
        </is>
      </c>
      <c r="F379" t="inlineStr">
        <is>
          <t>65-10-1</t>
        </is>
      </c>
      <c r="G379" t="inlineStr">
        <is>
          <t>Очистка канализационной сети внутренней</t>
        </is>
      </c>
      <c r="H379" t="inlineStr">
        <is>
          <t>100 м трубопровода</t>
        </is>
      </c>
      <c r="I379">
        <f>ROUND(ROUND(70/100,4),7)</f>
        <v/>
      </c>
      <c r="J379" t="n">
        <v>0</v>
      </c>
      <c r="K379">
        <f>ROUND(ROUND(70/100,4),7)</f>
        <v/>
      </c>
      <c r="O379">
        <f>ROUND(CP379,0)</f>
        <v/>
      </c>
      <c r="P379">
        <f>ROUND(CQ379*I379,0)</f>
        <v/>
      </c>
      <c r="Q379">
        <f>(ROUND((ROUND(((ET379)*I379),0)*BB379),0)+ROUND((ROUND(((AE379-(EU379))*I379),0)*BS379),0))</f>
        <v/>
      </c>
      <c r="R379">
        <f>(ROUND((ROUND(((EU379)*I379),0)*BS379),0)+ROUND((ROUND(((AE379-(EU379))*I379),0)*BS379),0))</f>
        <v/>
      </c>
      <c r="S379">
        <f>ROUND(CT379*I379,0)</f>
        <v/>
      </c>
      <c r="T379">
        <f>ROUND(CU379*I379,0)</f>
        <v/>
      </c>
      <c r="U379">
        <f>ROUND(CV379*I379,7)</f>
        <v/>
      </c>
      <c r="V379">
        <f>ROUND(CW379*I379,7)</f>
        <v/>
      </c>
      <c r="W379">
        <f>ROUND(CX379*I379,0)</f>
        <v/>
      </c>
      <c r="X379">
        <f>ROUND(CY379,0)</f>
        <v/>
      </c>
      <c r="Y379">
        <f>ROUND(CZ379,0)</f>
        <v/>
      </c>
      <c r="AA379" t="n">
        <v>78869116</v>
      </c>
      <c r="AB379">
        <f>ROUND((AC379+AD379+AF379),2)</f>
        <v/>
      </c>
      <c r="AC379">
        <f>ROUND((ES379),2)</f>
        <v/>
      </c>
      <c r="AD379">
        <f>ROUND((((ET379)-(EU379))+AE379),2)</f>
        <v/>
      </c>
      <c r="AE379">
        <f>ROUND((EU379),2)</f>
        <v/>
      </c>
      <c r="AF379">
        <f>ROUND((EV379),2)</f>
        <v/>
      </c>
      <c r="AG379">
        <f>ROUND((AP379),2)</f>
        <v/>
      </c>
      <c r="AH379">
        <f>(EW379)</f>
        <v/>
      </c>
      <c r="AI379">
        <f>(EX379)</f>
        <v/>
      </c>
      <c r="AJ379">
        <f>(AS379)</f>
        <v/>
      </c>
      <c r="AK379" t="n">
        <v>403.3</v>
      </c>
      <c r="AL379" t="n">
        <v>139.36</v>
      </c>
      <c r="AM379" t="n">
        <v>0.87</v>
      </c>
      <c r="AN379" t="n">
        <v>0</v>
      </c>
      <c r="AO379" t="n">
        <v>263.07</v>
      </c>
      <c r="AP379" t="n">
        <v>0</v>
      </c>
      <c r="AQ379" t="n">
        <v>32.2</v>
      </c>
      <c r="AR379" t="n">
        <v>0</v>
      </c>
      <c r="AS379" t="n">
        <v>0</v>
      </c>
      <c r="AT379" t="n">
        <v>103</v>
      </c>
      <c r="AU379" t="n">
        <v>52</v>
      </c>
      <c r="AV379" t="n">
        <v>1</v>
      </c>
      <c r="AW379" t="n">
        <v>1</v>
      </c>
      <c r="AZ379" t="n">
        <v>1</v>
      </c>
      <c r="BA379" t="n">
        <v>52.25</v>
      </c>
      <c r="BB379" t="n">
        <v>25.03</v>
      </c>
      <c r="BC379" t="n">
        <v>11.85</v>
      </c>
      <c r="BD379" t="inlineStr"/>
      <c r="BE379" t="inlineStr"/>
      <c r="BF379" t="inlineStr"/>
      <c r="BG379" t="inlineStr"/>
      <c r="BH379" t="n">
        <v>0</v>
      </c>
      <c r="BI379" t="n">
        <v>1</v>
      </c>
      <c r="BJ379" t="inlineStr">
        <is>
          <t>ТЕРр Московской обл., 65-10-1, приказ Минстроя России №675/пр от 28.02.2017 № 263/пр</t>
        </is>
      </c>
      <c r="BM379" t="n">
        <v>65007</v>
      </c>
      <c r="BN379" t="n">
        <v>0</v>
      </c>
      <c r="BO379" t="inlineStr">
        <is>
          <t>65-10-1</t>
        </is>
      </c>
      <c r="BP379" t="n">
        <v>1</v>
      </c>
      <c r="BQ379" t="n">
        <v>6</v>
      </c>
      <c r="BR379" t="n">
        <v>0</v>
      </c>
      <c r="BS379" t="n">
        <v>52.25</v>
      </c>
      <c r="BT379" t="n">
        <v>1</v>
      </c>
      <c r="BU379" t="n">
        <v>1</v>
      </c>
      <c r="BV379" t="n">
        <v>1</v>
      </c>
      <c r="BW379" t="n">
        <v>1</v>
      </c>
      <c r="BX379" t="n">
        <v>1</v>
      </c>
      <c r="BY379" t="inlineStr"/>
      <c r="BZ379" t="n">
        <v>103</v>
      </c>
      <c r="CA379" t="n">
        <v>52</v>
      </c>
      <c r="CB379" t="inlineStr"/>
      <c r="CE379" t="n">
        <v>12</v>
      </c>
      <c r="CF379" t="n">
        <v>0</v>
      </c>
      <c r="CG379" t="n">
        <v>0</v>
      </c>
      <c r="CM379" t="n">
        <v>0</v>
      </c>
      <c r="CN379" t="inlineStr"/>
      <c r="CO379" t="n">
        <v>0</v>
      </c>
      <c r="CP379">
        <f>(P379+Q379+S379)</f>
        <v/>
      </c>
      <c r="CQ379">
        <f>AC379*BC379</f>
        <v/>
      </c>
      <c r="CR379">
        <f>(ROUND((ROUND(((ET379)*1),0)*BB379),0)+ROUND((ROUND(((AE379-(EU379))*1),0)*BS379),0))</f>
        <v/>
      </c>
      <c r="CS379">
        <f>(ROUND((ROUND(((EU379)*1),0)*BS379),0)+ROUND((ROUND(((AE379-(EU379))*1),0)*BS379),0))</f>
        <v/>
      </c>
      <c r="CT379">
        <f>AF379*BA379</f>
        <v/>
      </c>
      <c r="CU379">
        <f>AG379</f>
        <v/>
      </c>
      <c r="CV379">
        <f>AH379</f>
        <v/>
      </c>
      <c r="CW379">
        <f>AI379</f>
        <v/>
      </c>
      <c r="CX379">
        <f>AJ379</f>
        <v/>
      </c>
      <c r="CY379">
        <f>(((S379+R379)*AT379)/100)</f>
        <v/>
      </c>
      <c r="CZ379">
        <f>(((S379+R379)*AU379)/100)</f>
        <v/>
      </c>
      <c r="DC379" t="inlineStr"/>
      <c r="DD379" t="inlineStr"/>
      <c r="DE379" t="inlineStr"/>
      <c r="DF379" t="inlineStr"/>
      <c r="DG379" t="inlineStr"/>
      <c r="DH379" t="inlineStr"/>
      <c r="DI379" t="inlineStr"/>
      <c r="DJ379" t="inlineStr"/>
      <c r="DK379" t="inlineStr"/>
      <c r="DL379" t="inlineStr"/>
      <c r="DM379" t="inlineStr"/>
      <c r="DN379" t="n">
        <v>0</v>
      </c>
      <c r="DO379" t="n">
        <v>0</v>
      </c>
      <c r="DP379" t="n">
        <v>1</v>
      </c>
      <c r="DQ379" t="n">
        <v>1</v>
      </c>
      <c r="DU379" t="n">
        <v>1013</v>
      </c>
      <c r="DV379" t="inlineStr">
        <is>
          <t>100 м трубопровода</t>
        </is>
      </c>
      <c r="DW379" t="inlineStr">
        <is>
          <t>100 м трубопровода</t>
        </is>
      </c>
      <c r="DX379" t="n">
        <v>1</v>
      </c>
      <c r="DZ379" t="inlineStr"/>
      <c r="EA379" t="inlineStr"/>
      <c r="EB379" t="inlineStr"/>
      <c r="EC379" t="inlineStr"/>
      <c r="EE379" t="n">
        <v>78726000</v>
      </c>
      <c r="EF379" t="n">
        <v>6</v>
      </c>
      <c r="EG379" t="inlineStr">
        <is>
          <t>Ремонтно-строительные работы</t>
        </is>
      </c>
      <c r="EH379" t="n">
        <v>99</v>
      </c>
      <c r="EI379" t="inlineStr">
        <is>
          <t>Внутренние санитарно-технические работы</t>
        </is>
      </c>
      <c r="EJ379" t="n">
        <v>1</v>
      </c>
      <c r="EK379" t="n">
        <v>65007</v>
      </c>
      <c r="EL379" t="inlineStr">
        <is>
          <t>Внутренние санитарнотехнические работы: смена труб, санприборов, запорной арматуры и другое</t>
        </is>
      </c>
      <c r="EM379" t="inlineStr">
        <is>
          <t>рФЕР-65</t>
        </is>
      </c>
      <c r="EO379" t="inlineStr"/>
      <c r="EQ379" t="n">
        <v>0</v>
      </c>
      <c r="ER379" t="n">
        <v>403.3</v>
      </c>
      <c r="ES379" t="n">
        <v>139.36</v>
      </c>
      <c r="ET379" t="n">
        <v>0.87</v>
      </c>
      <c r="EU379" t="n">
        <v>0</v>
      </c>
      <c r="EV379" t="n">
        <v>263.07</v>
      </c>
      <c r="EW379" t="n">
        <v>32.2</v>
      </c>
      <c r="EX379" t="n">
        <v>0</v>
      </c>
      <c r="EY379" t="n">
        <v>0</v>
      </c>
      <c r="FQ379" t="n">
        <v>0</v>
      </c>
      <c r="FR379" t="n">
        <v>0</v>
      </c>
      <c r="FS379" t="n">
        <v>0</v>
      </c>
      <c r="FX379" t="n">
        <v>103</v>
      </c>
      <c r="FY379" t="n">
        <v>52</v>
      </c>
      <c r="GA379" t="inlineStr"/>
      <c r="GD379" t="n">
        <v>1</v>
      </c>
      <c r="GF379" t="n">
        <v>-66904957</v>
      </c>
      <c r="GG379" t="n">
        <v>2</v>
      </c>
      <c r="GH379" t="n">
        <v>1</v>
      </c>
      <c r="GI379" t="n">
        <v>2</v>
      </c>
      <c r="GJ379" t="n">
        <v>0</v>
      </c>
      <c r="GK379" t="n">
        <v>0</v>
      </c>
      <c r="GL379">
        <f>ROUND(IF(AND(BH379=3,BI379=3,FS379&lt;&gt;0),P379,0),0)</f>
        <v/>
      </c>
      <c r="GM379">
        <f>ROUND(O379+X379+Y379,0)+GX379</f>
        <v/>
      </c>
      <c r="GN379">
        <f>IF(OR(BI379=0,BI379=1),GM379-GX379,0)</f>
        <v/>
      </c>
      <c r="GO379">
        <f>IF(BI379=2,GM379-GX379,0)</f>
        <v/>
      </c>
      <c r="GP379">
        <f>IF(BI379=4,GM379-GX379,0)</f>
        <v/>
      </c>
      <c r="GR379" t="n">
        <v>0</v>
      </c>
      <c r="GS379" t="n">
        <v>3</v>
      </c>
      <c r="GT379" t="n">
        <v>0</v>
      </c>
      <c r="GU379" t="inlineStr"/>
      <c r="GV379">
        <f>ROUND((GT379),2)</f>
        <v/>
      </c>
      <c r="GW379" t="n">
        <v>1</v>
      </c>
      <c r="GX379">
        <f>ROUND(HC379*I379,0)</f>
        <v/>
      </c>
      <c r="HA379" t="n">
        <v>0</v>
      </c>
      <c r="HB379" t="n">
        <v>0</v>
      </c>
      <c r="HC379">
        <f>GV379*GW379</f>
        <v/>
      </c>
      <c r="HE379" t="inlineStr"/>
      <c r="HF379" t="inlineStr"/>
      <c r="HM379" t="inlineStr"/>
      <c r="HN379" t="inlineStr">
        <is>
          <t>Пр/812-099.2-1</t>
        </is>
      </c>
      <c r="HO379" t="inlineStr">
        <is>
          <t>Пр/774-099.2</t>
        </is>
      </c>
      <c r="HP379" t="inlineStr">
        <is>
          <t>Внутренние санитарнотехнические работы: смена труб, санприборов, запорной арматуры и другое</t>
        </is>
      </c>
      <c r="HQ379" t="inlineStr">
        <is>
          <t>Внутренние санитарнотехнические работы: смена труб, санприборов, запорной арматуры и другое</t>
        </is>
      </c>
      <c r="HS379" t="n">
        <v>0</v>
      </c>
      <c r="IK379" t="n">
        <v>0</v>
      </c>
    </row>
    <row r="380">
      <c r="A380" t="n">
        <v>17</v>
      </c>
      <c r="B380" t="n">
        <v>0</v>
      </c>
      <c r="C380">
        <f>ROW(SmtRes!A184)</f>
        <v/>
      </c>
      <c r="D380">
        <f>ROW(EtalonRes!A171)</f>
        <v/>
      </c>
      <c r="E380" t="inlineStr">
        <is>
          <t>2</t>
        </is>
      </c>
      <c r="F380" t="inlineStr">
        <is>
          <t>67-5-2</t>
        </is>
      </c>
      <c r="G380" t="inlineStr">
        <is>
          <t>Смена ламп люминесцентных</t>
        </is>
      </c>
      <c r="H380" t="inlineStr">
        <is>
          <t>100 шт.</t>
        </is>
      </c>
      <c r="I380">
        <f>ROUND(ROUND(3/100,4),7)</f>
        <v/>
      </c>
      <c r="J380" t="n">
        <v>0</v>
      </c>
      <c r="K380">
        <f>ROUND(ROUND(3/100,4),7)</f>
        <v/>
      </c>
      <c r="O380">
        <f>ROUND(CP380,0)</f>
        <v/>
      </c>
      <c r="P380">
        <f>ROUND(CQ380*I380,0)</f>
        <v/>
      </c>
      <c r="Q380">
        <f>(ROUND((ROUND(((ET380)*I380),0)*BB380),0)+ROUND((ROUND(((AE380-(EU380))*I380),0)*BS380),0))</f>
        <v/>
      </c>
      <c r="R380">
        <f>(ROUND((ROUND(((EU380)*I380),0)*BS380),0)+ROUND((ROUND(((AE380-(EU380))*I380),0)*BS380),0))</f>
        <v/>
      </c>
      <c r="S380">
        <f>ROUND(CT380*I380,0)</f>
        <v/>
      </c>
      <c r="T380">
        <f>ROUND(CU380*I380,0)</f>
        <v/>
      </c>
      <c r="U380">
        <f>ROUND(CV380*I380,7)</f>
        <v/>
      </c>
      <c r="V380">
        <f>ROUND(CW380*I380,7)</f>
        <v/>
      </c>
      <c r="W380">
        <f>ROUND(CX380*I380,0)</f>
        <v/>
      </c>
      <c r="X380">
        <f>ROUND(CY380,0)</f>
        <v/>
      </c>
      <c r="Y380">
        <f>ROUND(CZ380,0)</f>
        <v/>
      </c>
      <c r="AA380" t="n">
        <v>78869116</v>
      </c>
      <c r="AB380">
        <f>ROUND((AC380+AD380+AF380),2)</f>
        <v/>
      </c>
      <c r="AC380">
        <f>ROUND((ES380),2)</f>
        <v/>
      </c>
      <c r="AD380">
        <f>ROUND((((ET380)-(EU380))+AE380),2)</f>
        <v/>
      </c>
      <c r="AE380">
        <f>ROUND((EU380),2)</f>
        <v/>
      </c>
      <c r="AF380">
        <f>ROUND((EV380),2)</f>
        <v/>
      </c>
      <c r="AG380">
        <f>ROUND((AP380),2)</f>
        <v/>
      </c>
      <c r="AH380">
        <f>(EW380)</f>
        <v/>
      </c>
      <c r="AI380">
        <f>(EX380)</f>
        <v/>
      </c>
      <c r="AJ380">
        <f>(AS380)</f>
        <v/>
      </c>
      <c r="AK380" t="n">
        <v>970.5700000000001</v>
      </c>
      <c r="AL380" t="n">
        <v>852</v>
      </c>
      <c r="AM380" t="n">
        <v>0</v>
      </c>
      <c r="AN380" t="n">
        <v>0</v>
      </c>
      <c r="AO380" t="n">
        <v>118.57</v>
      </c>
      <c r="AP380" t="n">
        <v>0</v>
      </c>
      <c r="AQ380" t="n">
        <v>13.9</v>
      </c>
      <c r="AR380" t="n">
        <v>0</v>
      </c>
      <c r="AS380" t="n">
        <v>0</v>
      </c>
      <c r="AT380" t="n">
        <v>91</v>
      </c>
      <c r="AU380" t="n">
        <v>48</v>
      </c>
      <c r="AV380" t="n">
        <v>1</v>
      </c>
      <c r="AW380" t="n">
        <v>1</v>
      </c>
      <c r="AZ380" t="n">
        <v>1</v>
      </c>
      <c r="BA380" t="n">
        <v>52.25</v>
      </c>
      <c r="BB380" t="n">
        <v>1</v>
      </c>
      <c r="BC380" t="n">
        <v>4.14</v>
      </c>
      <c r="BD380" t="inlineStr"/>
      <c r="BE380" t="inlineStr"/>
      <c r="BF380" t="inlineStr"/>
      <c r="BG380" t="inlineStr"/>
      <c r="BH380" t="n">
        <v>0</v>
      </c>
      <c r="BI380" t="n">
        <v>1</v>
      </c>
      <c r="BJ380" t="inlineStr">
        <is>
          <t>ТЕРр Московской обл., 67-5-2, приказ Минстроя России №675/пр от 28.02.2017 № 263/пр</t>
        </is>
      </c>
      <c r="BM380" t="n">
        <v>67001</v>
      </c>
      <c r="BN380" t="n">
        <v>0</v>
      </c>
      <c r="BO380" t="inlineStr">
        <is>
          <t>67-5-2</t>
        </is>
      </c>
      <c r="BP380" t="n">
        <v>1</v>
      </c>
      <c r="BQ380" t="n">
        <v>6</v>
      </c>
      <c r="BR380" t="n">
        <v>0</v>
      </c>
      <c r="BS380" t="n">
        <v>52.25</v>
      </c>
      <c r="BT380" t="n">
        <v>1</v>
      </c>
      <c r="BU380" t="n">
        <v>1</v>
      </c>
      <c r="BV380" t="n">
        <v>1</v>
      </c>
      <c r="BW380" t="n">
        <v>1</v>
      </c>
      <c r="BX380" t="n">
        <v>1</v>
      </c>
      <c r="BY380" t="inlineStr"/>
      <c r="BZ380" t="n">
        <v>91</v>
      </c>
      <c r="CA380" t="n">
        <v>48</v>
      </c>
      <c r="CB380" t="inlineStr"/>
      <c r="CE380" t="n">
        <v>12</v>
      </c>
      <c r="CF380" t="n">
        <v>0</v>
      </c>
      <c r="CG380" t="n">
        <v>0</v>
      </c>
      <c r="CM380" t="n">
        <v>0</v>
      </c>
      <c r="CN380" t="inlineStr"/>
      <c r="CO380" t="n">
        <v>0</v>
      </c>
      <c r="CP380">
        <f>(P380+Q380+S380)</f>
        <v/>
      </c>
      <c r="CQ380">
        <f>AC380*BC380</f>
        <v/>
      </c>
      <c r="CR380">
        <f>(ROUND((ROUND(((ET380)*1),0)*BB380),0)+ROUND((ROUND(((AE380-(EU380))*1),0)*BS380),0))</f>
        <v/>
      </c>
      <c r="CS380">
        <f>(ROUND((ROUND(((EU380)*1),0)*BS380),0)+ROUND((ROUND(((AE380-(EU380))*1),0)*BS380),0))</f>
        <v/>
      </c>
      <c r="CT380">
        <f>AF380*BA380</f>
        <v/>
      </c>
      <c r="CU380">
        <f>AG380</f>
        <v/>
      </c>
      <c r="CV380">
        <f>AH380</f>
        <v/>
      </c>
      <c r="CW380">
        <f>AI380</f>
        <v/>
      </c>
      <c r="CX380">
        <f>AJ380</f>
        <v/>
      </c>
      <c r="CY380">
        <f>(((S380+R380)*AT380)/100)</f>
        <v/>
      </c>
      <c r="CZ380">
        <f>(((S380+R380)*AU380)/100)</f>
        <v/>
      </c>
      <c r="DC380" t="inlineStr"/>
      <c r="DD380" t="inlineStr"/>
      <c r="DE380" t="inlineStr"/>
      <c r="DF380" t="inlineStr"/>
      <c r="DG380" t="inlineStr"/>
      <c r="DH380" t="inlineStr"/>
      <c r="DI380" t="inlineStr"/>
      <c r="DJ380" t="inlineStr"/>
      <c r="DK380" t="inlineStr"/>
      <c r="DL380" t="inlineStr"/>
      <c r="DM380" t="inlineStr"/>
      <c r="DN380" t="n">
        <v>0</v>
      </c>
      <c r="DO380" t="n">
        <v>0</v>
      </c>
      <c r="DP380" t="n">
        <v>1</v>
      </c>
      <c r="DQ380" t="n">
        <v>1</v>
      </c>
      <c r="DU380" t="n">
        <v>1010</v>
      </c>
      <c r="DV380" t="inlineStr">
        <is>
          <t>100 шт.</t>
        </is>
      </c>
      <c r="DW380" t="inlineStr">
        <is>
          <t>100 шт.</t>
        </is>
      </c>
      <c r="DX380" t="n">
        <v>100</v>
      </c>
      <c r="DZ380" t="inlineStr"/>
      <c r="EA380" t="inlineStr"/>
      <c r="EB380" t="inlineStr"/>
      <c r="EC380" t="inlineStr"/>
      <c r="EE380" t="n">
        <v>78726030</v>
      </c>
      <c r="EF380" t="n">
        <v>6</v>
      </c>
      <c r="EG380" t="inlineStr">
        <is>
          <t>Ремонтно-строительные работы</t>
        </is>
      </c>
      <c r="EH380" t="n">
        <v>101</v>
      </c>
      <c r="EI380" t="inlineStr">
        <is>
          <t>Электромонтажные работы</t>
        </is>
      </c>
      <c r="EJ380" t="n">
        <v>1</v>
      </c>
      <c r="EK380" t="n">
        <v>67001</v>
      </c>
      <c r="EL380" t="inlineStr">
        <is>
          <t>Электромонтажные работы</t>
        </is>
      </c>
      <c r="EM380" t="inlineStr">
        <is>
          <t>рФЕР-67</t>
        </is>
      </c>
      <c r="EO380" t="inlineStr"/>
      <c r="EQ380" t="n">
        <v>0</v>
      </c>
      <c r="ER380" t="n">
        <v>970.5700000000001</v>
      </c>
      <c r="ES380" t="n">
        <v>852</v>
      </c>
      <c r="ET380" t="n">
        <v>0</v>
      </c>
      <c r="EU380" t="n">
        <v>0</v>
      </c>
      <c r="EV380" t="n">
        <v>118.57</v>
      </c>
      <c r="EW380" t="n">
        <v>13.9</v>
      </c>
      <c r="EX380" t="n">
        <v>0</v>
      </c>
      <c r="EY380" t="n">
        <v>0</v>
      </c>
      <c r="FQ380" t="n">
        <v>0</v>
      </c>
      <c r="FR380" t="n">
        <v>0</v>
      </c>
      <c r="FS380" t="n">
        <v>0</v>
      </c>
      <c r="FX380" t="n">
        <v>91</v>
      </c>
      <c r="FY380" t="n">
        <v>48</v>
      </c>
      <c r="GA380" t="inlineStr"/>
      <c r="GD380" t="n">
        <v>1</v>
      </c>
      <c r="GF380" t="n">
        <v>1400342257</v>
      </c>
      <c r="GG380" t="n">
        <v>2</v>
      </c>
      <c r="GH380" t="n">
        <v>1</v>
      </c>
      <c r="GI380" t="n">
        <v>2</v>
      </c>
      <c r="GJ380" t="n">
        <v>0</v>
      </c>
      <c r="GK380" t="n">
        <v>0</v>
      </c>
      <c r="GL380">
        <f>ROUND(IF(AND(BH380=3,BI380=3,FS380&lt;&gt;0),P380,0),0)</f>
        <v/>
      </c>
      <c r="GM380">
        <f>ROUND(O380+X380+Y380,0)+GX380</f>
        <v/>
      </c>
      <c r="GN380">
        <f>IF(OR(BI380=0,BI380=1),GM380-GX380,0)</f>
        <v/>
      </c>
      <c r="GO380">
        <f>IF(BI380=2,GM380-GX380,0)</f>
        <v/>
      </c>
      <c r="GP380">
        <f>IF(BI380=4,GM380-GX380,0)</f>
        <v/>
      </c>
      <c r="GR380" t="n">
        <v>0</v>
      </c>
      <c r="GS380" t="n">
        <v>3</v>
      </c>
      <c r="GT380" t="n">
        <v>0</v>
      </c>
      <c r="GU380" t="inlineStr"/>
      <c r="GV380">
        <f>ROUND((GT380),2)</f>
        <v/>
      </c>
      <c r="GW380" t="n">
        <v>1</v>
      </c>
      <c r="GX380">
        <f>ROUND(HC380*I380,0)</f>
        <v/>
      </c>
      <c r="HA380" t="n">
        <v>0</v>
      </c>
      <c r="HB380" t="n">
        <v>0</v>
      </c>
      <c r="HC380">
        <f>GV380*GW380</f>
        <v/>
      </c>
      <c r="HE380" t="inlineStr"/>
      <c r="HF380" t="inlineStr"/>
      <c r="HM380" t="inlineStr"/>
      <c r="HN380" t="inlineStr">
        <is>
          <t>Пр/812-101.0-1</t>
        </is>
      </c>
      <c r="HO380" t="inlineStr">
        <is>
          <t>Пр/774-101.0</t>
        </is>
      </c>
      <c r="HP380" t="inlineStr">
        <is>
          <t>Электромонтажные работы</t>
        </is>
      </c>
      <c r="HQ380" t="inlineStr">
        <is>
          <t>Электромонтажные работы</t>
        </is>
      </c>
      <c r="HS380" t="n">
        <v>0</v>
      </c>
      <c r="IK380" t="n">
        <v>0</v>
      </c>
    </row>
    <row r="381">
      <c r="A381" t="n">
        <v>18</v>
      </c>
      <c r="B381" t="n">
        <v>0</v>
      </c>
      <c r="C381" t="n">
        <v>184</v>
      </c>
      <c r="E381" t="inlineStr">
        <is>
          <t>2,1</t>
        </is>
      </c>
      <c r="F381" t="inlineStr">
        <is>
          <t>509-6744</t>
        </is>
      </c>
      <c r="G381" t="inlineStr">
        <is>
          <t>Лампы люминесцентные компактные энергосберегающие с цоколем Е27 мощностью 55 Вт</t>
        </is>
      </c>
      <c r="H381" t="inlineStr">
        <is>
          <t>шт.</t>
        </is>
      </c>
      <c r="I381">
        <f>I380*J381</f>
        <v/>
      </c>
      <c r="J381" t="n">
        <v>100</v>
      </c>
      <c r="K381" t="n">
        <v>100</v>
      </c>
      <c r="O381">
        <f>ROUND(CP381,0)</f>
        <v/>
      </c>
      <c r="P381">
        <f>ROUND(CQ381*I381,0)</f>
        <v/>
      </c>
      <c r="Q381">
        <f>(ROUND((ROUND(((ET381)*I381),0)*BB381),0)+ROUND((ROUND(((AE381-(EU381))*I381),0)*BS381),0))</f>
        <v/>
      </c>
      <c r="R381">
        <f>(ROUND((ROUND(((EU381)*I381),0)*BS381),0)+ROUND((ROUND(((AE381-(EU381))*I381),0)*BS381),0))</f>
        <v/>
      </c>
      <c r="S381">
        <f>ROUND(CT381*I381,0)</f>
        <v/>
      </c>
      <c r="T381">
        <f>ROUND(CU381*I381,0)</f>
        <v/>
      </c>
      <c r="U381">
        <f>ROUND(CV381*I381,7)</f>
        <v/>
      </c>
      <c r="V381">
        <f>ROUND(CW381*I381,7)</f>
        <v/>
      </c>
      <c r="W381">
        <f>ROUND(CX381*I381,0)</f>
        <v/>
      </c>
      <c r="X381">
        <f>ROUND(CY381,0)</f>
        <v/>
      </c>
      <c r="Y381">
        <f>ROUND(CZ381,0)</f>
        <v/>
      </c>
      <c r="AA381" t="n">
        <v>78869116</v>
      </c>
      <c r="AB381">
        <f>ROUND((AC381+AD381+AF381),2)</f>
        <v/>
      </c>
      <c r="AC381">
        <f>ROUND((ES381),2)</f>
        <v/>
      </c>
      <c r="AD381">
        <f>ROUND((((ET381)-(EU381))+AE381),2)</f>
        <v/>
      </c>
      <c r="AE381">
        <f>ROUND((EU381),2)</f>
        <v/>
      </c>
      <c r="AF381">
        <f>ROUND((EV381),2)</f>
        <v/>
      </c>
      <c r="AG381">
        <f>ROUND((AP381),2)</f>
        <v/>
      </c>
      <c r="AH381">
        <f>(EW381)</f>
        <v/>
      </c>
      <c r="AI381">
        <f>(EX381)</f>
        <v/>
      </c>
      <c r="AJ381">
        <f>(AS381)</f>
        <v/>
      </c>
      <c r="AK381" t="n">
        <v>140.69</v>
      </c>
      <c r="AL381" t="n">
        <v>140.69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  <c r="AS381" t="n">
        <v>0.02</v>
      </c>
      <c r="AT381" t="n">
        <v>91</v>
      </c>
      <c r="AU381" t="n">
        <v>48</v>
      </c>
      <c r="AV381" t="n">
        <v>1</v>
      </c>
      <c r="AW381" t="n">
        <v>1</v>
      </c>
      <c r="AZ381" t="n">
        <v>1</v>
      </c>
      <c r="BA381" t="n">
        <v>1</v>
      </c>
      <c r="BB381" t="n">
        <v>1</v>
      </c>
      <c r="BC381" t="n">
        <v>1.69</v>
      </c>
      <c r="BD381" t="inlineStr"/>
      <c r="BE381" t="inlineStr"/>
      <c r="BF381" t="inlineStr"/>
      <c r="BG381" t="inlineStr"/>
      <c r="BH381" t="n">
        <v>3</v>
      </c>
      <c r="BI381" t="n">
        <v>1</v>
      </c>
      <c r="BJ381" t="inlineStr">
        <is>
          <t>ТССЦ Московской обл., 509-6744, приказ Минстроя России №675/пр от 28.02.2017 № 258/пр</t>
        </is>
      </c>
      <c r="BM381" t="n">
        <v>67001</v>
      </c>
      <c r="BN381" t="n">
        <v>0</v>
      </c>
      <c r="BO381" t="inlineStr">
        <is>
          <t>509-6744</t>
        </is>
      </c>
      <c r="BP381" t="n">
        <v>1</v>
      </c>
      <c r="BQ381" t="n">
        <v>6</v>
      </c>
      <c r="BR381" t="n">
        <v>0</v>
      </c>
      <c r="BS381" t="n">
        <v>1</v>
      </c>
      <c r="BT381" t="n">
        <v>1</v>
      </c>
      <c r="BU381" t="n">
        <v>1</v>
      </c>
      <c r="BV381" t="n">
        <v>1</v>
      </c>
      <c r="BW381" t="n">
        <v>1</v>
      </c>
      <c r="BX381" t="n">
        <v>1</v>
      </c>
      <c r="BY381" t="inlineStr"/>
      <c r="BZ381" t="n">
        <v>91</v>
      </c>
      <c r="CA381" t="n">
        <v>48</v>
      </c>
      <c r="CB381" t="inlineStr"/>
      <c r="CE381" t="n">
        <v>12</v>
      </c>
      <c r="CF381" t="n">
        <v>0</v>
      </c>
      <c r="CG381" t="n">
        <v>0</v>
      </c>
      <c r="CM381" t="n">
        <v>0</v>
      </c>
      <c r="CN381" t="inlineStr"/>
      <c r="CO381" t="n">
        <v>0</v>
      </c>
      <c r="CP381">
        <f>(P381+Q381+S381)</f>
        <v/>
      </c>
      <c r="CQ381">
        <f>AC381*BC381</f>
        <v/>
      </c>
      <c r="CR381">
        <f>(ROUND((ROUND(((ET381)*1),0)*BB381),0)+ROUND((ROUND(((AE381-(EU381))*1),0)*BS381),0))</f>
        <v/>
      </c>
      <c r="CS381">
        <f>(ROUND((ROUND(((EU381)*1),0)*BS381),0)+ROUND((ROUND(((AE381-(EU381))*1),0)*BS381),0))</f>
        <v/>
      </c>
      <c r="CT381">
        <f>AF381*BA381</f>
        <v/>
      </c>
      <c r="CU381">
        <f>AG381</f>
        <v/>
      </c>
      <c r="CV381">
        <f>AH381</f>
        <v/>
      </c>
      <c r="CW381">
        <f>AI381</f>
        <v/>
      </c>
      <c r="CX381">
        <f>AJ381</f>
        <v/>
      </c>
      <c r="CY381">
        <f>(((S381+R381)*AT381)/100)</f>
        <v/>
      </c>
      <c r="CZ381">
        <f>(((S381+R381)*AU381)/100)</f>
        <v/>
      </c>
      <c r="DC381" t="inlineStr"/>
      <c r="DD381" t="inlineStr"/>
      <c r="DE381" t="inlineStr"/>
      <c r="DF381" t="inlineStr"/>
      <c r="DG381" t="inlineStr"/>
      <c r="DH381" t="inlineStr"/>
      <c r="DI381" t="inlineStr"/>
      <c r="DJ381" t="inlineStr"/>
      <c r="DK381" t="inlineStr"/>
      <c r="DL381" t="inlineStr"/>
      <c r="DM381" t="inlineStr"/>
      <c r="DN381" t="n">
        <v>0</v>
      </c>
      <c r="DO381" t="n">
        <v>0</v>
      </c>
      <c r="DP381" t="n">
        <v>1</v>
      </c>
      <c r="DQ381" t="n">
        <v>1</v>
      </c>
      <c r="DU381" t="n">
        <v>1010</v>
      </c>
      <c r="DV381" t="inlineStr">
        <is>
          <t>шт.</t>
        </is>
      </c>
      <c r="DW381" t="inlineStr">
        <is>
          <t>шт.</t>
        </is>
      </c>
      <c r="DX381" t="n">
        <v>1</v>
      </c>
      <c r="DZ381" t="inlineStr"/>
      <c r="EA381" t="inlineStr"/>
      <c r="EB381" t="inlineStr"/>
      <c r="EC381" t="inlineStr"/>
      <c r="EE381" t="n">
        <v>78726030</v>
      </c>
      <c r="EF381" t="n">
        <v>6</v>
      </c>
      <c r="EG381" t="inlineStr">
        <is>
          <t>Ремонтно-строительные работы</t>
        </is>
      </c>
      <c r="EH381" t="n">
        <v>101</v>
      </c>
      <c r="EI381" t="inlineStr">
        <is>
          <t>Электромонтажные работы</t>
        </is>
      </c>
      <c r="EJ381" t="n">
        <v>1</v>
      </c>
      <c r="EK381" t="n">
        <v>67001</v>
      </c>
      <c r="EL381" t="inlineStr">
        <is>
          <t>Электромонтажные работы</t>
        </is>
      </c>
      <c r="EM381" t="inlineStr">
        <is>
          <t>рФЕР-67</t>
        </is>
      </c>
      <c r="EO381" t="inlineStr"/>
      <c r="EQ381" t="n">
        <v>0</v>
      </c>
      <c r="ER381" t="n">
        <v>140.69</v>
      </c>
      <c r="ES381" t="n">
        <v>140.69</v>
      </c>
      <c r="ET381" t="n">
        <v>0</v>
      </c>
      <c r="EU381" t="n">
        <v>0</v>
      </c>
      <c r="EV381" t="n">
        <v>0</v>
      </c>
      <c r="EW381" t="n">
        <v>0</v>
      </c>
      <c r="EX381" t="n">
        <v>0</v>
      </c>
      <c r="FQ381" t="n">
        <v>0</v>
      </c>
      <c r="FR381" t="n">
        <v>0</v>
      </c>
      <c r="FS381" t="n">
        <v>0</v>
      </c>
      <c r="FX381" t="n">
        <v>91</v>
      </c>
      <c r="FY381" t="n">
        <v>48</v>
      </c>
      <c r="GA381" t="inlineStr"/>
      <c r="GD381" t="n">
        <v>1</v>
      </c>
      <c r="GF381" t="n">
        <v>-228955380</v>
      </c>
      <c r="GG381" t="n">
        <v>2</v>
      </c>
      <c r="GH381" t="n">
        <v>1</v>
      </c>
      <c r="GI381" t="n">
        <v>2</v>
      </c>
      <c r="GJ381" t="n">
        <v>0</v>
      </c>
      <c r="GK381" t="n">
        <v>0</v>
      </c>
      <c r="GL381">
        <f>ROUND(IF(AND(BH381=3,BI381=3,FS381&lt;&gt;0),P381,0),0)</f>
        <v/>
      </c>
      <c r="GM381">
        <f>ROUND(O381+X381+Y381,0)+GX381</f>
        <v/>
      </c>
      <c r="GN381">
        <f>IF(OR(BI381=0,BI381=1),GM381-GX381,0)</f>
        <v/>
      </c>
      <c r="GO381">
        <f>IF(BI381=2,GM381-GX381,0)</f>
        <v/>
      </c>
      <c r="GP381">
        <f>IF(BI381=4,GM381-GX381,0)</f>
        <v/>
      </c>
      <c r="GR381" t="n">
        <v>0</v>
      </c>
      <c r="GS381" t="n">
        <v>3</v>
      </c>
      <c r="GT381" t="n">
        <v>0</v>
      </c>
      <c r="GU381" t="inlineStr"/>
      <c r="GV381">
        <f>ROUND((GT381),2)</f>
        <v/>
      </c>
      <c r="GW381" t="n">
        <v>1</v>
      </c>
      <c r="GX381">
        <f>ROUND(HC381*I381,0)</f>
        <v/>
      </c>
      <c r="HA381" t="n">
        <v>0</v>
      </c>
      <c r="HB381" t="n">
        <v>0</v>
      </c>
      <c r="HC381">
        <f>GV381*GW381</f>
        <v/>
      </c>
      <c r="HE381" t="inlineStr"/>
      <c r="HF381" t="inlineStr"/>
      <c r="HM381" t="inlineStr"/>
      <c r="HN381" t="inlineStr">
        <is>
          <t>Пр/812-101.0-1</t>
        </is>
      </c>
      <c r="HO381" t="inlineStr">
        <is>
          <t>Пр/774-101.0</t>
        </is>
      </c>
      <c r="HP381" t="inlineStr">
        <is>
          <t>Электромонтажные работы</t>
        </is>
      </c>
      <c r="HQ381" t="inlineStr">
        <is>
          <t>Электромонтажные работы</t>
        </is>
      </c>
      <c r="HS381" t="n">
        <v>0</v>
      </c>
      <c r="IK381" t="n">
        <v>0</v>
      </c>
    </row>
    <row r="382">
      <c r="A382" t="n">
        <v>17</v>
      </c>
      <c r="B382" t="n">
        <v>0</v>
      </c>
      <c r="C382">
        <f>ROW(SmtRes!A192)</f>
        <v/>
      </c>
      <c r="D382">
        <f>ROW(EtalonRes!A178)</f>
        <v/>
      </c>
      <c r="E382" t="inlineStr">
        <is>
          <t>3</t>
        </is>
      </c>
      <c r="F382" t="inlineStr">
        <is>
          <t>65-5-1</t>
        </is>
      </c>
      <c r="G382" t="inlineStr">
        <is>
          <t>Смена вентилей и клапанов обратных муфтовых диаметром до 20 мм</t>
        </is>
      </c>
      <c r="H382" t="inlineStr">
        <is>
          <t>100 шт.</t>
        </is>
      </c>
      <c r="I382">
        <f>ROUND(ROUND(2/100,4),7)</f>
        <v/>
      </c>
      <c r="J382" t="n">
        <v>0</v>
      </c>
      <c r="K382">
        <f>ROUND(ROUND(2/100,4),7)</f>
        <v/>
      </c>
      <c r="O382">
        <f>ROUND(CP382,0)</f>
        <v/>
      </c>
      <c r="P382">
        <f>ROUND(CQ382*I382,0)</f>
        <v/>
      </c>
      <c r="Q382">
        <f>(ROUND((ROUND(((ET382)*I382),0)*BB382),0)+ROUND((ROUND(((AE382-(EU382))*I382),0)*BS382),0))</f>
        <v/>
      </c>
      <c r="R382">
        <f>(ROUND((ROUND(((EU382)*I382),0)*BS382),0)+ROUND((ROUND(((AE382-(EU382))*I382),0)*BS382),0))</f>
        <v/>
      </c>
      <c r="S382">
        <f>ROUND(CT382*I382,0)</f>
        <v/>
      </c>
      <c r="T382">
        <f>ROUND(CU382*I382,0)</f>
        <v/>
      </c>
      <c r="U382">
        <f>ROUND(CV382*I382,7)</f>
        <v/>
      </c>
      <c r="V382">
        <f>ROUND(CW382*I382,7)</f>
        <v/>
      </c>
      <c r="W382">
        <f>ROUND(CX382*I382,0)</f>
        <v/>
      </c>
      <c r="X382">
        <f>ROUND(CY382,0)</f>
        <v/>
      </c>
      <c r="Y382">
        <f>ROUND(CZ382,0)</f>
        <v/>
      </c>
      <c r="AA382" t="n">
        <v>78869116</v>
      </c>
      <c r="AB382">
        <f>ROUND((AC382+AD382+AF382),2)</f>
        <v/>
      </c>
      <c r="AC382">
        <f>ROUND((ES382),2)</f>
        <v/>
      </c>
      <c r="AD382">
        <f>ROUND((((ET382)-(EU382))+AE382),2)</f>
        <v/>
      </c>
      <c r="AE382">
        <f>ROUND((EU382),2)</f>
        <v/>
      </c>
      <c r="AF382">
        <f>ROUND((EV382),2)</f>
        <v/>
      </c>
      <c r="AG382">
        <f>ROUND((AP382),2)</f>
        <v/>
      </c>
      <c r="AH382">
        <f>(EW382)</f>
        <v/>
      </c>
      <c r="AI382">
        <f>(EX382)</f>
        <v/>
      </c>
      <c r="AJ382">
        <f>(AS382)</f>
        <v/>
      </c>
      <c r="AK382" t="n">
        <v>2979.16</v>
      </c>
      <c r="AL382" t="n">
        <v>2240.13</v>
      </c>
      <c r="AM382" t="n">
        <v>4.36</v>
      </c>
      <c r="AN382" t="n">
        <v>0</v>
      </c>
      <c r="AO382" t="n">
        <v>734.67</v>
      </c>
      <c r="AP382" t="n">
        <v>0</v>
      </c>
      <c r="AQ382" t="n">
        <v>81</v>
      </c>
      <c r="AR382" t="n">
        <v>0</v>
      </c>
      <c r="AS382" t="n">
        <v>0</v>
      </c>
      <c r="AT382" t="n">
        <v>103</v>
      </c>
      <c r="AU382" t="n">
        <v>52</v>
      </c>
      <c r="AV382" t="n">
        <v>1</v>
      </c>
      <c r="AW382" t="n">
        <v>1</v>
      </c>
      <c r="AZ382" t="n">
        <v>1</v>
      </c>
      <c r="BA382" t="n">
        <v>52.25</v>
      </c>
      <c r="BB382" t="n">
        <v>24.98</v>
      </c>
      <c r="BC382" t="n">
        <v>10.16</v>
      </c>
      <c r="BD382" t="inlineStr"/>
      <c r="BE382" t="inlineStr"/>
      <c r="BF382" t="inlineStr"/>
      <c r="BG382" t="inlineStr"/>
      <c r="BH382" t="n">
        <v>0</v>
      </c>
      <c r="BI382" t="n">
        <v>1</v>
      </c>
      <c r="BJ382" t="inlineStr">
        <is>
          <t>ТЕРр Московской обл., 65-5-1, приказ Минстроя России №675/пр от 28.02.2017 № 263/пр</t>
        </is>
      </c>
      <c r="BM382" t="n">
        <v>65007</v>
      </c>
      <c r="BN382" t="n">
        <v>0</v>
      </c>
      <c r="BO382" t="inlineStr">
        <is>
          <t>65-5-1</t>
        </is>
      </c>
      <c r="BP382" t="n">
        <v>1</v>
      </c>
      <c r="BQ382" t="n">
        <v>6</v>
      </c>
      <c r="BR382" t="n">
        <v>0</v>
      </c>
      <c r="BS382" t="n">
        <v>52.25</v>
      </c>
      <c r="BT382" t="n">
        <v>1</v>
      </c>
      <c r="BU382" t="n">
        <v>1</v>
      </c>
      <c r="BV382" t="n">
        <v>1</v>
      </c>
      <c r="BW382" t="n">
        <v>1</v>
      </c>
      <c r="BX382" t="n">
        <v>1</v>
      </c>
      <c r="BY382" t="inlineStr"/>
      <c r="BZ382" t="n">
        <v>103</v>
      </c>
      <c r="CA382" t="n">
        <v>52</v>
      </c>
      <c r="CB382" t="inlineStr"/>
      <c r="CE382" t="n">
        <v>12</v>
      </c>
      <c r="CF382" t="n">
        <v>0</v>
      </c>
      <c r="CG382" t="n">
        <v>0</v>
      </c>
      <c r="CM382" t="n">
        <v>0</v>
      </c>
      <c r="CN382" t="inlineStr"/>
      <c r="CO382" t="n">
        <v>0</v>
      </c>
      <c r="CP382">
        <f>(P382+Q382+S382)</f>
        <v/>
      </c>
      <c r="CQ382">
        <f>AC382*BC382</f>
        <v/>
      </c>
      <c r="CR382">
        <f>(ROUND((ROUND(((ET382)*1),0)*BB382),0)+ROUND((ROUND(((AE382-(EU382))*1),0)*BS382),0))</f>
        <v/>
      </c>
      <c r="CS382">
        <f>(ROUND((ROUND(((EU382)*1),0)*BS382),0)+ROUND((ROUND(((AE382-(EU382))*1),0)*BS382),0))</f>
        <v/>
      </c>
      <c r="CT382">
        <f>AF382*BA382</f>
        <v/>
      </c>
      <c r="CU382">
        <f>AG382</f>
        <v/>
      </c>
      <c r="CV382">
        <f>AH382</f>
        <v/>
      </c>
      <c r="CW382">
        <f>AI382</f>
        <v/>
      </c>
      <c r="CX382">
        <f>AJ382</f>
        <v/>
      </c>
      <c r="CY382">
        <f>(((S382+R382)*AT382)/100)</f>
        <v/>
      </c>
      <c r="CZ382">
        <f>(((S382+R382)*AU382)/100)</f>
        <v/>
      </c>
      <c r="DC382" t="inlineStr"/>
      <c r="DD382" t="inlineStr"/>
      <c r="DE382" t="inlineStr"/>
      <c r="DF382" t="inlineStr"/>
      <c r="DG382" t="inlineStr"/>
      <c r="DH382" t="inlineStr"/>
      <c r="DI382" t="inlineStr"/>
      <c r="DJ382" t="inlineStr"/>
      <c r="DK382" t="inlineStr"/>
      <c r="DL382" t="inlineStr"/>
      <c r="DM382" t="inlineStr"/>
      <c r="DN382" t="n">
        <v>0</v>
      </c>
      <c r="DO382" t="n">
        <v>0</v>
      </c>
      <c r="DP382" t="n">
        <v>1</v>
      </c>
      <c r="DQ382" t="n">
        <v>1</v>
      </c>
      <c r="DU382" t="n">
        <v>1010</v>
      </c>
      <c r="DV382" t="inlineStr">
        <is>
          <t>100 шт.</t>
        </is>
      </c>
      <c r="DW382" t="inlineStr">
        <is>
          <t>100 шт.</t>
        </is>
      </c>
      <c r="DX382" t="n">
        <v>100</v>
      </c>
      <c r="DZ382" t="inlineStr"/>
      <c r="EA382" t="inlineStr"/>
      <c r="EB382" t="inlineStr"/>
      <c r="EC382" t="inlineStr"/>
      <c r="EE382" t="n">
        <v>78726000</v>
      </c>
      <c r="EF382" t="n">
        <v>6</v>
      </c>
      <c r="EG382" t="inlineStr">
        <is>
          <t>Ремонтно-строительные работы</t>
        </is>
      </c>
      <c r="EH382" t="n">
        <v>99</v>
      </c>
      <c r="EI382" t="inlineStr">
        <is>
          <t>Внутренние санитарно-технические работы</t>
        </is>
      </c>
      <c r="EJ382" t="n">
        <v>1</v>
      </c>
      <c r="EK382" t="n">
        <v>65007</v>
      </c>
      <c r="EL382" t="inlineStr">
        <is>
          <t>Внутренние санитарнотехнические работы: смена труб, санприборов, запорной арматуры и другое</t>
        </is>
      </c>
      <c r="EM382" t="inlineStr">
        <is>
          <t>рФЕР-65</t>
        </is>
      </c>
      <c r="EO382" t="inlineStr"/>
      <c r="EQ382" t="n">
        <v>0</v>
      </c>
      <c r="ER382" t="n">
        <v>2979.16</v>
      </c>
      <c r="ES382" t="n">
        <v>2240.13</v>
      </c>
      <c r="ET382" t="n">
        <v>4.36</v>
      </c>
      <c r="EU382" t="n">
        <v>0</v>
      </c>
      <c r="EV382" t="n">
        <v>734.67</v>
      </c>
      <c r="EW382" t="n">
        <v>81</v>
      </c>
      <c r="EX382" t="n">
        <v>0</v>
      </c>
      <c r="EY382" t="n">
        <v>0</v>
      </c>
      <c r="FQ382" t="n">
        <v>0</v>
      </c>
      <c r="FR382" t="n">
        <v>0</v>
      </c>
      <c r="FS382" t="n">
        <v>0</v>
      </c>
      <c r="FX382" t="n">
        <v>103</v>
      </c>
      <c r="FY382" t="n">
        <v>52</v>
      </c>
      <c r="GA382" t="inlineStr"/>
      <c r="GD382" t="n">
        <v>1</v>
      </c>
      <c r="GF382" t="n">
        <v>152852496</v>
      </c>
      <c r="GG382" t="n">
        <v>2</v>
      </c>
      <c r="GH382" t="n">
        <v>1</v>
      </c>
      <c r="GI382" t="n">
        <v>2</v>
      </c>
      <c r="GJ382" t="n">
        <v>0</v>
      </c>
      <c r="GK382" t="n">
        <v>0</v>
      </c>
      <c r="GL382">
        <f>ROUND(IF(AND(BH382=3,BI382=3,FS382&lt;&gt;0),P382,0),0)</f>
        <v/>
      </c>
      <c r="GM382">
        <f>ROUND(O382+X382+Y382,0)+GX382</f>
        <v/>
      </c>
      <c r="GN382">
        <f>IF(OR(BI382=0,BI382=1),GM382-GX382,0)</f>
        <v/>
      </c>
      <c r="GO382">
        <f>IF(BI382=2,GM382-GX382,0)</f>
        <v/>
      </c>
      <c r="GP382">
        <f>IF(BI382=4,GM382-GX382,0)</f>
        <v/>
      </c>
      <c r="GR382" t="n">
        <v>0</v>
      </c>
      <c r="GS382" t="n">
        <v>3</v>
      </c>
      <c r="GT382" t="n">
        <v>0</v>
      </c>
      <c r="GU382" t="inlineStr"/>
      <c r="GV382">
        <f>ROUND((GT382),2)</f>
        <v/>
      </c>
      <c r="GW382" t="n">
        <v>1</v>
      </c>
      <c r="GX382">
        <f>ROUND(HC382*I382,0)</f>
        <v/>
      </c>
      <c r="HA382" t="n">
        <v>0</v>
      </c>
      <c r="HB382" t="n">
        <v>0</v>
      </c>
      <c r="HC382">
        <f>GV382*GW382</f>
        <v/>
      </c>
      <c r="HE382" t="inlineStr"/>
      <c r="HF382" t="inlineStr"/>
      <c r="HM382" t="inlineStr"/>
      <c r="HN382" t="inlineStr">
        <is>
          <t>Пр/812-099.2-1</t>
        </is>
      </c>
      <c r="HO382" t="inlineStr">
        <is>
          <t>Пр/774-099.2</t>
        </is>
      </c>
      <c r="HP382" t="inlineStr">
        <is>
          <t>Внутренние санитарнотехнические работы: смена труб, санприборов, запорной арматуры и другое</t>
        </is>
      </c>
      <c r="HQ382" t="inlineStr">
        <is>
          <t>Внутренние санитарнотехнические работы: смена труб, санприборов, запорной арматуры и другое</t>
        </is>
      </c>
      <c r="HS382" t="n">
        <v>0</v>
      </c>
      <c r="IK382" t="n">
        <v>0</v>
      </c>
    </row>
    <row r="383">
      <c r="A383" t="n">
        <v>18</v>
      </c>
      <c r="B383" t="n">
        <v>0</v>
      </c>
      <c r="C383" t="n">
        <v>192</v>
      </c>
      <c r="E383" t="inlineStr">
        <is>
          <t>3,1</t>
        </is>
      </c>
      <c r="F383" t="inlineStr">
        <is>
          <t>509-9899</t>
        </is>
      </c>
      <c r="G383" t="inlineStr">
        <is>
          <t>Строительный мусор и масса возвратных материалов</t>
        </is>
      </c>
      <c r="H383" t="inlineStr">
        <is>
          <t>т</t>
        </is>
      </c>
      <c r="I383">
        <f>I382*J383</f>
        <v/>
      </c>
      <c r="J383" t="n">
        <v>0.04</v>
      </c>
      <c r="K383" t="n">
        <v>0.04</v>
      </c>
      <c r="O383">
        <f>ROUND(CP383,0)</f>
        <v/>
      </c>
      <c r="P383">
        <f>ROUND(CQ383*I383,0)</f>
        <v/>
      </c>
      <c r="Q383">
        <f>(ROUND((ROUND(((ET383)*I383),0)*BB383),0)+ROUND((ROUND(((AE383-(EU383))*I383),0)*BS383),0))</f>
        <v/>
      </c>
      <c r="R383">
        <f>(ROUND((ROUND(((EU383)*I383),0)*BS383),0)+ROUND((ROUND(((AE383-(EU383))*I383),0)*BS383),0))</f>
        <v/>
      </c>
      <c r="S383">
        <f>ROUND(CT383*I383,0)</f>
        <v/>
      </c>
      <c r="T383">
        <f>ROUND(CU383*I383,0)</f>
        <v/>
      </c>
      <c r="U383">
        <f>ROUND(CV383*I383,7)</f>
        <v/>
      </c>
      <c r="V383">
        <f>ROUND(CW383*I383,7)</f>
        <v/>
      </c>
      <c r="W383">
        <f>ROUND(CX383*I383,0)</f>
        <v/>
      </c>
      <c r="X383">
        <f>ROUND(CY383,0)</f>
        <v/>
      </c>
      <c r="Y383">
        <f>ROUND(CZ383,0)</f>
        <v/>
      </c>
      <c r="AA383" t="n">
        <v>78869116</v>
      </c>
      <c r="AB383">
        <f>ROUND((AC383+AD383+AF383),2)</f>
        <v/>
      </c>
      <c r="AC383">
        <f>ROUND((ES383),2)</f>
        <v/>
      </c>
      <c r="AD383">
        <f>ROUND((((ET383)-(EU383))+AE383),2)</f>
        <v/>
      </c>
      <c r="AE383">
        <f>ROUND((EU383),2)</f>
        <v/>
      </c>
      <c r="AF383">
        <f>ROUND((EV383),2)</f>
        <v/>
      </c>
      <c r="AG383">
        <f>ROUND((AP383),2)</f>
        <v/>
      </c>
      <c r="AH383">
        <f>(EW383)</f>
        <v/>
      </c>
      <c r="AI383">
        <f>(EX383)</f>
        <v/>
      </c>
      <c r="AJ383">
        <f>(AS383)</f>
        <v/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  <c r="AS383" t="n">
        <v>0</v>
      </c>
      <c r="AT383" t="n">
        <v>103</v>
      </c>
      <c r="AU383" t="n">
        <v>52</v>
      </c>
      <c r="AV383" t="n">
        <v>1</v>
      </c>
      <c r="AW383" t="n">
        <v>1</v>
      </c>
      <c r="AZ383" t="n">
        <v>1</v>
      </c>
      <c r="BA383" t="n">
        <v>1</v>
      </c>
      <c r="BB383" t="n">
        <v>1</v>
      </c>
      <c r="BC383" t="n">
        <v>1</v>
      </c>
      <c r="BD383" t="inlineStr"/>
      <c r="BE383" t="inlineStr"/>
      <c r="BF383" t="inlineStr"/>
      <c r="BG383" t="inlineStr"/>
      <c r="BH383" t="n">
        <v>3</v>
      </c>
      <c r="BI383" t="n">
        <v>1</v>
      </c>
      <c r="BJ383" t="inlineStr">
        <is>
          <t>ТССЦ Московской обл., 509-9899, приказ Минстроя России №675/пр от 28.02.2017 № 258/пр</t>
        </is>
      </c>
      <c r="BM383" t="n">
        <v>65007</v>
      </c>
      <c r="BN383" t="n">
        <v>0</v>
      </c>
      <c r="BO383" t="inlineStr"/>
      <c r="BP383" t="n">
        <v>0</v>
      </c>
      <c r="BQ383" t="n">
        <v>6</v>
      </c>
      <c r="BR383" t="n">
        <v>0</v>
      </c>
      <c r="BS383" t="n">
        <v>1</v>
      </c>
      <c r="BT383" t="n">
        <v>1</v>
      </c>
      <c r="BU383" t="n">
        <v>1</v>
      </c>
      <c r="BV383" t="n">
        <v>1</v>
      </c>
      <c r="BW383" t="n">
        <v>1</v>
      </c>
      <c r="BX383" t="n">
        <v>1</v>
      </c>
      <c r="BY383" t="inlineStr"/>
      <c r="BZ383" t="n">
        <v>103</v>
      </c>
      <c r="CA383" t="n">
        <v>52</v>
      </c>
      <c r="CB383" t="inlineStr"/>
      <c r="CE383" t="n">
        <v>12</v>
      </c>
      <c r="CF383" t="n">
        <v>0</v>
      </c>
      <c r="CG383" t="n">
        <v>0</v>
      </c>
      <c r="CM383" t="n">
        <v>0</v>
      </c>
      <c r="CN383" t="inlineStr"/>
      <c r="CO383" t="n">
        <v>0</v>
      </c>
      <c r="CP383">
        <f>(P383+Q383+S383)</f>
        <v/>
      </c>
      <c r="CQ383">
        <f>AC383*BC383</f>
        <v/>
      </c>
      <c r="CR383">
        <f>(ROUND((ROUND(((ET383)*1),0)*BB383),0)+ROUND((ROUND(((AE383-(EU383))*1),0)*BS383),0))</f>
        <v/>
      </c>
      <c r="CS383">
        <f>(ROUND((ROUND(((EU383)*1),0)*BS383),0)+ROUND((ROUND(((AE383-(EU383))*1),0)*BS383),0))</f>
        <v/>
      </c>
      <c r="CT383">
        <f>AF383*BA383</f>
        <v/>
      </c>
      <c r="CU383">
        <f>AG383</f>
        <v/>
      </c>
      <c r="CV383">
        <f>AH383</f>
        <v/>
      </c>
      <c r="CW383">
        <f>AI383</f>
        <v/>
      </c>
      <c r="CX383">
        <f>AJ383</f>
        <v/>
      </c>
      <c r="CY383">
        <f>(((S383+R383)*AT383)/100)</f>
        <v/>
      </c>
      <c r="CZ383">
        <f>(((S383+R383)*AU383)/100)</f>
        <v/>
      </c>
      <c r="DC383" t="inlineStr"/>
      <c r="DD383" t="inlineStr"/>
      <c r="DE383" t="inlineStr"/>
      <c r="DF383" t="inlineStr"/>
      <c r="DG383" t="inlineStr"/>
      <c r="DH383" t="inlineStr"/>
      <c r="DI383" t="inlineStr"/>
      <c r="DJ383" t="inlineStr"/>
      <c r="DK383" t="inlineStr"/>
      <c r="DL383" t="inlineStr"/>
      <c r="DM383" t="inlineStr"/>
      <c r="DN383" t="n">
        <v>0</v>
      </c>
      <c r="DO383" t="n">
        <v>0</v>
      </c>
      <c r="DP383" t="n">
        <v>1</v>
      </c>
      <c r="DQ383" t="n">
        <v>1</v>
      </c>
      <c r="DU383" t="n">
        <v>1009</v>
      </c>
      <c r="DV383" t="inlineStr">
        <is>
          <t>т</t>
        </is>
      </c>
      <c r="DW383" t="inlineStr">
        <is>
          <t>т</t>
        </is>
      </c>
      <c r="DX383" t="n">
        <v>1000</v>
      </c>
      <c r="DZ383" t="inlineStr"/>
      <c r="EA383" t="inlineStr"/>
      <c r="EB383" t="inlineStr"/>
      <c r="EC383" t="inlineStr"/>
      <c r="EE383" t="n">
        <v>78726000</v>
      </c>
      <c r="EF383" t="n">
        <v>6</v>
      </c>
      <c r="EG383" t="inlineStr">
        <is>
          <t>Ремонтно-строительные работы</t>
        </is>
      </c>
      <c r="EH383" t="n">
        <v>99</v>
      </c>
      <c r="EI383" t="inlineStr">
        <is>
          <t>Внутренние санитарно-технические работы</t>
        </is>
      </c>
      <c r="EJ383" t="n">
        <v>1</v>
      </c>
      <c r="EK383" t="n">
        <v>65007</v>
      </c>
      <c r="EL383" t="inlineStr">
        <is>
          <t>Внутренние санитарнотехнические работы: смена труб, санприборов, запорной арматуры и другое</t>
        </is>
      </c>
      <c r="EM383" t="inlineStr">
        <is>
          <t>рФЕР-65</t>
        </is>
      </c>
      <c r="EO383" t="inlineStr"/>
      <c r="EQ383" t="n">
        <v>0</v>
      </c>
      <c r="ER383" t="n">
        <v>0</v>
      </c>
      <c r="ES383" t="n">
        <v>0</v>
      </c>
      <c r="ET383" t="n">
        <v>0</v>
      </c>
      <c r="EU383" t="n">
        <v>0</v>
      </c>
      <c r="EV383" t="n">
        <v>0</v>
      </c>
      <c r="EW383" t="n">
        <v>0</v>
      </c>
      <c r="EX383" t="n">
        <v>0</v>
      </c>
      <c r="FQ383" t="n">
        <v>0</v>
      </c>
      <c r="FR383" t="n">
        <v>0</v>
      </c>
      <c r="FS383" t="n">
        <v>0</v>
      </c>
      <c r="FX383" t="n">
        <v>103</v>
      </c>
      <c r="FY383" t="n">
        <v>52</v>
      </c>
      <c r="GA383" t="inlineStr"/>
      <c r="GD383" t="n">
        <v>1</v>
      </c>
      <c r="GF383" t="n">
        <v>1839160745</v>
      </c>
      <c r="GG383" t="n">
        <v>2</v>
      </c>
      <c r="GH383" t="n">
        <v>1</v>
      </c>
      <c r="GI383" t="n">
        <v>-2</v>
      </c>
      <c r="GJ383" t="n">
        <v>0</v>
      </c>
      <c r="GK383" t="n">
        <v>0</v>
      </c>
      <c r="GL383">
        <f>ROUND(IF(AND(BH383=3,BI383=3,FS383&lt;&gt;0),P383,0),0)</f>
        <v/>
      </c>
      <c r="GM383">
        <f>ROUND(O383+X383+Y383,0)+GX383</f>
        <v/>
      </c>
      <c r="GN383">
        <f>IF(OR(BI383=0,BI383=1),GM383-GX383,0)</f>
        <v/>
      </c>
      <c r="GO383">
        <f>IF(BI383=2,GM383-GX383,0)</f>
        <v/>
      </c>
      <c r="GP383">
        <f>IF(BI383=4,GM383-GX383,0)</f>
        <v/>
      </c>
      <c r="GR383" t="n">
        <v>0</v>
      </c>
      <c r="GS383" t="n">
        <v>3</v>
      </c>
      <c r="GT383" t="n">
        <v>0</v>
      </c>
      <c r="GU383" t="inlineStr"/>
      <c r="GV383">
        <f>ROUND((GT383),2)</f>
        <v/>
      </c>
      <c r="GW383" t="n">
        <v>1</v>
      </c>
      <c r="GX383">
        <f>ROUND(HC383*I383,0)</f>
        <v/>
      </c>
      <c r="HA383" t="n">
        <v>0</v>
      </c>
      <c r="HB383" t="n">
        <v>0</v>
      </c>
      <c r="HC383">
        <f>GV383*GW383</f>
        <v/>
      </c>
      <c r="HE383" t="inlineStr"/>
      <c r="HF383" t="inlineStr"/>
      <c r="HM383" t="inlineStr"/>
      <c r="HN383" t="inlineStr">
        <is>
          <t>Пр/812-099.2-1</t>
        </is>
      </c>
      <c r="HO383" t="inlineStr">
        <is>
          <t>Пр/774-099.2</t>
        </is>
      </c>
      <c r="HP383" t="inlineStr">
        <is>
          <t>Внутренние санитарнотехнические работы: смена труб, санприборов, запорной арматуры и другое</t>
        </is>
      </c>
      <c r="HQ383" t="inlineStr">
        <is>
          <t>Внутренние санитарнотехнические работы: смена труб, санприборов, запорной арматуры и другое</t>
        </is>
      </c>
      <c r="HS383" t="n">
        <v>0</v>
      </c>
      <c r="IK383" t="n">
        <v>0</v>
      </c>
    </row>
    <row r="384">
      <c r="A384" t="n">
        <v>18</v>
      </c>
      <c r="B384" t="n">
        <v>0</v>
      </c>
      <c r="C384" t="n">
        <v>190</v>
      </c>
      <c r="E384" t="inlineStr">
        <is>
          <t>3,2</t>
        </is>
      </c>
      <c r="F384" t="inlineStr">
        <is>
          <t>302-0062</t>
        </is>
      </c>
      <c r="G384" t="inlineStr">
        <is>
          <t>Кран шаровый муфтовый Valtec для воды диаметром 15 мм, тип в/в</t>
        </is>
      </c>
      <c r="H384" t="inlineStr">
        <is>
          <t>шт.</t>
        </is>
      </c>
      <c r="I384">
        <f>I382*J384</f>
        <v/>
      </c>
      <c r="J384" t="n">
        <v>100</v>
      </c>
      <c r="K384" t="n">
        <v>100</v>
      </c>
      <c r="O384">
        <f>ROUND(CP384,0)</f>
        <v/>
      </c>
      <c r="P384">
        <f>ROUND(CQ384*I384,0)</f>
        <v/>
      </c>
      <c r="Q384">
        <f>(ROUND((ROUND(((ET384)*I384),0)*BB384),0)+ROUND((ROUND(((AE384-(EU384))*I384),0)*BS384),0))</f>
        <v/>
      </c>
      <c r="R384">
        <f>(ROUND((ROUND(((EU384)*I384),0)*BS384),0)+ROUND((ROUND(((AE384-(EU384))*I384),0)*BS384),0))</f>
        <v/>
      </c>
      <c r="S384">
        <f>ROUND(CT384*I384,0)</f>
        <v/>
      </c>
      <c r="T384">
        <f>ROUND(CU384*I384,0)</f>
        <v/>
      </c>
      <c r="U384">
        <f>ROUND(CV384*I384,7)</f>
        <v/>
      </c>
      <c r="V384">
        <f>ROUND(CW384*I384,7)</f>
        <v/>
      </c>
      <c r="W384">
        <f>ROUND(CX384*I384,0)</f>
        <v/>
      </c>
      <c r="X384">
        <f>ROUND(CY384,0)</f>
        <v/>
      </c>
      <c r="Y384">
        <f>ROUND(CZ384,0)</f>
        <v/>
      </c>
      <c r="AA384" t="n">
        <v>78869116</v>
      </c>
      <c r="AB384">
        <f>ROUND((AC384+AD384+AF384),2)</f>
        <v/>
      </c>
      <c r="AC384">
        <f>ROUND((ES384),2)</f>
        <v/>
      </c>
      <c r="AD384">
        <f>ROUND((((ET384)-(EU384))+AE384),2)</f>
        <v/>
      </c>
      <c r="AE384">
        <f>ROUND((EU384),2)</f>
        <v/>
      </c>
      <c r="AF384">
        <f>ROUND((EV384),2)</f>
        <v/>
      </c>
      <c r="AG384">
        <f>ROUND((AP384),2)</f>
        <v/>
      </c>
      <c r="AH384">
        <f>(EW384)</f>
        <v/>
      </c>
      <c r="AI384">
        <f>(EX384)</f>
        <v/>
      </c>
      <c r="AJ384">
        <f>(AS384)</f>
        <v/>
      </c>
      <c r="AK384" t="n">
        <v>28.53</v>
      </c>
      <c r="AL384" t="n">
        <v>28.53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  <c r="AS384" t="n">
        <v>0.01</v>
      </c>
      <c r="AT384" t="n">
        <v>103</v>
      </c>
      <c r="AU384" t="n">
        <v>52</v>
      </c>
      <c r="AV384" t="n">
        <v>1</v>
      </c>
      <c r="AW384" t="n">
        <v>1</v>
      </c>
      <c r="AZ384" t="n">
        <v>1</v>
      </c>
      <c r="BA384" t="n">
        <v>1</v>
      </c>
      <c r="BB384" t="n">
        <v>1</v>
      </c>
      <c r="BC384" t="n">
        <v>13.47</v>
      </c>
      <c r="BD384" t="inlineStr"/>
      <c r="BE384" t="inlineStr"/>
      <c r="BF384" t="inlineStr"/>
      <c r="BG384" t="inlineStr"/>
      <c r="BH384" t="n">
        <v>3</v>
      </c>
      <c r="BI384" t="n">
        <v>1</v>
      </c>
      <c r="BJ384" t="inlineStr">
        <is>
          <t>ТССЦ Московской обл., 302-0062, приказ Минстроя России №675/пр от 28.02.2017 № 256/пр</t>
        </is>
      </c>
      <c r="BM384" t="n">
        <v>65007</v>
      </c>
      <c r="BN384" t="n">
        <v>0</v>
      </c>
      <c r="BO384" t="inlineStr">
        <is>
          <t>302-0062</t>
        </is>
      </c>
      <c r="BP384" t="n">
        <v>1</v>
      </c>
      <c r="BQ384" t="n">
        <v>6</v>
      </c>
      <c r="BR384" t="n">
        <v>0</v>
      </c>
      <c r="BS384" t="n">
        <v>1</v>
      </c>
      <c r="BT384" t="n">
        <v>1</v>
      </c>
      <c r="BU384" t="n">
        <v>1</v>
      </c>
      <c r="BV384" t="n">
        <v>1</v>
      </c>
      <c r="BW384" t="n">
        <v>1</v>
      </c>
      <c r="BX384" t="n">
        <v>1</v>
      </c>
      <c r="BY384" t="inlineStr"/>
      <c r="BZ384" t="n">
        <v>103</v>
      </c>
      <c r="CA384" t="n">
        <v>52</v>
      </c>
      <c r="CB384" t="inlineStr"/>
      <c r="CE384" t="n">
        <v>12</v>
      </c>
      <c r="CF384" t="n">
        <v>0</v>
      </c>
      <c r="CG384" t="n">
        <v>0</v>
      </c>
      <c r="CM384" t="n">
        <v>0</v>
      </c>
      <c r="CN384" t="inlineStr"/>
      <c r="CO384" t="n">
        <v>0</v>
      </c>
      <c r="CP384">
        <f>(P384+Q384+S384)</f>
        <v/>
      </c>
      <c r="CQ384">
        <f>AC384*BC384</f>
        <v/>
      </c>
      <c r="CR384">
        <f>(ROUND((ROUND(((ET384)*1),0)*BB384),0)+ROUND((ROUND(((AE384-(EU384))*1),0)*BS384),0))</f>
        <v/>
      </c>
      <c r="CS384">
        <f>(ROUND((ROUND(((EU384)*1),0)*BS384),0)+ROUND((ROUND(((AE384-(EU384))*1),0)*BS384),0))</f>
        <v/>
      </c>
      <c r="CT384">
        <f>AF384*BA384</f>
        <v/>
      </c>
      <c r="CU384">
        <f>AG384</f>
        <v/>
      </c>
      <c r="CV384">
        <f>AH384</f>
        <v/>
      </c>
      <c r="CW384">
        <f>AI384</f>
        <v/>
      </c>
      <c r="CX384">
        <f>AJ384</f>
        <v/>
      </c>
      <c r="CY384">
        <f>(((S384+R384)*AT384)/100)</f>
        <v/>
      </c>
      <c r="CZ384">
        <f>(((S384+R384)*AU384)/100)</f>
        <v/>
      </c>
      <c r="DC384" t="inlineStr"/>
      <c r="DD384" t="inlineStr"/>
      <c r="DE384" t="inlineStr"/>
      <c r="DF384" t="inlineStr"/>
      <c r="DG384" t="inlineStr"/>
      <c r="DH384" t="inlineStr"/>
      <c r="DI384" t="inlineStr"/>
      <c r="DJ384" t="inlineStr"/>
      <c r="DK384" t="inlineStr"/>
      <c r="DL384" t="inlineStr"/>
      <c r="DM384" t="inlineStr"/>
      <c r="DN384" t="n">
        <v>0</v>
      </c>
      <c r="DO384" t="n">
        <v>0</v>
      </c>
      <c r="DP384" t="n">
        <v>1</v>
      </c>
      <c r="DQ384" t="n">
        <v>1</v>
      </c>
      <c r="DU384" t="n">
        <v>1010</v>
      </c>
      <c r="DV384" t="inlineStr">
        <is>
          <t>шт.</t>
        </is>
      </c>
      <c r="DW384" t="inlineStr">
        <is>
          <t>шт.</t>
        </is>
      </c>
      <c r="DX384" t="n">
        <v>1</v>
      </c>
      <c r="DZ384" t="inlineStr"/>
      <c r="EA384" t="inlineStr"/>
      <c r="EB384" t="inlineStr"/>
      <c r="EC384" t="inlineStr"/>
      <c r="EE384" t="n">
        <v>78726000</v>
      </c>
      <c r="EF384" t="n">
        <v>6</v>
      </c>
      <c r="EG384" t="inlineStr">
        <is>
          <t>Ремонтно-строительные работы</t>
        </is>
      </c>
      <c r="EH384" t="n">
        <v>99</v>
      </c>
      <c r="EI384" t="inlineStr">
        <is>
          <t>Внутренние санитарно-технические работы</t>
        </is>
      </c>
      <c r="EJ384" t="n">
        <v>1</v>
      </c>
      <c r="EK384" t="n">
        <v>65007</v>
      </c>
      <c r="EL384" t="inlineStr">
        <is>
          <t>Внутренние санитарнотехнические работы: смена труб, санприборов, запорной арматуры и другое</t>
        </is>
      </c>
      <c r="EM384" t="inlineStr">
        <is>
          <t>рФЕР-65</t>
        </is>
      </c>
      <c r="EO384" t="inlineStr"/>
      <c r="EQ384" t="n">
        <v>0</v>
      </c>
      <c r="ER384" t="n">
        <v>28.53</v>
      </c>
      <c r="ES384" t="n">
        <v>28.53</v>
      </c>
      <c r="ET384" t="n">
        <v>0</v>
      </c>
      <c r="EU384" t="n">
        <v>0</v>
      </c>
      <c r="EV384" t="n">
        <v>0</v>
      </c>
      <c r="EW384" t="n">
        <v>0</v>
      </c>
      <c r="EX384" t="n">
        <v>0</v>
      </c>
      <c r="FQ384" t="n">
        <v>0</v>
      </c>
      <c r="FR384" t="n">
        <v>0</v>
      </c>
      <c r="FS384" t="n">
        <v>0</v>
      </c>
      <c r="FX384" t="n">
        <v>103</v>
      </c>
      <c r="FY384" t="n">
        <v>52</v>
      </c>
      <c r="GA384" t="inlineStr"/>
      <c r="GD384" t="n">
        <v>1</v>
      </c>
      <c r="GF384" t="n">
        <v>-1687406522</v>
      </c>
      <c r="GG384" t="n">
        <v>2</v>
      </c>
      <c r="GH384" t="n">
        <v>1</v>
      </c>
      <c r="GI384" t="n">
        <v>2</v>
      </c>
      <c r="GJ384" t="n">
        <v>0</v>
      </c>
      <c r="GK384" t="n">
        <v>0</v>
      </c>
      <c r="GL384">
        <f>ROUND(IF(AND(BH384=3,BI384=3,FS384&lt;&gt;0),P384,0),0)</f>
        <v/>
      </c>
      <c r="GM384">
        <f>ROUND(O384+X384+Y384,0)+GX384</f>
        <v/>
      </c>
      <c r="GN384">
        <f>IF(OR(BI384=0,BI384=1),GM384-GX384,0)</f>
        <v/>
      </c>
      <c r="GO384">
        <f>IF(BI384=2,GM384-GX384,0)</f>
        <v/>
      </c>
      <c r="GP384">
        <f>IF(BI384=4,GM384-GX384,0)</f>
        <v/>
      </c>
      <c r="GR384" t="n">
        <v>0</v>
      </c>
      <c r="GS384" t="n">
        <v>3</v>
      </c>
      <c r="GT384" t="n">
        <v>0</v>
      </c>
      <c r="GU384" t="inlineStr"/>
      <c r="GV384">
        <f>ROUND((GT384),2)</f>
        <v/>
      </c>
      <c r="GW384" t="n">
        <v>1</v>
      </c>
      <c r="GX384">
        <f>ROUND(HC384*I384,0)</f>
        <v/>
      </c>
      <c r="HA384" t="n">
        <v>0</v>
      </c>
      <c r="HB384" t="n">
        <v>0</v>
      </c>
      <c r="HC384">
        <f>GV384*GW384</f>
        <v/>
      </c>
      <c r="HE384" t="inlineStr"/>
      <c r="HF384" t="inlineStr"/>
      <c r="HM384" t="inlineStr"/>
      <c r="HN384" t="inlineStr">
        <is>
          <t>Пр/812-099.2-1</t>
        </is>
      </c>
      <c r="HO384" t="inlineStr">
        <is>
          <t>Пр/774-099.2</t>
        </is>
      </c>
      <c r="HP384" t="inlineStr">
        <is>
          <t>Внутренние санитарнотехнические работы: смена труб, санприборов, запорной арматуры и другое</t>
        </is>
      </c>
      <c r="HQ384" t="inlineStr">
        <is>
          <t>Внутренние санитарнотехнические работы: смена труб, санприборов, запорной арматуры и другое</t>
        </is>
      </c>
      <c r="HS384" t="n">
        <v>0</v>
      </c>
      <c r="IK384" t="n">
        <v>0</v>
      </c>
    </row>
    <row r="385">
      <c r="A385" t="n">
        <v>17</v>
      </c>
      <c r="B385" t="n">
        <v>0</v>
      </c>
      <c r="C385">
        <f>ROW(SmtRes!A198)</f>
        <v/>
      </c>
      <c r="D385">
        <f>ROW(EtalonRes!A184)</f>
        <v/>
      </c>
      <c r="E385" t="inlineStr">
        <is>
          <t>4</t>
        </is>
      </c>
      <c r="F385" t="inlineStr">
        <is>
          <t>16-07-005-1</t>
        </is>
      </c>
      <c r="G38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85" t="inlineStr">
        <is>
          <t>100 м трубопровода</t>
        </is>
      </c>
      <c r="I385">
        <f>ROUND(ROUND(120/100,4),7)</f>
        <v/>
      </c>
      <c r="J385" t="n">
        <v>0</v>
      </c>
      <c r="K385">
        <f>ROUND(ROUND(120/100,4),7)</f>
        <v/>
      </c>
      <c r="O385">
        <f>ROUND(CP385,0)</f>
        <v/>
      </c>
      <c r="P385">
        <f>ROUND(CQ385*I385,0)</f>
        <v/>
      </c>
      <c r="Q385">
        <f>(ROUND((ROUND((((ET385*ROUND(5,7)))*I385),0)*BB385),0)+ROUND((ROUND(((AE385-((EU385*ROUND(5,7))))*I385),0)*BS385),0))</f>
        <v/>
      </c>
      <c r="R385">
        <f>(ROUND((ROUND((((EU385*ROUND(5,7)))*I385),0)*BS385),0)+ROUND((ROUND(((AE385-((EU385*ROUND(5,7))))*I385),0)*BS385),0))</f>
        <v/>
      </c>
      <c r="S385">
        <f>ROUND(CT385*I385,0)</f>
        <v/>
      </c>
      <c r="T385">
        <f>ROUND(CU385*I385,0)</f>
        <v/>
      </c>
      <c r="U385">
        <f>ROUND(CV385*I385,7)</f>
        <v/>
      </c>
      <c r="V385">
        <f>ROUND(CW385*I385,7)</f>
        <v/>
      </c>
      <c r="W385">
        <f>ROUND(CX385*I385,0)</f>
        <v/>
      </c>
      <c r="X385">
        <f>ROUND(CY385,0)</f>
        <v/>
      </c>
      <c r="Y385">
        <f>ROUND(CZ385,0)</f>
        <v/>
      </c>
      <c r="AA385" t="n">
        <v>78869116</v>
      </c>
      <c r="AB385">
        <f>ROUND((AC385+AD385+AF385),2)</f>
        <v/>
      </c>
      <c r="AC385">
        <f>ROUND(((ES385*ROUND(5,7))),2)</f>
        <v/>
      </c>
      <c r="AD385">
        <f>ROUND(((((ET385*ROUND(5,7)))-((EU385*ROUND(5,7))))+AE385),2)</f>
        <v/>
      </c>
      <c r="AE385">
        <f>ROUND(((EU385*ROUND(5,7))),2)</f>
        <v/>
      </c>
      <c r="AF385">
        <f>ROUND(((EV385*ROUND(5,7))),2)</f>
        <v/>
      </c>
      <c r="AG385">
        <f>ROUND((AP385),2)</f>
        <v/>
      </c>
      <c r="AH385">
        <f>((EW385*ROUND(5,7)))</f>
        <v/>
      </c>
      <c r="AI385">
        <f>((EX385*ROUND(5,7)))</f>
        <v/>
      </c>
      <c r="AJ385">
        <f>(AS385)</f>
        <v/>
      </c>
      <c r="AK385" t="n">
        <v>107.11</v>
      </c>
      <c r="AL385" t="n">
        <v>4.28</v>
      </c>
      <c r="AM385" t="n">
        <v>44.51</v>
      </c>
      <c r="AN385" t="n">
        <v>0</v>
      </c>
      <c r="AO385" t="n">
        <v>58.32</v>
      </c>
      <c r="AP385" t="n">
        <v>0</v>
      </c>
      <c r="AQ385" t="n">
        <v>5.01</v>
      </c>
      <c r="AR385" t="n">
        <v>0</v>
      </c>
      <c r="AS385" t="n">
        <v>0</v>
      </c>
      <c r="AT385" t="n">
        <v>121</v>
      </c>
      <c r="AU385" t="n">
        <v>72</v>
      </c>
      <c r="AV385" t="n">
        <v>1</v>
      </c>
      <c r="AW385" t="n">
        <v>1</v>
      </c>
      <c r="AZ385" t="n">
        <v>1</v>
      </c>
      <c r="BA385" t="n">
        <v>52.25</v>
      </c>
      <c r="BB385" t="n">
        <v>5.97</v>
      </c>
      <c r="BC385" t="n">
        <v>11.38</v>
      </c>
      <c r="BD385" t="inlineStr"/>
      <c r="BE385" t="inlineStr"/>
      <c r="BF385" t="inlineStr"/>
      <c r="BG385" t="inlineStr"/>
      <c r="BH385" t="n">
        <v>0</v>
      </c>
      <c r="BI385" t="n">
        <v>1</v>
      </c>
      <c r="BJ385" t="inlineStr">
        <is>
          <t>ТЕР Московской обл., 16-07-005-1, приказ Минстроя России №675/пр от 28.02.2017 № 260/пр</t>
        </is>
      </c>
      <c r="BM385" t="n">
        <v>16001</v>
      </c>
      <c r="BN385" t="n">
        <v>0</v>
      </c>
      <c r="BO385" t="inlineStr">
        <is>
          <t>16-07-005-1</t>
        </is>
      </c>
      <c r="BP385" t="n">
        <v>1</v>
      </c>
      <c r="BQ385" t="n">
        <v>2</v>
      </c>
      <c r="BR385" t="n">
        <v>0</v>
      </c>
      <c r="BS385" t="n">
        <v>52.25</v>
      </c>
      <c r="BT385" t="n">
        <v>1</v>
      </c>
      <c r="BU385" t="n">
        <v>1</v>
      </c>
      <c r="BV385" t="n">
        <v>1</v>
      </c>
      <c r="BW385" t="n">
        <v>1</v>
      </c>
      <c r="BX385" t="n">
        <v>1</v>
      </c>
      <c r="BY385" t="inlineStr"/>
      <c r="BZ385" t="n">
        <v>121</v>
      </c>
      <c r="CA385" t="n">
        <v>72</v>
      </c>
      <c r="CB385" t="inlineStr"/>
      <c r="CE385" t="n">
        <v>12</v>
      </c>
      <c r="CF385" t="n">
        <v>0</v>
      </c>
      <c r="CG385" t="n">
        <v>0</v>
      </c>
      <c r="CM385" t="n">
        <v>0</v>
      </c>
      <c r="CN385" t="inlineStr"/>
      <c r="CO385" t="n">
        <v>0</v>
      </c>
      <c r="CP385">
        <f>(P385+Q385+S385)</f>
        <v/>
      </c>
      <c r="CQ385">
        <f>AC385*BC385</f>
        <v/>
      </c>
      <c r="CR385">
        <f>(ROUND((ROUND((((ET385*ROUND(5,7)))*1),0)*BB385),0)+ROUND((ROUND(((AE385-((EU385*ROUND(5,7))))*1),0)*BS385),0))</f>
        <v/>
      </c>
      <c r="CS385">
        <f>(ROUND((ROUND((((EU385*ROUND(5,7)))*1),0)*BS385),0)+ROUND((ROUND(((AE385-((EU385*ROUND(5,7))))*1),0)*BS385),0))</f>
        <v/>
      </c>
      <c r="CT385">
        <f>AF385*BA385</f>
        <v/>
      </c>
      <c r="CU385">
        <f>AG385</f>
        <v/>
      </c>
      <c r="CV385">
        <f>AH385</f>
        <v/>
      </c>
      <c r="CW385">
        <f>AI385</f>
        <v/>
      </c>
      <c r="CX385">
        <f>AJ385</f>
        <v/>
      </c>
      <c r="CY385">
        <f>(((S385+R385)*AT385)/100)</f>
        <v/>
      </c>
      <c r="CZ385">
        <f>(((S385+R385)*AU385)/100)</f>
        <v/>
      </c>
      <c r="DC385" t="inlineStr"/>
      <c r="DD385" t="inlineStr">
        <is>
          <t>)*5</t>
        </is>
      </c>
      <c r="DE385" t="inlineStr">
        <is>
          <t>)*5</t>
        </is>
      </c>
      <c r="DF385" t="inlineStr">
        <is>
          <t>)*5</t>
        </is>
      </c>
      <c r="DG385" t="inlineStr">
        <is>
          <t>)*5</t>
        </is>
      </c>
      <c r="DH385" t="inlineStr"/>
      <c r="DI385" t="inlineStr">
        <is>
          <t>)*5</t>
        </is>
      </c>
      <c r="DJ385" t="inlineStr">
        <is>
          <t>)*5</t>
        </is>
      </c>
      <c r="DK385" t="inlineStr"/>
      <c r="DL385" t="inlineStr"/>
      <c r="DM385" t="inlineStr"/>
      <c r="DN385" t="n">
        <v>0</v>
      </c>
      <c r="DO385" t="n">
        <v>0</v>
      </c>
      <c r="DP385" t="n">
        <v>1</v>
      </c>
      <c r="DQ385" t="n">
        <v>1</v>
      </c>
      <c r="DU385" t="n">
        <v>1013</v>
      </c>
      <c r="DV385" t="inlineStr">
        <is>
          <t>100 м трубопровода</t>
        </is>
      </c>
      <c r="DW385" t="inlineStr">
        <is>
          <t>100 м трубопровода</t>
        </is>
      </c>
      <c r="DX385" t="n">
        <v>1</v>
      </c>
      <c r="DZ385" t="inlineStr"/>
      <c r="EA385" t="inlineStr"/>
      <c r="EB385" t="inlineStr"/>
      <c r="EC385" t="inlineStr"/>
      <c r="EE385" t="n">
        <v>78725882</v>
      </c>
      <c r="EF385" t="n">
        <v>2</v>
      </c>
      <c r="EG385" t="inlineStr">
        <is>
          <t>Общестроительные работы</t>
        </is>
      </c>
      <c r="EH385" t="n">
        <v>16</v>
      </c>
      <c r="EI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85" t="n">
        <v>1</v>
      </c>
      <c r="EK385" t="n">
        <v>16001</v>
      </c>
      <c r="EL385" t="inlineStr">
        <is>
          <t>Трубопроводы внутренние</t>
        </is>
      </c>
      <c r="EM385" t="inlineStr">
        <is>
          <t>ФЕР-16</t>
        </is>
      </c>
      <c r="EO385" t="inlineStr"/>
      <c r="EQ385" t="n">
        <v>0</v>
      </c>
      <c r="ER385" t="n">
        <v>107.11</v>
      </c>
      <c r="ES385" t="n">
        <v>4.28</v>
      </c>
      <c r="ET385" t="n">
        <v>44.51</v>
      </c>
      <c r="EU385" t="n">
        <v>0</v>
      </c>
      <c r="EV385" t="n">
        <v>58.32</v>
      </c>
      <c r="EW385" t="n">
        <v>5.01</v>
      </c>
      <c r="EX385" t="n">
        <v>0</v>
      </c>
      <c r="EY385" t="n">
        <v>0</v>
      </c>
      <c r="FQ385" t="n">
        <v>0</v>
      </c>
      <c r="FR385" t="n">
        <v>0</v>
      </c>
      <c r="FS385" t="n">
        <v>0</v>
      </c>
      <c r="FX385" t="n">
        <v>121</v>
      </c>
      <c r="FY385" t="n">
        <v>72</v>
      </c>
      <c r="GA385" t="inlineStr"/>
      <c r="GD385" t="n">
        <v>1</v>
      </c>
      <c r="GF385" t="n">
        <v>635989612</v>
      </c>
      <c r="GG385" t="n">
        <v>2</v>
      </c>
      <c r="GH385" t="n">
        <v>1</v>
      </c>
      <c r="GI385" t="n">
        <v>2</v>
      </c>
      <c r="GJ385" t="n">
        <v>0</v>
      </c>
      <c r="GK385" t="n">
        <v>0</v>
      </c>
      <c r="GL385">
        <f>ROUND(IF(AND(BH385=3,BI385=3,FS385&lt;&gt;0),P385,0),0)</f>
        <v/>
      </c>
      <c r="GM385">
        <f>ROUND(O385+X385+Y385,0)+GX385</f>
        <v/>
      </c>
      <c r="GN385">
        <f>IF(OR(BI385=0,BI385=1),GM385-GX385,0)</f>
        <v/>
      </c>
      <c r="GO385">
        <f>IF(BI385=2,GM385-GX385,0)</f>
        <v/>
      </c>
      <c r="GP385">
        <f>IF(BI385=4,GM385-GX385,0)</f>
        <v/>
      </c>
      <c r="GR385" t="n">
        <v>0</v>
      </c>
      <c r="GS385" t="n">
        <v>3</v>
      </c>
      <c r="GT385" t="n">
        <v>0</v>
      </c>
      <c r="GU385" t="inlineStr"/>
      <c r="GV385">
        <f>ROUND((GT385),2)</f>
        <v/>
      </c>
      <c r="GW385" t="n">
        <v>1</v>
      </c>
      <c r="GX385">
        <f>ROUND(HC385*I385,0)</f>
        <v/>
      </c>
      <c r="HA385" t="n">
        <v>0</v>
      </c>
      <c r="HB385" t="n">
        <v>0</v>
      </c>
      <c r="HC385">
        <f>GV385*GW385</f>
        <v/>
      </c>
      <c r="HE385" t="inlineStr"/>
      <c r="HF385" t="inlineStr"/>
      <c r="HM385" t="inlineStr"/>
      <c r="HN385" t="inlineStr">
        <is>
          <t>Пр/812-016.0-1</t>
        </is>
      </c>
      <c r="HO385" t="inlineStr">
        <is>
          <t>Пр/774-016.0</t>
        </is>
      </c>
      <c r="HP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85" t="n">
        <v>0</v>
      </c>
      <c r="IK385" t="n">
        <v>0</v>
      </c>
    </row>
    <row r="386"/>
    <row r="387">
      <c r="A387" s="402" t="n">
        <v>51</v>
      </c>
      <c r="B387" s="402">
        <f>B375</f>
        <v/>
      </c>
      <c r="C387" s="402">
        <f>A375</f>
        <v/>
      </c>
      <c r="D387" s="402">
        <f>ROW(A375)</f>
        <v/>
      </c>
      <c r="E387" s="402" t="n"/>
      <c r="F387" s="402">
        <f>IF(F375&lt;&gt;"",F375,"")</f>
        <v/>
      </c>
      <c r="G387" s="402">
        <f>IF(G375&lt;&gt;"",G375,"")</f>
        <v/>
      </c>
      <c r="H387" s="402" t="n">
        <v>0</v>
      </c>
      <c r="I387" s="402" t="n"/>
      <c r="J387" s="402" t="n"/>
      <c r="K387" s="402" t="n"/>
      <c r="L387" s="402" t="n"/>
      <c r="M387" s="402" t="n"/>
      <c r="N387" s="402" t="n"/>
      <c r="O387" s="402" t="n">
        <v>0</v>
      </c>
      <c r="P387" s="402" t="n">
        <v>0</v>
      </c>
      <c r="Q387" s="402" t="n">
        <v>0</v>
      </c>
      <c r="R387" s="402" t="n">
        <v>0</v>
      </c>
      <c r="S387" s="402" t="n">
        <v>0</v>
      </c>
      <c r="T387" s="402" t="n">
        <v>0</v>
      </c>
      <c r="U387" s="402" t="n">
        <v>0</v>
      </c>
      <c r="V387" s="402" t="n">
        <v>0</v>
      </c>
      <c r="W387" s="402" t="n">
        <v>0</v>
      </c>
      <c r="X387" s="402" t="n">
        <v>0</v>
      </c>
      <c r="Y387" s="402" t="n">
        <v>0</v>
      </c>
      <c r="Z387" s="402" t="n"/>
      <c r="AA387" s="402" t="n"/>
      <c r="AB387" s="402" t="n"/>
      <c r="AC387" s="402" t="n"/>
      <c r="AD387" s="402" t="n"/>
      <c r="AE387" s="402" t="n"/>
      <c r="AF387" s="402" t="n"/>
      <c r="AG387" s="402" t="n"/>
      <c r="AH387" s="402" t="n"/>
      <c r="AI387" s="402" t="n"/>
      <c r="AJ387" s="402" t="n"/>
      <c r="AK387" s="402" t="n"/>
      <c r="AL387" s="402" t="n"/>
      <c r="AM387" s="402" t="n"/>
      <c r="AN387" s="402" t="n"/>
      <c r="AO387" s="402">
        <f>ROUND(BX387,0)</f>
        <v/>
      </c>
      <c r="AP387" s="402">
        <f>ROUND(BY387,0)</f>
        <v/>
      </c>
      <c r="AQ387" s="402">
        <f>ROUND(BZ387,0)</f>
        <v/>
      </c>
      <c r="AR387" s="402">
        <f>ROUND(CA387,0)</f>
        <v/>
      </c>
      <c r="AS387" s="402">
        <f>ROUND(CB387,0)</f>
        <v/>
      </c>
      <c r="AT387" s="402">
        <f>ROUND(CC387,0)</f>
        <v/>
      </c>
      <c r="AU387" s="402">
        <f>ROUND(CD387,0)</f>
        <v/>
      </c>
      <c r="AV387" s="402">
        <f>ROUND(CE387,0)</f>
        <v/>
      </c>
      <c r="AW387" s="402">
        <f>ROUND(CF387,0)</f>
        <v/>
      </c>
      <c r="AX387" s="402">
        <f>ROUND(CG387,0)</f>
        <v/>
      </c>
      <c r="AY387" s="402">
        <f>ROUND(CH387,0)</f>
        <v/>
      </c>
      <c r="AZ387" s="402">
        <f>ROUND(CI387,0)</f>
        <v/>
      </c>
      <c r="BA387" s="402">
        <f>ROUND(CJ387,0)</f>
        <v/>
      </c>
      <c r="BB387" s="402">
        <f>ROUND(CK387,0)</f>
        <v/>
      </c>
      <c r="BC387" s="402">
        <f>ROUND(CL387,0)</f>
        <v/>
      </c>
      <c r="BD387" s="402">
        <f>ROUND(CM387,0)</f>
        <v/>
      </c>
      <c r="BE387" s="402" t="n"/>
      <c r="BF387" s="402" t="n"/>
      <c r="BG387" s="402" t="n"/>
      <c r="BH387" s="402" t="n"/>
      <c r="BI387" s="402" t="n"/>
      <c r="BJ387" s="402" t="n"/>
      <c r="BK387" s="402" t="n"/>
      <c r="BL387" s="402" t="n"/>
      <c r="BM387" s="402" t="n"/>
      <c r="BN387" s="402" t="n"/>
      <c r="BO387" s="402" t="n"/>
      <c r="BP387" s="402" t="n"/>
      <c r="BQ387" s="402" t="n"/>
      <c r="BR387" s="402" t="n"/>
      <c r="BS387" s="402" t="n"/>
      <c r="BT387" s="402" t="n"/>
      <c r="BU387" s="402" t="n"/>
      <c r="BV387" s="402" t="n"/>
      <c r="BW387" s="402" t="n"/>
      <c r="BX387" s="402" t="n"/>
      <c r="BY387" s="402" t="n"/>
      <c r="BZ387" s="402" t="n"/>
      <c r="CA387" s="402" t="n"/>
      <c r="CB387" s="402" t="n"/>
      <c r="CC387" s="402" t="n"/>
      <c r="CD387" s="402" t="n"/>
      <c r="CE387" s="402" t="n"/>
      <c r="CF387" s="402" t="n"/>
      <c r="CG387" s="402" t="n"/>
      <c r="CH387" s="402" t="n"/>
      <c r="CI387" s="402" t="n"/>
      <c r="CJ387" s="402" t="n"/>
      <c r="CK387" s="402" t="n"/>
      <c r="CL387" s="402" t="n"/>
      <c r="CM387" s="402" t="n"/>
      <c r="CN387" s="402" t="n"/>
      <c r="CO387" s="402" t="n"/>
      <c r="CP387" s="402" t="n"/>
      <c r="CQ387" s="402" t="n"/>
      <c r="CR387" s="402" t="n"/>
      <c r="CS387" s="402" t="n"/>
      <c r="CT387" s="402" t="n"/>
      <c r="CU387" s="402" t="n"/>
      <c r="CV387" s="402" t="n"/>
      <c r="CW387" s="402" t="n"/>
      <c r="CX387" s="402" t="n"/>
      <c r="CY387" s="402" t="n"/>
      <c r="CZ387" s="402" t="n"/>
      <c r="DA387" s="402" t="n"/>
      <c r="DB387" s="402" t="n"/>
      <c r="DC387" s="402" t="n"/>
      <c r="DD387" s="402" t="n"/>
      <c r="DE387" s="402" t="n"/>
      <c r="DF387" s="402" t="n"/>
      <c r="DG387" s="403" t="n"/>
      <c r="DH387" s="403" t="n"/>
      <c r="DI387" s="403" t="n"/>
      <c r="DJ387" s="403" t="n"/>
      <c r="DK387" s="403" t="n"/>
      <c r="DL387" s="403" t="n"/>
      <c r="DM387" s="403" t="n"/>
      <c r="DN387" s="403" t="n"/>
      <c r="DO387" s="403" t="n"/>
      <c r="DP387" s="403" t="n"/>
      <c r="DQ387" s="403" t="n"/>
      <c r="DR387" s="403" t="n"/>
      <c r="DS387" s="403" t="n"/>
      <c r="DT387" s="403" t="n"/>
      <c r="DU387" s="403" t="n"/>
      <c r="DV387" s="403" t="n"/>
      <c r="DW387" s="403" t="n"/>
      <c r="DX387" s="403" t="n"/>
      <c r="DY387" s="403" t="n"/>
      <c r="DZ387" s="403" t="n"/>
      <c r="EA387" s="403" t="n"/>
      <c r="EB387" s="403" t="n"/>
      <c r="EC387" s="403" t="n"/>
      <c r="ED387" s="403" t="n"/>
      <c r="EE387" s="403" t="n"/>
      <c r="EF387" s="403" t="n"/>
      <c r="EG387" s="403" t="n"/>
      <c r="EH387" s="403" t="n"/>
      <c r="EI387" s="403" t="n"/>
      <c r="EJ387" s="403" t="n"/>
      <c r="EK387" s="403" t="n"/>
      <c r="EL387" s="403" t="n"/>
      <c r="EM387" s="403" t="n"/>
      <c r="EN387" s="403" t="n"/>
      <c r="EO387" s="403" t="n"/>
      <c r="EP387" s="403" t="n"/>
      <c r="EQ387" s="403" t="n"/>
      <c r="ER387" s="403" t="n"/>
      <c r="ES387" s="403" t="n"/>
      <c r="ET387" s="403" t="n"/>
      <c r="EU387" s="403" t="n"/>
      <c r="EV387" s="403" t="n"/>
      <c r="EW387" s="403" t="n"/>
      <c r="EX387" s="403" t="n"/>
      <c r="EY387" s="403" t="n"/>
      <c r="EZ387" s="403" t="n"/>
      <c r="FA387" s="403" t="n"/>
      <c r="FB387" s="403" t="n"/>
      <c r="FC387" s="403" t="n"/>
      <c r="FD387" s="403" t="n"/>
      <c r="FE387" s="403" t="n"/>
      <c r="FF387" s="403" t="n"/>
      <c r="FG387" s="403" t="n"/>
      <c r="FH387" s="403" t="n"/>
      <c r="FI387" s="403" t="n"/>
      <c r="FJ387" s="403" t="n"/>
      <c r="FK387" s="403" t="n"/>
      <c r="FL387" s="403" t="n"/>
      <c r="FM387" s="403" t="n"/>
      <c r="FN387" s="403" t="n"/>
      <c r="FO387" s="403" t="n"/>
      <c r="FP387" s="403" t="n"/>
      <c r="FQ387" s="403" t="n"/>
      <c r="FR387" s="403" t="n"/>
      <c r="FS387" s="403" t="n"/>
      <c r="FT387" s="403" t="n"/>
      <c r="FU387" s="403" t="n"/>
      <c r="FV387" s="403" t="n"/>
      <c r="FW387" s="403" t="n"/>
      <c r="FX387" s="403" t="n"/>
      <c r="FY387" s="403" t="n"/>
      <c r="FZ387" s="403" t="n"/>
      <c r="GA387" s="403" t="n"/>
      <c r="GB387" s="403" t="n"/>
      <c r="GC387" s="403" t="n"/>
      <c r="GD387" s="403" t="n"/>
      <c r="GE387" s="403" t="n"/>
      <c r="GF387" s="403" t="n"/>
      <c r="GG387" s="403" t="n"/>
      <c r="GH387" s="403" t="n"/>
      <c r="GI387" s="403" t="n"/>
      <c r="GJ387" s="403" t="n"/>
      <c r="GK387" s="403" t="n"/>
      <c r="GL387" s="403" t="n"/>
      <c r="GM387" s="403" t="n"/>
      <c r="GN387" s="403" t="n"/>
      <c r="GO387" s="403" t="n"/>
      <c r="GP387" s="403" t="n"/>
      <c r="GQ387" s="403" t="n"/>
      <c r="GR387" s="403" t="n"/>
      <c r="GS387" s="403" t="n"/>
      <c r="GT387" s="403" t="n"/>
      <c r="GU387" s="403" t="n"/>
      <c r="GV387" s="403" t="n"/>
      <c r="GW387" s="403" t="n"/>
      <c r="GX387" s="403" t="n">
        <v>0</v>
      </c>
    </row>
    <row r="388"/>
    <row r="389">
      <c r="A389" s="404" t="n">
        <v>50</v>
      </c>
      <c r="B389" s="404" t="n">
        <v>0</v>
      </c>
      <c r="C389" s="404" t="n">
        <v>0</v>
      </c>
      <c r="D389" s="404" t="n">
        <v>1</v>
      </c>
      <c r="E389" s="404" t="n">
        <v>201</v>
      </c>
      <c r="F389" s="404">
        <f>ROUND(Source!O387,O389)</f>
        <v/>
      </c>
      <c r="G389" s="404" t="inlineStr">
        <is>
          <t>ПЗ</t>
        </is>
      </c>
      <c r="H389" s="404" t="inlineStr">
        <is>
          <t>Прямые затраты</t>
        </is>
      </c>
      <c r="I389" s="404" t="n"/>
      <c r="J389" s="404" t="n"/>
      <c r="K389" s="404" t="n">
        <v>201</v>
      </c>
      <c r="L389" s="404" t="n">
        <v>1</v>
      </c>
      <c r="M389" s="404" t="n">
        <v>3</v>
      </c>
      <c r="N389" s="404" t="inlineStr"/>
      <c r="O389" s="404" t="n">
        <v>0</v>
      </c>
      <c r="P389" s="404" t="n"/>
      <c r="Q389" s="404" t="n"/>
      <c r="R389" s="404" t="n"/>
      <c r="S389" s="404" t="n"/>
      <c r="T389" s="404" t="n"/>
      <c r="U389" s="404" t="n"/>
      <c r="V389" s="404" t="n"/>
      <c r="W389" s="404" t="n">
        <v>0</v>
      </c>
      <c r="X389" s="404" t="n">
        <v>1</v>
      </c>
      <c r="Y389" s="404" t="n">
        <v>0</v>
      </c>
      <c r="Z389" s="404" t="n"/>
      <c r="AA389" s="404" t="n"/>
      <c r="AB389" s="404" t="n"/>
    </row>
    <row r="390">
      <c r="A390" s="404" t="n">
        <v>50</v>
      </c>
      <c r="B390" s="404" t="n">
        <v>0</v>
      </c>
      <c r="C390" s="404" t="n">
        <v>0</v>
      </c>
      <c r="D390" s="404" t="n">
        <v>1</v>
      </c>
      <c r="E390" s="404" t="n">
        <v>202</v>
      </c>
      <c r="F390" s="404">
        <f>ROUND(Source!P387,O390)</f>
        <v/>
      </c>
      <c r="G390" s="404" t="inlineStr">
        <is>
          <t>СтМатОб</t>
        </is>
      </c>
      <c r="H390" s="404" t="inlineStr">
        <is>
          <t>Стоимость материальных ресурсов (всего)</t>
        </is>
      </c>
      <c r="I390" s="404" t="n"/>
      <c r="J390" s="404" t="n"/>
      <c r="K390" s="404" t="n">
        <v>202</v>
      </c>
      <c r="L390" s="404" t="n">
        <v>2</v>
      </c>
      <c r="M390" s="404" t="n">
        <v>3</v>
      </c>
      <c r="N390" s="404" t="inlineStr"/>
      <c r="O390" s="404" t="n">
        <v>0</v>
      </c>
      <c r="P390" s="404" t="n"/>
      <c r="Q390" s="404" t="n"/>
      <c r="R390" s="404" t="n"/>
      <c r="S390" s="404" t="n"/>
      <c r="T390" s="404" t="n"/>
      <c r="U390" s="404" t="n"/>
      <c r="V390" s="404" t="n"/>
      <c r="W390" s="404" t="n">
        <v>0</v>
      </c>
      <c r="X390" s="404" t="n">
        <v>1</v>
      </c>
      <c r="Y390" s="404" t="n">
        <v>0</v>
      </c>
      <c r="Z390" s="404" t="n"/>
      <c r="AA390" s="404" t="n"/>
      <c r="AB390" s="404" t="n"/>
    </row>
    <row r="391">
      <c r="A391" s="404" t="n">
        <v>50</v>
      </c>
      <c r="B391" s="404" t="n">
        <v>0</v>
      </c>
      <c r="C391" s="404" t="n">
        <v>0</v>
      </c>
      <c r="D391" s="404" t="n">
        <v>1</v>
      </c>
      <c r="E391" s="404" t="n">
        <v>222</v>
      </c>
      <c r="F391" s="404">
        <f>ROUND(Source!AO387,O391)</f>
        <v/>
      </c>
      <c r="G391" s="404" t="inlineStr">
        <is>
          <t>СтМатОбЗак</t>
        </is>
      </c>
      <c r="H391" s="404" t="inlineStr">
        <is>
          <t>Стоимость материалов и оборудования заказчика</t>
        </is>
      </c>
      <c r="I391" s="404" t="n"/>
      <c r="J391" s="404" t="n"/>
      <c r="K391" s="404" t="n">
        <v>222</v>
      </c>
      <c r="L391" s="404" t="n">
        <v>3</v>
      </c>
      <c r="M391" s="404" t="n">
        <v>3</v>
      </c>
      <c r="N391" s="404" t="inlineStr"/>
      <c r="O391" s="404" t="n">
        <v>0</v>
      </c>
      <c r="P391" s="404" t="n"/>
      <c r="Q391" s="404" t="n"/>
      <c r="R391" s="404" t="n"/>
      <c r="S391" s="404" t="n"/>
      <c r="T391" s="404" t="n"/>
      <c r="U391" s="404" t="n"/>
      <c r="V391" s="404" t="n"/>
      <c r="W391" s="404" t="n">
        <v>0</v>
      </c>
      <c r="X391" s="404" t="n">
        <v>1</v>
      </c>
      <c r="Y391" s="404" t="n">
        <v>0</v>
      </c>
      <c r="Z391" s="404" t="n"/>
      <c r="AA391" s="404" t="n"/>
      <c r="AB391" s="404" t="n"/>
    </row>
    <row r="392">
      <c r="A392" s="404" t="n">
        <v>50</v>
      </c>
      <c r="B392" s="404" t="n">
        <v>0</v>
      </c>
      <c r="C392" s="404" t="n">
        <v>0</v>
      </c>
      <c r="D392" s="404" t="n">
        <v>1</v>
      </c>
      <c r="E392" s="404" t="n">
        <v>225</v>
      </c>
      <c r="F392" s="404">
        <f>ROUND(Source!AV387,O392)</f>
        <v/>
      </c>
      <c r="G392" s="404" t="inlineStr">
        <is>
          <t>СтМатОбПод</t>
        </is>
      </c>
      <c r="H392" s="404" t="inlineStr">
        <is>
          <t>Стоимость материалов и оборудования подрядчика</t>
        </is>
      </c>
      <c r="I392" s="404" t="n"/>
      <c r="J392" s="404" t="n"/>
      <c r="K392" s="404" t="n">
        <v>225</v>
      </c>
      <c r="L392" s="404" t="n">
        <v>4</v>
      </c>
      <c r="M392" s="404" t="n">
        <v>3</v>
      </c>
      <c r="N392" s="404" t="inlineStr"/>
      <c r="O392" s="404" t="n">
        <v>0</v>
      </c>
      <c r="P392" s="404" t="n"/>
      <c r="Q392" s="404" t="n"/>
      <c r="R392" s="404" t="n"/>
      <c r="S392" s="404" t="n"/>
      <c r="T392" s="404" t="n"/>
      <c r="U392" s="404" t="n"/>
      <c r="V392" s="404" t="n"/>
      <c r="W392" s="404" t="n">
        <v>0</v>
      </c>
      <c r="X392" s="404" t="n">
        <v>1</v>
      </c>
      <c r="Y392" s="404" t="n">
        <v>0</v>
      </c>
      <c r="Z392" s="404" t="n"/>
      <c r="AA392" s="404" t="n"/>
      <c r="AB392" s="404" t="n"/>
    </row>
    <row r="393">
      <c r="A393" s="404" t="n">
        <v>50</v>
      </c>
      <c r="B393" s="404" t="n">
        <v>0</v>
      </c>
      <c r="C393" s="404" t="n">
        <v>0</v>
      </c>
      <c r="D393" s="404" t="n">
        <v>1</v>
      </c>
      <c r="E393" s="404" t="n">
        <v>226</v>
      </c>
      <c r="F393" s="404">
        <f>ROUND(Source!AW387,O393)</f>
        <v/>
      </c>
      <c r="G393" s="404" t="inlineStr">
        <is>
          <t>СтМат</t>
        </is>
      </c>
      <c r="H393" s="404" t="inlineStr">
        <is>
          <t>Стоимость материалов (всего)</t>
        </is>
      </c>
      <c r="I393" s="404" t="n"/>
      <c r="J393" s="404" t="n"/>
      <c r="K393" s="404" t="n">
        <v>226</v>
      </c>
      <c r="L393" s="404" t="n">
        <v>5</v>
      </c>
      <c r="M393" s="404" t="n">
        <v>3</v>
      </c>
      <c r="N393" s="404" t="inlineStr"/>
      <c r="O393" s="404" t="n">
        <v>0</v>
      </c>
      <c r="P393" s="404" t="n"/>
      <c r="Q393" s="404" t="n"/>
      <c r="R393" s="404" t="n"/>
      <c r="S393" s="404" t="n"/>
      <c r="T393" s="404" t="n"/>
      <c r="U393" s="404" t="n"/>
      <c r="V393" s="404" t="n"/>
      <c r="W393" s="404" t="n">
        <v>0</v>
      </c>
      <c r="X393" s="404" t="n">
        <v>1</v>
      </c>
      <c r="Y393" s="404" t="n">
        <v>0</v>
      </c>
      <c r="Z393" s="404" t="n"/>
      <c r="AA393" s="404" t="n"/>
      <c r="AB393" s="404" t="n"/>
    </row>
    <row r="394">
      <c r="A394" s="404" t="n">
        <v>50</v>
      </c>
      <c r="B394" s="404" t="n">
        <v>0</v>
      </c>
      <c r="C394" s="404" t="n">
        <v>0</v>
      </c>
      <c r="D394" s="404" t="n">
        <v>1</v>
      </c>
      <c r="E394" s="404" t="n">
        <v>227</v>
      </c>
      <c r="F394" s="404">
        <f>ROUND(Source!AX387,O394)</f>
        <v/>
      </c>
      <c r="G394" s="404" t="inlineStr">
        <is>
          <t>СтМатЗак</t>
        </is>
      </c>
      <c r="H394" s="404" t="inlineStr">
        <is>
          <t>Стоимость материалов заказчика</t>
        </is>
      </c>
      <c r="I394" s="404" t="n"/>
      <c r="J394" s="404" t="n"/>
      <c r="K394" s="404" t="n">
        <v>227</v>
      </c>
      <c r="L394" s="404" t="n">
        <v>6</v>
      </c>
      <c r="M394" s="404" t="n">
        <v>3</v>
      </c>
      <c r="N394" s="404" t="inlineStr"/>
      <c r="O394" s="404" t="n">
        <v>0</v>
      </c>
      <c r="P394" s="404" t="n"/>
      <c r="Q394" s="404" t="n"/>
      <c r="R394" s="404" t="n"/>
      <c r="S394" s="404" t="n"/>
      <c r="T394" s="404" t="n"/>
      <c r="U394" s="404" t="n"/>
      <c r="V394" s="404" t="n"/>
      <c r="W394" s="404" t="n">
        <v>0</v>
      </c>
      <c r="X394" s="404" t="n">
        <v>1</v>
      </c>
      <c r="Y394" s="404" t="n">
        <v>0</v>
      </c>
      <c r="Z394" s="404" t="n"/>
      <c r="AA394" s="404" t="n"/>
      <c r="AB394" s="404" t="n"/>
    </row>
    <row r="395">
      <c r="A395" s="404" t="n">
        <v>50</v>
      </c>
      <c r="B395" s="404" t="n">
        <v>0</v>
      </c>
      <c r="C395" s="404" t="n">
        <v>0</v>
      </c>
      <c r="D395" s="404" t="n">
        <v>1</v>
      </c>
      <c r="E395" s="404" t="n">
        <v>228</v>
      </c>
      <c r="F395" s="404">
        <f>ROUND(Source!AY387,O395)</f>
        <v/>
      </c>
      <c r="G395" s="404" t="inlineStr">
        <is>
          <t>СтМатПод</t>
        </is>
      </c>
      <c r="H395" s="404" t="inlineStr">
        <is>
          <t>Стоимость материалов подрядчика</t>
        </is>
      </c>
      <c r="I395" s="404" t="n"/>
      <c r="J395" s="404" t="n"/>
      <c r="K395" s="404" t="n">
        <v>228</v>
      </c>
      <c r="L395" s="404" t="n">
        <v>7</v>
      </c>
      <c r="M395" s="404" t="n">
        <v>3</v>
      </c>
      <c r="N395" s="404" t="inlineStr"/>
      <c r="O395" s="404" t="n">
        <v>0</v>
      </c>
      <c r="P395" s="404" t="n"/>
      <c r="Q395" s="404" t="n"/>
      <c r="R395" s="404" t="n"/>
      <c r="S395" s="404" t="n"/>
      <c r="T395" s="404" t="n"/>
      <c r="U395" s="404" t="n"/>
      <c r="V395" s="404" t="n"/>
      <c r="W395" s="404" t="n">
        <v>0</v>
      </c>
      <c r="X395" s="404" t="n">
        <v>1</v>
      </c>
      <c r="Y395" s="404" t="n">
        <v>0</v>
      </c>
      <c r="Z395" s="404" t="n"/>
      <c r="AA395" s="404" t="n"/>
      <c r="AB395" s="404" t="n"/>
    </row>
    <row r="396">
      <c r="A396" s="404" t="n">
        <v>50</v>
      </c>
      <c r="B396" s="404" t="n">
        <v>0</v>
      </c>
      <c r="C396" s="404" t="n">
        <v>0</v>
      </c>
      <c r="D396" s="404" t="n">
        <v>1</v>
      </c>
      <c r="E396" s="404" t="n">
        <v>216</v>
      </c>
      <c r="F396" s="404">
        <f>ROUND(Source!AP387,O396)</f>
        <v/>
      </c>
      <c r="G396" s="404" t="inlineStr">
        <is>
          <t>Оборуд</t>
        </is>
      </c>
      <c r="H396" s="404" t="inlineStr">
        <is>
          <t>Стоимость оборудования (всего)</t>
        </is>
      </c>
      <c r="I396" s="404" t="n"/>
      <c r="J396" s="404" t="n"/>
      <c r="K396" s="404" t="n">
        <v>216</v>
      </c>
      <c r="L396" s="404" t="n">
        <v>8</v>
      </c>
      <c r="M396" s="404" t="n">
        <v>3</v>
      </c>
      <c r="N396" s="404" t="inlineStr"/>
      <c r="O396" s="404" t="n">
        <v>0</v>
      </c>
      <c r="P396" s="404" t="n"/>
      <c r="Q396" s="404" t="n"/>
      <c r="R396" s="404" t="n"/>
      <c r="S396" s="404" t="n"/>
      <c r="T396" s="404" t="n"/>
      <c r="U396" s="404" t="n"/>
      <c r="V396" s="404" t="n"/>
      <c r="W396" s="404" t="n">
        <v>0</v>
      </c>
      <c r="X396" s="404" t="n">
        <v>1</v>
      </c>
      <c r="Y396" s="404" t="n">
        <v>0</v>
      </c>
      <c r="Z396" s="404" t="n"/>
      <c r="AA396" s="404" t="n"/>
      <c r="AB396" s="404" t="n"/>
    </row>
    <row r="397">
      <c r="A397" s="404" t="n">
        <v>50</v>
      </c>
      <c r="B397" s="404" t="n">
        <v>0</v>
      </c>
      <c r="C397" s="404" t="n">
        <v>0</v>
      </c>
      <c r="D397" s="404" t="n">
        <v>1</v>
      </c>
      <c r="E397" s="404" t="n">
        <v>223</v>
      </c>
      <c r="F397" s="404">
        <f>ROUND(Source!AQ387,O397)</f>
        <v/>
      </c>
      <c r="G397" s="404" t="inlineStr">
        <is>
          <t>ОборудЗак</t>
        </is>
      </c>
      <c r="H397" s="404" t="inlineStr">
        <is>
          <t>Стоимость оборудования заказчика</t>
        </is>
      </c>
      <c r="I397" s="404" t="n"/>
      <c r="J397" s="404" t="n"/>
      <c r="K397" s="404" t="n">
        <v>223</v>
      </c>
      <c r="L397" s="404" t="n">
        <v>9</v>
      </c>
      <c r="M397" s="404" t="n">
        <v>3</v>
      </c>
      <c r="N397" s="404" t="inlineStr"/>
      <c r="O397" s="404" t="n">
        <v>0</v>
      </c>
      <c r="P397" s="404" t="n"/>
      <c r="Q397" s="404" t="n"/>
      <c r="R397" s="404" t="n"/>
      <c r="S397" s="404" t="n"/>
      <c r="T397" s="404" t="n"/>
      <c r="U397" s="404" t="n"/>
      <c r="V397" s="404" t="n"/>
      <c r="W397" s="404" t="n">
        <v>0</v>
      </c>
      <c r="X397" s="404" t="n">
        <v>1</v>
      </c>
      <c r="Y397" s="404" t="n">
        <v>0</v>
      </c>
      <c r="Z397" s="404" t="n"/>
      <c r="AA397" s="404" t="n"/>
      <c r="AB397" s="404" t="n"/>
    </row>
    <row r="398">
      <c r="A398" s="404" t="n">
        <v>50</v>
      </c>
      <c r="B398" s="404" t="n">
        <v>0</v>
      </c>
      <c r="C398" s="404" t="n">
        <v>0</v>
      </c>
      <c r="D398" s="404" t="n">
        <v>1</v>
      </c>
      <c r="E398" s="404" t="n">
        <v>229</v>
      </c>
      <c r="F398" s="404">
        <f>ROUND(Source!AZ387,O398)</f>
        <v/>
      </c>
      <c r="G398" s="404" t="inlineStr">
        <is>
          <t>ОборудПод</t>
        </is>
      </c>
      <c r="H398" s="404" t="inlineStr">
        <is>
          <t>Стоимость оборудования подрядчика</t>
        </is>
      </c>
      <c r="I398" s="404" t="n"/>
      <c r="J398" s="404" t="n"/>
      <c r="K398" s="404" t="n">
        <v>229</v>
      </c>
      <c r="L398" s="404" t="n">
        <v>10</v>
      </c>
      <c r="M398" s="404" t="n">
        <v>3</v>
      </c>
      <c r="N398" s="404" t="inlineStr"/>
      <c r="O398" s="404" t="n">
        <v>0</v>
      </c>
      <c r="P398" s="404" t="n"/>
      <c r="Q398" s="404" t="n"/>
      <c r="R398" s="404" t="n"/>
      <c r="S398" s="404" t="n"/>
      <c r="T398" s="404" t="n"/>
      <c r="U398" s="404" t="n"/>
      <c r="V398" s="404" t="n"/>
      <c r="W398" s="404" t="n">
        <v>0</v>
      </c>
      <c r="X398" s="404" t="n">
        <v>1</v>
      </c>
      <c r="Y398" s="404" t="n">
        <v>0</v>
      </c>
      <c r="Z398" s="404" t="n"/>
      <c r="AA398" s="404" t="n"/>
      <c r="AB398" s="404" t="n"/>
    </row>
    <row r="399">
      <c r="A399" s="404" t="n">
        <v>50</v>
      </c>
      <c r="B399" s="404" t="n">
        <v>0</v>
      </c>
      <c r="C399" s="404" t="n">
        <v>0</v>
      </c>
      <c r="D399" s="404" t="n">
        <v>1</v>
      </c>
      <c r="E399" s="404" t="n">
        <v>203</v>
      </c>
      <c r="F399" s="404">
        <f>ROUND(Source!Q387,O399)</f>
        <v/>
      </c>
      <c r="G399" s="404" t="inlineStr">
        <is>
          <t>ЭММ</t>
        </is>
      </c>
      <c r="H399" s="404" t="inlineStr">
        <is>
          <t>Эксплуатация машин</t>
        </is>
      </c>
      <c r="I399" s="404" t="n"/>
      <c r="J399" s="404" t="n"/>
      <c r="K399" s="404" t="n">
        <v>203</v>
      </c>
      <c r="L399" s="404" t="n">
        <v>11</v>
      </c>
      <c r="M399" s="404" t="n">
        <v>3</v>
      </c>
      <c r="N399" s="404" t="inlineStr"/>
      <c r="O399" s="404" t="n">
        <v>0</v>
      </c>
      <c r="P399" s="404" t="n"/>
      <c r="Q399" s="404" t="n"/>
      <c r="R399" s="404" t="n"/>
      <c r="S399" s="404" t="n"/>
      <c r="T399" s="404" t="n"/>
      <c r="U399" s="404" t="n"/>
      <c r="V399" s="404" t="n"/>
      <c r="W399" s="404" t="n">
        <v>0</v>
      </c>
      <c r="X399" s="404" t="n">
        <v>1</v>
      </c>
      <c r="Y399" s="404" t="n">
        <v>0</v>
      </c>
      <c r="Z399" s="404" t="n"/>
      <c r="AA399" s="404" t="n"/>
      <c r="AB399" s="404" t="n"/>
    </row>
    <row r="400">
      <c r="A400" s="404" t="n">
        <v>50</v>
      </c>
      <c r="B400" s="404" t="n">
        <v>0</v>
      </c>
      <c r="C400" s="404" t="n">
        <v>0</v>
      </c>
      <c r="D400" s="404" t="n">
        <v>1</v>
      </c>
      <c r="E400" s="404" t="n">
        <v>231</v>
      </c>
      <c r="F400" s="404">
        <f>ROUND(Source!BB387,O400)</f>
        <v/>
      </c>
      <c r="G400" s="404" t="inlineStr">
        <is>
          <t>ЭММсНРиСП</t>
        </is>
      </c>
      <c r="H400" s="404" t="inlineStr">
        <is>
          <t>Эксплуатация машин по ТСН-2001.16</t>
        </is>
      </c>
      <c r="I400" s="404" t="n"/>
      <c r="J400" s="404" t="n"/>
      <c r="K400" s="404" t="n">
        <v>231</v>
      </c>
      <c r="L400" s="404" t="n">
        <v>12</v>
      </c>
      <c r="M400" s="404" t="n">
        <v>3</v>
      </c>
      <c r="N400" s="404" t="inlineStr"/>
      <c r="O400" s="404" t="n">
        <v>0</v>
      </c>
      <c r="P400" s="404" t="n"/>
      <c r="Q400" s="404" t="n"/>
      <c r="R400" s="404" t="n"/>
      <c r="S400" s="404" t="n"/>
      <c r="T400" s="404" t="n"/>
      <c r="U400" s="404" t="n"/>
      <c r="V400" s="404" t="n"/>
      <c r="W400" s="404" t="n">
        <v>0</v>
      </c>
      <c r="X400" s="404" t="n">
        <v>1</v>
      </c>
      <c r="Y400" s="404" t="n">
        <v>0</v>
      </c>
      <c r="Z400" s="404" t="n"/>
      <c r="AA400" s="404" t="n"/>
      <c r="AB400" s="404" t="n"/>
    </row>
    <row r="401">
      <c r="A401" s="404" t="n">
        <v>50</v>
      </c>
      <c r="B401" s="404" t="n">
        <v>0</v>
      </c>
      <c r="C401" s="404" t="n">
        <v>0</v>
      </c>
      <c r="D401" s="404" t="n">
        <v>1</v>
      </c>
      <c r="E401" s="404" t="n">
        <v>204</v>
      </c>
      <c r="F401" s="404">
        <f>ROUND(Source!R387,O401)</f>
        <v/>
      </c>
      <c r="G401" s="404" t="inlineStr">
        <is>
          <t>ЗПМ</t>
        </is>
      </c>
      <c r="H401" s="404" t="inlineStr">
        <is>
          <t>ЗП машинистов</t>
        </is>
      </c>
      <c r="I401" s="404" t="n"/>
      <c r="J401" s="404" t="n"/>
      <c r="K401" s="404" t="n">
        <v>204</v>
      </c>
      <c r="L401" s="404" t="n">
        <v>13</v>
      </c>
      <c r="M401" s="404" t="n">
        <v>3</v>
      </c>
      <c r="N401" s="404" t="inlineStr"/>
      <c r="O401" s="404" t="n">
        <v>0</v>
      </c>
      <c r="P401" s="404" t="n"/>
      <c r="Q401" s="404" t="n"/>
      <c r="R401" s="404" t="n"/>
      <c r="S401" s="404" t="n"/>
      <c r="T401" s="404" t="n"/>
      <c r="U401" s="404" t="n"/>
      <c r="V401" s="404" t="n"/>
      <c r="W401" s="404" t="n">
        <v>0</v>
      </c>
      <c r="X401" s="404" t="n">
        <v>1</v>
      </c>
      <c r="Y401" s="404" t="n">
        <v>0</v>
      </c>
      <c r="Z401" s="404" t="n"/>
      <c r="AA401" s="404" t="n"/>
      <c r="AB401" s="404" t="n"/>
    </row>
    <row r="402">
      <c r="A402" s="404" t="n">
        <v>50</v>
      </c>
      <c r="B402" s="404" t="n">
        <v>0</v>
      </c>
      <c r="C402" s="404" t="n">
        <v>0</v>
      </c>
      <c r="D402" s="404" t="n">
        <v>1</v>
      </c>
      <c r="E402" s="404" t="n">
        <v>205</v>
      </c>
      <c r="F402" s="404">
        <f>ROUND(Source!S387,O402)</f>
        <v/>
      </c>
      <c r="G402" s="404" t="inlineStr">
        <is>
          <t>ОЗП</t>
        </is>
      </c>
      <c r="H402" s="404" t="inlineStr">
        <is>
          <t>Основная ЗП рабочих</t>
        </is>
      </c>
      <c r="I402" s="404" t="n"/>
      <c r="J402" s="404" t="n"/>
      <c r="K402" s="404" t="n">
        <v>205</v>
      </c>
      <c r="L402" s="404" t="n">
        <v>14</v>
      </c>
      <c r="M402" s="404" t="n">
        <v>3</v>
      </c>
      <c r="N402" s="404" t="inlineStr"/>
      <c r="O402" s="404" t="n">
        <v>0</v>
      </c>
      <c r="P402" s="404" t="n"/>
      <c r="Q402" s="404" t="n"/>
      <c r="R402" s="404" t="n"/>
      <c r="S402" s="404" t="n"/>
      <c r="T402" s="404" t="n"/>
      <c r="U402" s="404" t="n"/>
      <c r="V402" s="404" t="n"/>
      <c r="W402" s="404" t="n">
        <v>0</v>
      </c>
      <c r="X402" s="404" t="n">
        <v>1</v>
      </c>
      <c r="Y402" s="404" t="n">
        <v>0</v>
      </c>
      <c r="Z402" s="404" t="n"/>
      <c r="AA402" s="404" t="n"/>
      <c r="AB402" s="404" t="n"/>
    </row>
    <row r="403">
      <c r="A403" s="404" t="n">
        <v>50</v>
      </c>
      <c r="B403" s="404" t="n">
        <v>0</v>
      </c>
      <c r="C403" s="404" t="n">
        <v>0</v>
      </c>
      <c r="D403" s="404" t="n">
        <v>1</v>
      </c>
      <c r="E403" s="404" t="n">
        <v>232</v>
      </c>
      <c r="F403" s="404">
        <f>ROUND(Source!BC387,O403)</f>
        <v/>
      </c>
      <c r="G403" s="404" t="inlineStr">
        <is>
          <t>ОЗПсНРиСП</t>
        </is>
      </c>
      <c r="H403" s="404" t="inlineStr">
        <is>
          <t>Основная ЗП рабочих по ТСН-2001.16</t>
        </is>
      </c>
      <c r="I403" s="404" t="n"/>
      <c r="J403" s="404" t="n"/>
      <c r="K403" s="404" t="n">
        <v>232</v>
      </c>
      <c r="L403" s="404" t="n">
        <v>15</v>
      </c>
      <c r="M403" s="404" t="n">
        <v>3</v>
      </c>
      <c r="N403" s="404" t="inlineStr"/>
      <c r="O403" s="404" t="n">
        <v>0</v>
      </c>
      <c r="P403" s="404" t="n"/>
      <c r="Q403" s="404" t="n"/>
      <c r="R403" s="404" t="n"/>
      <c r="S403" s="404" t="n"/>
      <c r="T403" s="404" t="n"/>
      <c r="U403" s="404" t="n"/>
      <c r="V403" s="404" t="n"/>
      <c r="W403" s="404" t="n">
        <v>0</v>
      </c>
      <c r="X403" s="404" t="n">
        <v>1</v>
      </c>
      <c r="Y403" s="404" t="n">
        <v>0</v>
      </c>
      <c r="Z403" s="404" t="n"/>
      <c r="AA403" s="404" t="n"/>
      <c r="AB403" s="404" t="n"/>
    </row>
    <row r="404">
      <c r="A404" s="404" t="n">
        <v>50</v>
      </c>
      <c r="B404" s="404" t="n">
        <v>0</v>
      </c>
      <c r="C404" s="404" t="n">
        <v>0</v>
      </c>
      <c r="D404" s="404" t="n">
        <v>1</v>
      </c>
      <c r="E404" s="404" t="n">
        <v>214</v>
      </c>
      <c r="F404" s="404">
        <f>ROUND(Source!AS387,O404)</f>
        <v/>
      </c>
      <c r="G404" s="404" t="inlineStr">
        <is>
          <t>Строит</t>
        </is>
      </c>
      <c r="H404" s="404" t="inlineStr">
        <is>
          <t>Строительные работы с НР и СП</t>
        </is>
      </c>
      <c r="I404" s="404" t="n"/>
      <c r="J404" s="404" t="n"/>
      <c r="K404" s="404" t="n">
        <v>214</v>
      </c>
      <c r="L404" s="404" t="n">
        <v>16</v>
      </c>
      <c r="M404" s="404" t="n">
        <v>3</v>
      </c>
      <c r="N404" s="404" t="inlineStr"/>
      <c r="O404" s="404" t="n">
        <v>0</v>
      </c>
      <c r="P404" s="404" t="n"/>
      <c r="Q404" s="404" t="n"/>
      <c r="R404" s="404" t="n"/>
      <c r="S404" s="404" t="n"/>
      <c r="T404" s="404" t="n"/>
      <c r="U404" s="404" t="n"/>
      <c r="V404" s="404" t="n"/>
      <c r="W404" s="404" t="n">
        <v>0</v>
      </c>
      <c r="X404" s="404" t="n">
        <v>1</v>
      </c>
      <c r="Y404" s="404" t="n">
        <v>0</v>
      </c>
      <c r="Z404" s="404" t="n"/>
      <c r="AA404" s="404" t="n"/>
      <c r="AB404" s="404" t="n"/>
    </row>
    <row r="405">
      <c r="A405" s="404" t="n">
        <v>50</v>
      </c>
      <c r="B405" s="404" t="n">
        <v>0</v>
      </c>
      <c r="C405" s="404" t="n">
        <v>0</v>
      </c>
      <c r="D405" s="404" t="n">
        <v>1</v>
      </c>
      <c r="E405" s="404" t="n">
        <v>215</v>
      </c>
      <c r="F405" s="404">
        <f>ROUND(Source!AT387,O405)</f>
        <v/>
      </c>
      <c r="G405" s="404" t="inlineStr">
        <is>
          <t>Монтаж</t>
        </is>
      </c>
      <c r="H405" s="404" t="inlineStr">
        <is>
          <t>Монтажные работы с НР и СП</t>
        </is>
      </c>
      <c r="I405" s="404" t="n"/>
      <c r="J405" s="404" t="n"/>
      <c r="K405" s="404" t="n">
        <v>215</v>
      </c>
      <c r="L405" s="404" t="n">
        <v>17</v>
      </c>
      <c r="M405" s="404" t="n">
        <v>3</v>
      </c>
      <c r="N405" s="404" t="inlineStr"/>
      <c r="O405" s="404" t="n">
        <v>0</v>
      </c>
      <c r="P405" s="404" t="n"/>
      <c r="Q405" s="404" t="n"/>
      <c r="R405" s="404" t="n"/>
      <c r="S405" s="404" t="n"/>
      <c r="T405" s="404" t="n"/>
      <c r="U405" s="404" t="n"/>
      <c r="V405" s="404" t="n"/>
      <c r="W405" s="404" t="n">
        <v>0</v>
      </c>
      <c r="X405" s="404" t="n">
        <v>1</v>
      </c>
      <c r="Y405" s="404" t="n">
        <v>0</v>
      </c>
      <c r="Z405" s="404" t="n"/>
      <c r="AA405" s="404" t="n"/>
      <c r="AB405" s="404" t="n"/>
    </row>
    <row r="406">
      <c r="A406" s="404" t="n">
        <v>50</v>
      </c>
      <c r="B406" s="404" t="n">
        <v>0</v>
      </c>
      <c r="C406" s="404" t="n">
        <v>0</v>
      </c>
      <c r="D406" s="404" t="n">
        <v>1</v>
      </c>
      <c r="E406" s="404" t="n">
        <v>217</v>
      </c>
      <c r="F406" s="404">
        <f>ROUND(Source!AU387,O406)</f>
        <v/>
      </c>
      <c r="G406" s="404" t="inlineStr">
        <is>
          <t>Прочие</t>
        </is>
      </c>
      <c r="H406" s="404" t="inlineStr">
        <is>
          <t>Прочие работы с НР и СП</t>
        </is>
      </c>
      <c r="I406" s="404" t="n"/>
      <c r="J406" s="404" t="n"/>
      <c r="K406" s="404" t="n">
        <v>217</v>
      </c>
      <c r="L406" s="404" t="n">
        <v>18</v>
      </c>
      <c r="M406" s="404" t="n">
        <v>3</v>
      </c>
      <c r="N406" s="404" t="inlineStr"/>
      <c r="O406" s="404" t="n">
        <v>0</v>
      </c>
      <c r="P406" s="404" t="n"/>
      <c r="Q406" s="404" t="n"/>
      <c r="R406" s="404" t="n"/>
      <c r="S406" s="404" t="n"/>
      <c r="T406" s="404" t="n"/>
      <c r="U406" s="404" t="n"/>
      <c r="V406" s="404" t="n"/>
      <c r="W406" s="404" t="n">
        <v>0</v>
      </c>
      <c r="X406" s="404" t="n">
        <v>1</v>
      </c>
      <c r="Y406" s="404" t="n">
        <v>0</v>
      </c>
      <c r="Z406" s="404" t="n"/>
      <c r="AA406" s="404" t="n"/>
      <c r="AB406" s="404" t="n"/>
    </row>
    <row r="407">
      <c r="A407" s="404" t="n">
        <v>50</v>
      </c>
      <c r="B407" s="404" t="n">
        <v>0</v>
      </c>
      <c r="C407" s="404" t="n">
        <v>0</v>
      </c>
      <c r="D407" s="404" t="n">
        <v>1</v>
      </c>
      <c r="E407" s="404" t="n">
        <v>230</v>
      </c>
      <c r="F407" s="404">
        <f>ROUND(Source!BA387,O407)</f>
        <v/>
      </c>
      <c r="G407" s="404" t="inlineStr">
        <is>
          <t>ПрочиеЗатр</t>
        </is>
      </c>
      <c r="H407" s="404" t="inlineStr">
        <is>
          <t>Прочие затраты по ТСН-2001.16</t>
        </is>
      </c>
      <c r="I407" s="404" t="n"/>
      <c r="J407" s="404" t="n"/>
      <c r="K407" s="404" t="n">
        <v>230</v>
      </c>
      <c r="L407" s="404" t="n">
        <v>19</v>
      </c>
      <c r="M407" s="404" t="n">
        <v>3</v>
      </c>
      <c r="N407" s="404" t="inlineStr"/>
      <c r="O407" s="404" t="n">
        <v>0</v>
      </c>
      <c r="P407" s="404" t="n"/>
      <c r="Q407" s="404" t="n"/>
      <c r="R407" s="404" t="n"/>
      <c r="S407" s="404" t="n"/>
      <c r="T407" s="404" t="n"/>
      <c r="U407" s="404" t="n"/>
      <c r="V407" s="404" t="n"/>
      <c r="W407" s="404" t="n">
        <v>0</v>
      </c>
      <c r="X407" s="404" t="n">
        <v>1</v>
      </c>
      <c r="Y407" s="404" t="n">
        <v>0</v>
      </c>
      <c r="Z407" s="404" t="n"/>
      <c r="AA407" s="404" t="n"/>
      <c r="AB407" s="404" t="n"/>
    </row>
    <row r="408">
      <c r="A408" s="404" t="n">
        <v>50</v>
      </c>
      <c r="B408" s="404" t="n">
        <v>0</v>
      </c>
      <c r="C408" s="404" t="n">
        <v>0</v>
      </c>
      <c r="D408" s="404" t="n">
        <v>1</v>
      </c>
      <c r="E408" s="404" t="n">
        <v>206</v>
      </c>
      <c r="F408" s="404">
        <f>ROUND(Source!T387,O408)</f>
        <v/>
      </c>
      <c r="G408" s="404" t="inlineStr">
        <is>
          <t>ВозврМат</t>
        </is>
      </c>
      <c r="H408" s="404" t="inlineStr">
        <is>
          <t>Возврат материалов</t>
        </is>
      </c>
      <c r="I408" s="404" t="n"/>
      <c r="J408" s="404" t="n"/>
      <c r="K408" s="404" t="n">
        <v>206</v>
      </c>
      <c r="L408" s="404" t="n">
        <v>20</v>
      </c>
      <c r="M408" s="404" t="n">
        <v>3</v>
      </c>
      <c r="N408" s="404" t="inlineStr"/>
      <c r="O408" s="404" t="n">
        <v>0</v>
      </c>
      <c r="P408" s="404" t="n"/>
      <c r="Q408" s="404" t="n"/>
      <c r="R408" s="404" t="n"/>
      <c r="S408" s="404" t="n"/>
      <c r="T408" s="404" t="n"/>
      <c r="U408" s="404" t="n"/>
      <c r="V408" s="404" t="n"/>
      <c r="W408" s="404" t="n">
        <v>0</v>
      </c>
      <c r="X408" s="404" t="n">
        <v>1</v>
      </c>
      <c r="Y408" s="404" t="n">
        <v>0</v>
      </c>
      <c r="Z408" s="404" t="n"/>
      <c r="AA408" s="404" t="n"/>
      <c r="AB408" s="404" t="n"/>
    </row>
    <row r="409">
      <c r="A409" s="404" t="n">
        <v>50</v>
      </c>
      <c r="B409" s="404" t="n">
        <v>0</v>
      </c>
      <c r="C409" s="404" t="n">
        <v>0</v>
      </c>
      <c r="D409" s="404" t="n">
        <v>1</v>
      </c>
      <c r="E409" s="404" t="n">
        <v>207</v>
      </c>
      <c r="F409" s="404">
        <f>ROUND(Source!U387,O409)</f>
        <v/>
      </c>
      <c r="G409" s="404" t="inlineStr">
        <is>
          <t>ТрудСтр</t>
        </is>
      </c>
      <c r="H409" s="404" t="inlineStr">
        <is>
          <t>Трудозатраты строителей</t>
        </is>
      </c>
      <c r="I409" s="404" t="n"/>
      <c r="J409" s="404" t="n"/>
      <c r="K409" s="404" t="n">
        <v>207</v>
      </c>
      <c r="L409" s="404" t="n">
        <v>21</v>
      </c>
      <c r="M409" s="404" t="n">
        <v>3</v>
      </c>
      <c r="N409" s="404" t="inlineStr"/>
      <c r="O409" s="404" t="n">
        <v>7</v>
      </c>
      <c r="P409" s="404" t="n"/>
      <c r="Q409" s="404" t="n"/>
      <c r="R409" s="404" t="n"/>
      <c r="S409" s="404" t="n"/>
      <c r="T409" s="404" t="n"/>
      <c r="U409" s="404" t="n"/>
      <c r="V409" s="404" t="n"/>
      <c r="W409" s="404" t="n">
        <v>0</v>
      </c>
      <c r="X409" s="404" t="n">
        <v>1</v>
      </c>
      <c r="Y409" s="404" t="n">
        <v>0</v>
      </c>
      <c r="Z409" s="404" t="n"/>
      <c r="AA409" s="404" t="n"/>
      <c r="AB409" s="404" t="n"/>
    </row>
    <row r="410">
      <c r="A410" s="404" t="n">
        <v>50</v>
      </c>
      <c r="B410" s="404" t="n">
        <v>0</v>
      </c>
      <c r="C410" s="404" t="n">
        <v>0</v>
      </c>
      <c r="D410" s="404" t="n">
        <v>1</v>
      </c>
      <c r="E410" s="404" t="n">
        <v>208</v>
      </c>
      <c r="F410" s="404">
        <f>ROUND(Source!V387,O410)</f>
        <v/>
      </c>
      <c r="G410" s="404" t="inlineStr">
        <is>
          <t>ТрудМаш</t>
        </is>
      </c>
      <c r="H410" s="404" t="inlineStr">
        <is>
          <t>Трудозатраты машинистов</t>
        </is>
      </c>
      <c r="I410" s="404" t="n"/>
      <c r="J410" s="404" t="n"/>
      <c r="K410" s="404" t="n">
        <v>208</v>
      </c>
      <c r="L410" s="404" t="n">
        <v>22</v>
      </c>
      <c r="M410" s="404" t="n">
        <v>3</v>
      </c>
      <c r="N410" s="404" t="inlineStr"/>
      <c r="O410" s="404" t="n">
        <v>7</v>
      </c>
      <c r="P410" s="404" t="n"/>
      <c r="Q410" s="404" t="n"/>
      <c r="R410" s="404" t="n"/>
      <c r="S410" s="404" t="n"/>
      <c r="T410" s="404" t="n"/>
      <c r="U410" s="404" t="n"/>
      <c r="V410" s="404" t="n"/>
      <c r="W410" s="404" t="n">
        <v>0</v>
      </c>
      <c r="X410" s="404" t="n">
        <v>1</v>
      </c>
      <c r="Y410" s="404" t="n">
        <v>0</v>
      </c>
      <c r="Z410" s="404" t="n"/>
      <c r="AA410" s="404" t="n"/>
      <c r="AB410" s="404" t="n"/>
    </row>
    <row r="411">
      <c r="A411" s="404" t="n">
        <v>50</v>
      </c>
      <c r="B411" s="404" t="n">
        <v>0</v>
      </c>
      <c r="C411" s="404" t="n">
        <v>0</v>
      </c>
      <c r="D411" s="404" t="n">
        <v>1</v>
      </c>
      <c r="E411" s="404" t="n">
        <v>209</v>
      </c>
      <c r="F411" s="404">
        <f>ROUND(Source!W387,O411)</f>
        <v/>
      </c>
      <c r="G411" s="404" t="inlineStr">
        <is>
          <t>ТранспМат</t>
        </is>
      </c>
      <c r="H411" s="404" t="inlineStr">
        <is>
          <t>Транспорт материалов</t>
        </is>
      </c>
      <c r="I411" s="404" t="n"/>
      <c r="J411" s="404" t="n"/>
      <c r="K411" s="404" t="n">
        <v>209</v>
      </c>
      <c r="L411" s="404" t="n">
        <v>23</v>
      </c>
      <c r="M411" s="404" t="n">
        <v>3</v>
      </c>
      <c r="N411" s="404" t="inlineStr"/>
      <c r="O411" s="404" t="n">
        <v>0</v>
      </c>
      <c r="P411" s="404" t="n"/>
      <c r="Q411" s="404" t="n"/>
      <c r="R411" s="404" t="n"/>
      <c r="S411" s="404" t="n"/>
      <c r="T411" s="404" t="n"/>
      <c r="U411" s="404" t="n"/>
      <c r="V411" s="404" t="n"/>
      <c r="W411" s="404" t="n">
        <v>0</v>
      </c>
      <c r="X411" s="404" t="n">
        <v>1</v>
      </c>
      <c r="Y411" s="404" t="n">
        <v>0</v>
      </c>
      <c r="Z411" s="404" t="n"/>
      <c r="AA411" s="404" t="n"/>
      <c r="AB411" s="404" t="n"/>
    </row>
    <row r="412">
      <c r="A412" s="404" t="n">
        <v>50</v>
      </c>
      <c r="B412" s="404" t="n">
        <v>0</v>
      </c>
      <c r="C412" s="404" t="n">
        <v>0</v>
      </c>
      <c r="D412" s="404" t="n">
        <v>1</v>
      </c>
      <c r="E412" s="404" t="n">
        <v>233</v>
      </c>
      <c r="F412" s="404">
        <f>ROUND(Source!BD387,O412)</f>
        <v/>
      </c>
      <c r="G412" s="404" t="inlineStr">
        <is>
          <t>Перевозка</t>
        </is>
      </c>
      <c r="H412" s="404" t="inlineStr">
        <is>
          <t>Перевозка грузов</t>
        </is>
      </c>
      <c r="I412" s="404" t="n"/>
      <c r="J412" s="404" t="n"/>
      <c r="K412" s="404" t="n">
        <v>233</v>
      </c>
      <c r="L412" s="404" t="n">
        <v>24</v>
      </c>
      <c r="M412" s="404" t="n">
        <v>3</v>
      </c>
      <c r="N412" s="404" t="inlineStr"/>
      <c r="O412" s="404" t="n">
        <v>0</v>
      </c>
      <c r="P412" s="404" t="n"/>
      <c r="Q412" s="404" t="n"/>
      <c r="R412" s="404" t="n"/>
      <c r="S412" s="404" t="n"/>
      <c r="T412" s="404" t="n"/>
      <c r="U412" s="404" t="n"/>
      <c r="V412" s="404" t="n"/>
      <c r="W412" s="404" t="n">
        <v>0</v>
      </c>
      <c r="X412" s="404" t="n">
        <v>1</v>
      </c>
      <c r="Y412" s="404" t="n">
        <v>0</v>
      </c>
      <c r="Z412" s="404" t="n"/>
      <c r="AA412" s="404" t="n"/>
      <c r="AB412" s="404" t="n"/>
    </row>
    <row r="413">
      <c r="A413" s="404" t="n">
        <v>50</v>
      </c>
      <c r="B413" s="404" t="n">
        <v>0</v>
      </c>
      <c r="C413" s="404" t="n">
        <v>0</v>
      </c>
      <c r="D413" s="404" t="n">
        <v>1</v>
      </c>
      <c r="E413" s="404" t="n">
        <v>210</v>
      </c>
      <c r="F413" s="404">
        <f>ROUND(Source!X387,O413)</f>
        <v/>
      </c>
      <c r="G413" s="404" t="inlineStr">
        <is>
          <t>НР</t>
        </is>
      </c>
      <c r="H413" s="404" t="inlineStr">
        <is>
          <t>Накладные расходы</t>
        </is>
      </c>
      <c r="I413" s="404" t="n"/>
      <c r="J413" s="404" t="n"/>
      <c r="K413" s="404" t="n">
        <v>210</v>
      </c>
      <c r="L413" s="404" t="n">
        <v>25</v>
      </c>
      <c r="M413" s="404" t="n">
        <v>3</v>
      </c>
      <c r="N413" s="404" t="inlineStr"/>
      <c r="O413" s="404" t="n">
        <v>0</v>
      </c>
      <c r="P413" s="404" t="n"/>
      <c r="Q413" s="404" t="n"/>
      <c r="R413" s="404" t="n"/>
      <c r="S413" s="404" t="n"/>
      <c r="T413" s="404" t="n"/>
      <c r="U413" s="404" t="n"/>
      <c r="V413" s="404" t="n"/>
      <c r="W413" s="404" t="n">
        <v>0</v>
      </c>
      <c r="X413" s="404" t="n">
        <v>1</v>
      </c>
      <c r="Y413" s="404" t="n">
        <v>0</v>
      </c>
      <c r="Z413" s="404" t="n"/>
      <c r="AA413" s="404" t="n"/>
      <c r="AB413" s="404" t="n"/>
    </row>
    <row r="414">
      <c r="A414" s="404" t="n">
        <v>50</v>
      </c>
      <c r="B414" s="404" t="n">
        <v>0</v>
      </c>
      <c r="C414" s="404" t="n">
        <v>0</v>
      </c>
      <c r="D414" s="404" t="n">
        <v>1</v>
      </c>
      <c r="E414" s="404" t="n">
        <v>211</v>
      </c>
      <c r="F414" s="404">
        <f>ROUND(Source!Y387,O414)</f>
        <v/>
      </c>
      <c r="G414" s="404" t="inlineStr">
        <is>
          <t>СмПриб</t>
        </is>
      </c>
      <c r="H414" s="404" t="inlineStr">
        <is>
          <t>Сметная прибыль</t>
        </is>
      </c>
      <c r="I414" s="404" t="n"/>
      <c r="J414" s="404" t="n"/>
      <c r="K414" s="404" t="n">
        <v>211</v>
      </c>
      <c r="L414" s="404" t="n">
        <v>26</v>
      </c>
      <c r="M414" s="404" t="n">
        <v>3</v>
      </c>
      <c r="N414" s="404" t="inlineStr"/>
      <c r="O414" s="404" t="n">
        <v>0</v>
      </c>
      <c r="P414" s="404" t="n"/>
      <c r="Q414" s="404" t="n"/>
      <c r="R414" s="404" t="n"/>
      <c r="S414" s="404" t="n"/>
      <c r="T414" s="404" t="n"/>
      <c r="U414" s="404" t="n"/>
      <c r="V414" s="404" t="n"/>
      <c r="W414" s="404" t="n">
        <v>0</v>
      </c>
      <c r="X414" s="404" t="n">
        <v>1</v>
      </c>
      <c r="Y414" s="404" t="n">
        <v>0</v>
      </c>
      <c r="Z414" s="404" t="n"/>
      <c r="AA414" s="404" t="n"/>
      <c r="AB414" s="404" t="n"/>
    </row>
    <row r="415">
      <c r="A415" s="404" t="n">
        <v>50</v>
      </c>
      <c r="B415" s="404" t="n">
        <v>0</v>
      </c>
      <c r="C415" s="404" t="n">
        <v>0</v>
      </c>
      <c r="D415" s="404" t="n">
        <v>1</v>
      </c>
      <c r="E415" s="404" t="n">
        <v>224</v>
      </c>
      <c r="F415" s="404">
        <f>ROUND(Source!AR387,O415)</f>
        <v/>
      </c>
      <c r="G415" s="404" t="inlineStr">
        <is>
          <t>Всего</t>
        </is>
      </c>
      <c r="H415" s="404" t="inlineStr">
        <is>
          <t>Всего с НР и СП</t>
        </is>
      </c>
      <c r="I415" s="404" t="n"/>
      <c r="J415" s="404" t="n"/>
      <c r="K415" s="404" t="n">
        <v>224</v>
      </c>
      <c r="L415" s="404" t="n">
        <v>27</v>
      </c>
      <c r="M415" s="404" t="n">
        <v>3</v>
      </c>
      <c r="N415" s="404" t="inlineStr"/>
      <c r="O415" s="404" t="n">
        <v>0</v>
      </c>
      <c r="P415" s="404" t="n"/>
      <c r="Q415" s="404" t="n"/>
      <c r="R415" s="404" t="n"/>
      <c r="S415" s="404" t="n"/>
      <c r="T415" s="404" t="n"/>
      <c r="U415" s="404" t="n"/>
      <c r="V415" s="404" t="n"/>
      <c r="W415" s="404" t="n">
        <v>0</v>
      </c>
      <c r="X415" s="404" t="n">
        <v>1</v>
      </c>
      <c r="Y415" s="404" t="n">
        <v>0</v>
      </c>
      <c r="Z415" s="404" t="n"/>
      <c r="AA415" s="404" t="n"/>
      <c r="AB415" s="404" t="n"/>
    </row>
    <row r="416">
      <c r="A416" s="404" t="n">
        <v>50</v>
      </c>
      <c r="B416" s="404" t="n">
        <v>0</v>
      </c>
      <c r="C416" s="404" t="n">
        <v>0</v>
      </c>
      <c r="D416" s="404" t="n">
        <v>2</v>
      </c>
      <c r="E416" s="404" t="n">
        <v>0</v>
      </c>
      <c r="F416" s="404">
        <f>ROUND(F415,O416)</f>
        <v/>
      </c>
      <c r="G416" s="404" t="inlineStr">
        <is>
          <t>и1</t>
        </is>
      </c>
      <c r="H416" s="404" t="inlineStr">
        <is>
          <t>Итого</t>
        </is>
      </c>
      <c r="I416" s="404" t="n"/>
      <c r="J416" s="404" t="n"/>
      <c r="K416" s="404" t="n">
        <v>212</v>
      </c>
      <c r="L416" s="404" t="n">
        <v>28</v>
      </c>
      <c r="M416" s="404" t="n">
        <v>0</v>
      </c>
      <c r="N416" s="404" t="inlineStr"/>
      <c r="O416" s="404" t="n">
        <v>0</v>
      </c>
      <c r="P416" s="404" t="n"/>
      <c r="Q416" s="404" t="n"/>
      <c r="R416" s="404" t="n"/>
      <c r="S416" s="404" t="n"/>
      <c r="T416" s="404" t="n"/>
      <c r="U416" s="404" t="n"/>
      <c r="V416" s="404" t="n"/>
      <c r="W416" s="404" t="n">
        <v>0</v>
      </c>
      <c r="X416" s="404" t="n">
        <v>1</v>
      </c>
      <c r="Y416" s="404" t="n">
        <v>0</v>
      </c>
      <c r="Z416" s="404" t="n"/>
      <c r="AA416" s="404" t="n"/>
      <c r="AB416" s="404" t="n"/>
    </row>
    <row r="417">
      <c r="A417" s="404" t="n">
        <v>50</v>
      </c>
      <c r="B417" s="404" t="n">
        <v>0</v>
      </c>
      <c r="C417" s="404" t="n">
        <v>0</v>
      </c>
      <c r="D417" s="404" t="n">
        <v>2</v>
      </c>
      <c r="E417" s="404" t="n">
        <v>0</v>
      </c>
      <c r="F417" s="404">
        <f>ROUND(F416*0.22,O417)</f>
        <v/>
      </c>
      <c r="G417" s="404" t="inlineStr">
        <is>
          <t>и2</t>
        </is>
      </c>
      <c r="H417" s="404" t="inlineStr">
        <is>
          <t>НДС 22%</t>
        </is>
      </c>
      <c r="I417" s="404" t="n"/>
      <c r="J417" s="404" t="n"/>
      <c r="K417" s="404" t="n">
        <v>212</v>
      </c>
      <c r="L417" s="404" t="n">
        <v>29</v>
      </c>
      <c r="M417" s="404" t="n">
        <v>0</v>
      </c>
      <c r="N417" s="404" t="inlineStr"/>
      <c r="O417" s="404" t="n">
        <v>0</v>
      </c>
      <c r="P417" s="404" t="n"/>
      <c r="Q417" s="404" t="n"/>
      <c r="R417" s="404" t="n"/>
      <c r="S417" s="404" t="n"/>
      <c r="T417" s="404" t="n"/>
      <c r="U417" s="404" t="n"/>
      <c r="V417" s="404" t="n"/>
      <c r="W417" s="404" t="n">
        <v>0</v>
      </c>
      <c r="X417" s="404" t="n">
        <v>1</v>
      </c>
      <c r="Y417" s="404" t="n">
        <v>0</v>
      </c>
      <c r="Z417" s="404" t="n"/>
      <c r="AA417" s="404" t="n"/>
      <c r="AB417" s="404" t="n"/>
    </row>
    <row r="418">
      <c r="A418" s="404" t="n">
        <v>50</v>
      </c>
      <c r="B418" s="404" t="n">
        <v>0</v>
      </c>
      <c r="C418" s="404" t="n">
        <v>0</v>
      </c>
      <c r="D418" s="404" t="n">
        <v>2</v>
      </c>
      <c r="E418" s="404" t="n">
        <v>213</v>
      </c>
      <c r="F418" s="404">
        <f>ROUND(F416+F417,O418)</f>
        <v/>
      </c>
      <c r="G418" s="404" t="inlineStr">
        <is>
          <t>и3</t>
        </is>
      </c>
      <c r="H418" s="404" t="inlineStr">
        <is>
          <t>Всего</t>
        </is>
      </c>
      <c r="I418" s="404" t="n"/>
      <c r="J418" s="404" t="n"/>
      <c r="K418" s="404" t="n">
        <v>212</v>
      </c>
      <c r="L418" s="404" t="n">
        <v>30</v>
      </c>
      <c r="M418" s="404" t="n">
        <v>0</v>
      </c>
      <c r="N418" s="404" t="inlineStr"/>
      <c r="O418" s="404" t="n">
        <v>0</v>
      </c>
      <c r="P418" s="404" t="n"/>
      <c r="Q418" s="404" t="n"/>
      <c r="R418" s="404" t="n"/>
      <c r="S418" s="404" t="n"/>
      <c r="T418" s="404" t="n"/>
      <c r="U418" s="404" t="n"/>
      <c r="V418" s="404" t="n"/>
      <c r="W418" s="404" t="n">
        <v>0</v>
      </c>
      <c r="X418" s="404" t="n">
        <v>1</v>
      </c>
      <c r="Y418" s="404" t="n">
        <v>0</v>
      </c>
      <c r="Z418" s="404" t="n"/>
      <c r="AA418" s="404" t="n"/>
      <c r="AB418" s="404" t="n"/>
    </row>
    <row r="419"/>
    <row r="420">
      <c r="A420" s="401" t="n">
        <v>3</v>
      </c>
      <c r="B420" s="401" t="n">
        <v>0</v>
      </c>
      <c r="C420" s="401" t="n"/>
      <c r="D420" s="401">
        <f>ROW(A432)</f>
        <v/>
      </c>
      <c r="E420" s="401" t="n"/>
      <c r="F420" s="401" t="inlineStr">
        <is>
          <t>Новая локальная смета</t>
        </is>
      </c>
      <c r="G420" s="401" t="inlineStr">
        <is>
          <t>Текстильщиков 13</t>
        </is>
      </c>
      <c r="H420" s="401" t="inlineStr"/>
      <c r="I420" s="401" t="n">
        <v>0</v>
      </c>
      <c r="J420" s="401" t="inlineStr"/>
      <c r="K420" s="401" t="n">
        <v>-1</v>
      </c>
      <c r="L420" s="401" t="inlineStr">
        <is>
          <t>Новая локальная смета</t>
        </is>
      </c>
      <c r="M420" s="401" t="inlineStr"/>
      <c r="N420" s="401" t="n"/>
      <c r="O420" s="401" t="n"/>
      <c r="P420" s="401" t="n"/>
      <c r="Q420" s="401" t="n"/>
      <c r="R420" s="401" t="n"/>
      <c r="S420" s="401" t="n">
        <v>0</v>
      </c>
      <c r="T420" s="401" t="n"/>
      <c r="U420" s="401" t="inlineStr"/>
      <c r="V420" s="401" t="n">
        <v>0</v>
      </c>
      <c r="W420" s="401" t="n"/>
      <c r="X420" s="401" t="n"/>
      <c r="Y420" s="401" t="n"/>
      <c r="Z420" s="401" t="n"/>
      <c r="AA420" s="401" t="n"/>
      <c r="AB420" s="401" t="inlineStr"/>
      <c r="AC420" s="401" t="inlineStr"/>
      <c r="AD420" s="401" t="inlineStr"/>
      <c r="AE420" s="401" t="inlineStr"/>
      <c r="AF420" s="401" t="inlineStr"/>
      <c r="AG420" s="401" t="inlineStr"/>
      <c r="AH420" s="401" t="n"/>
      <c r="AI420" s="401" t="n"/>
      <c r="AJ420" s="401" t="n"/>
      <c r="AK420" s="401" t="n"/>
      <c r="AL420" s="401" t="n"/>
      <c r="AM420" s="401" t="n"/>
      <c r="AN420" s="401" t="n"/>
      <c r="AO420" s="401" t="n"/>
      <c r="AP420" s="401" t="inlineStr"/>
      <c r="AQ420" s="401" t="inlineStr"/>
      <c r="AR420" s="401" t="inlineStr"/>
      <c r="AS420" s="401" t="n"/>
      <c r="AT420" s="401" t="n"/>
      <c r="AU420" s="401" t="n"/>
      <c r="AV420" s="401" t="n"/>
      <c r="AW420" s="401" t="n"/>
      <c r="AX420" s="401" t="n"/>
      <c r="AY420" s="401" t="n"/>
      <c r="AZ420" s="401" t="inlineStr"/>
      <c r="BA420" s="401" t="n"/>
      <c r="BB420" s="401" t="inlineStr"/>
      <c r="BC420" s="401" t="inlineStr"/>
      <c r="BD420" s="401" t="inlineStr"/>
      <c r="BE420" s="401" t="inlineStr"/>
      <c r="BF420" s="401" t="inlineStr"/>
      <c r="BG420" s="401" t="inlineStr"/>
      <c r="BH420" s="401" t="inlineStr"/>
      <c r="BI420" s="401" t="inlineStr"/>
      <c r="BJ420" s="401" t="inlineStr"/>
      <c r="BK420" s="401" t="inlineStr"/>
      <c r="BL420" s="401" t="inlineStr"/>
      <c r="BM420" s="401" t="inlineStr"/>
      <c r="BN420" s="401" t="inlineStr"/>
      <c r="BO420" s="401" t="inlineStr"/>
      <c r="BP420" s="401" t="inlineStr"/>
      <c r="BQ420" s="401" t="n"/>
      <c r="BR420" s="401" t="n"/>
      <c r="BS420" s="401" t="n"/>
      <c r="BT420" s="401" t="n"/>
      <c r="BU420" s="401" t="n"/>
      <c r="BV420" s="401" t="n"/>
      <c r="BW420" s="401" t="n"/>
      <c r="BX420" s="401" t="n">
        <v>0</v>
      </c>
      <c r="BY420" s="401" t="n"/>
      <c r="BZ420" s="401" t="n"/>
      <c r="CA420" s="401" t="n"/>
      <c r="CB420" s="401" t="n"/>
      <c r="CC420" s="401" t="n"/>
      <c r="CD420" s="401" t="n"/>
      <c r="CE420" s="401" t="n"/>
      <c r="CF420" s="401" t="n">
        <v>0</v>
      </c>
      <c r="CG420" s="401" t="n">
        <v>0</v>
      </c>
      <c r="CH420" s="401" t="n"/>
      <c r="CI420" s="401" t="inlineStr"/>
      <c r="CJ420" s="401" t="inlineStr"/>
      <c r="CK420" t="inlineStr"/>
      <c r="CL420" t="inlineStr"/>
      <c r="CM420" t="inlineStr"/>
      <c r="CN420" t="inlineStr"/>
      <c r="CO420" t="inlineStr"/>
      <c r="CP420" t="inlineStr"/>
      <c r="CQ420" t="inlineStr"/>
    </row>
    <row r="421"/>
    <row r="422">
      <c r="A422" s="402" t="n">
        <v>52</v>
      </c>
      <c r="B422" s="402">
        <f>B432</f>
        <v/>
      </c>
      <c r="C422" s="402">
        <f>C432</f>
        <v/>
      </c>
      <c r="D422" s="402">
        <f>D432</f>
        <v/>
      </c>
      <c r="E422" s="402">
        <f>E432</f>
        <v/>
      </c>
      <c r="F422" s="402">
        <f>F432</f>
        <v/>
      </c>
      <c r="G422" s="402">
        <f>G432</f>
        <v/>
      </c>
      <c r="H422" s="402" t="n"/>
      <c r="I422" s="402" t="n"/>
      <c r="J422" s="402" t="n"/>
      <c r="K422" s="402" t="n"/>
      <c r="L422" s="402" t="n"/>
      <c r="M422" s="402" t="n"/>
      <c r="N422" s="402" t="n"/>
      <c r="O422" s="402">
        <f>O432</f>
        <v/>
      </c>
      <c r="P422" s="402">
        <f>P432</f>
        <v/>
      </c>
      <c r="Q422" s="402">
        <f>Q432</f>
        <v/>
      </c>
      <c r="R422" s="402">
        <f>R432</f>
        <v/>
      </c>
      <c r="S422" s="402">
        <f>S432</f>
        <v/>
      </c>
      <c r="T422" s="402">
        <f>T432</f>
        <v/>
      </c>
      <c r="U422" s="402">
        <f>U432</f>
        <v/>
      </c>
      <c r="V422" s="402">
        <f>V432</f>
        <v/>
      </c>
      <c r="W422" s="402">
        <f>W432</f>
        <v/>
      </c>
      <c r="X422" s="402">
        <f>X432</f>
        <v/>
      </c>
      <c r="Y422" s="402">
        <f>Y432</f>
        <v/>
      </c>
      <c r="Z422" s="402">
        <f>Z432</f>
        <v/>
      </c>
      <c r="AA422" s="402">
        <f>AA432</f>
        <v/>
      </c>
      <c r="AB422" s="402">
        <f>AB432</f>
        <v/>
      </c>
      <c r="AC422" s="402">
        <f>AC432</f>
        <v/>
      </c>
      <c r="AD422" s="402">
        <f>AD432</f>
        <v/>
      </c>
      <c r="AE422" s="402">
        <f>AE432</f>
        <v/>
      </c>
      <c r="AF422" s="402">
        <f>AF432</f>
        <v/>
      </c>
      <c r="AG422" s="402">
        <f>AG432</f>
        <v/>
      </c>
      <c r="AH422" s="402">
        <f>AH432</f>
        <v/>
      </c>
      <c r="AI422" s="402">
        <f>AI432</f>
        <v/>
      </c>
      <c r="AJ422" s="402">
        <f>AJ432</f>
        <v/>
      </c>
      <c r="AK422" s="402">
        <f>AK432</f>
        <v/>
      </c>
      <c r="AL422" s="402">
        <f>AL432</f>
        <v/>
      </c>
      <c r="AM422" s="402">
        <f>AM432</f>
        <v/>
      </c>
      <c r="AN422" s="402">
        <f>AN432</f>
        <v/>
      </c>
      <c r="AO422" s="402">
        <f>AO432</f>
        <v/>
      </c>
      <c r="AP422" s="402">
        <f>AP432</f>
        <v/>
      </c>
      <c r="AQ422" s="402">
        <f>AQ432</f>
        <v/>
      </c>
      <c r="AR422" s="402">
        <f>AR432</f>
        <v/>
      </c>
      <c r="AS422" s="402">
        <f>AS432</f>
        <v/>
      </c>
      <c r="AT422" s="402">
        <f>AT432</f>
        <v/>
      </c>
      <c r="AU422" s="402">
        <f>AU432</f>
        <v/>
      </c>
      <c r="AV422" s="402">
        <f>AV432</f>
        <v/>
      </c>
      <c r="AW422" s="402">
        <f>AW432</f>
        <v/>
      </c>
      <c r="AX422" s="402">
        <f>AX432</f>
        <v/>
      </c>
      <c r="AY422" s="402">
        <f>AY432</f>
        <v/>
      </c>
      <c r="AZ422" s="402">
        <f>AZ432</f>
        <v/>
      </c>
      <c r="BA422" s="402">
        <f>BA432</f>
        <v/>
      </c>
      <c r="BB422" s="402">
        <f>BB432</f>
        <v/>
      </c>
      <c r="BC422" s="402">
        <f>BC432</f>
        <v/>
      </c>
      <c r="BD422" s="402">
        <f>BD432</f>
        <v/>
      </c>
      <c r="BE422" s="402">
        <f>BE432</f>
        <v/>
      </c>
      <c r="BF422" s="402">
        <f>BF432</f>
        <v/>
      </c>
      <c r="BG422" s="402">
        <f>BG432</f>
        <v/>
      </c>
      <c r="BH422" s="402">
        <f>BH432</f>
        <v/>
      </c>
      <c r="BI422" s="402">
        <f>BI432</f>
        <v/>
      </c>
      <c r="BJ422" s="402">
        <f>BJ432</f>
        <v/>
      </c>
      <c r="BK422" s="402">
        <f>BK432</f>
        <v/>
      </c>
      <c r="BL422" s="402">
        <f>BL432</f>
        <v/>
      </c>
      <c r="BM422" s="402">
        <f>BM432</f>
        <v/>
      </c>
      <c r="BN422" s="402">
        <f>BN432</f>
        <v/>
      </c>
      <c r="BO422" s="402">
        <f>BO432</f>
        <v/>
      </c>
      <c r="BP422" s="402">
        <f>BP432</f>
        <v/>
      </c>
      <c r="BQ422" s="402">
        <f>BQ432</f>
        <v/>
      </c>
      <c r="BR422" s="402">
        <f>BR432</f>
        <v/>
      </c>
      <c r="BS422" s="402">
        <f>BS432</f>
        <v/>
      </c>
      <c r="BT422" s="402">
        <f>BT432</f>
        <v/>
      </c>
      <c r="BU422" s="402">
        <f>BU432</f>
        <v/>
      </c>
      <c r="BV422" s="402">
        <f>BV432</f>
        <v/>
      </c>
      <c r="BW422" s="402">
        <f>BW432</f>
        <v/>
      </c>
      <c r="BX422" s="402">
        <f>BX432</f>
        <v/>
      </c>
      <c r="BY422" s="402">
        <f>BY432</f>
        <v/>
      </c>
      <c r="BZ422" s="402">
        <f>BZ432</f>
        <v/>
      </c>
      <c r="CA422" s="402">
        <f>CA432</f>
        <v/>
      </c>
      <c r="CB422" s="402">
        <f>CB432</f>
        <v/>
      </c>
      <c r="CC422" s="402">
        <f>CC432</f>
        <v/>
      </c>
      <c r="CD422" s="402">
        <f>CD432</f>
        <v/>
      </c>
      <c r="CE422" s="402">
        <f>CE432</f>
        <v/>
      </c>
      <c r="CF422" s="402">
        <f>CF432</f>
        <v/>
      </c>
      <c r="CG422" s="402">
        <f>CG432</f>
        <v/>
      </c>
      <c r="CH422" s="402">
        <f>CH432</f>
        <v/>
      </c>
      <c r="CI422" s="402">
        <f>CI432</f>
        <v/>
      </c>
      <c r="CJ422" s="402">
        <f>CJ432</f>
        <v/>
      </c>
      <c r="CK422" s="402">
        <f>CK432</f>
        <v/>
      </c>
      <c r="CL422" s="402">
        <f>CL432</f>
        <v/>
      </c>
      <c r="CM422" s="402">
        <f>CM432</f>
        <v/>
      </c>
      <c r="CN422" s="402">
        <f>CN432</f>
        <v/>
      </c>
      <c r="CO422" s="402">
        <f>CO432</f>
        <v/>
      </c>
      <c r="CP422" s="402">
        <f>CP432</f>
        <v/>
      </c>
      <c r="CQ422" s="402">
        <f>CQ432</f>
        <v/>
      </c>
      <c r="CR422" s="402">
        <f>CR432</f>
        <v/>
      </c>
      <c r="CS422" s="402">
        <f>CS432</f>
        <v/>
      </c>
      <c r="CT422" s="402">
        <f>CT432</f>
        <v/>
      </c>
      <c r="CU422" s="402">
        <f>CU432</f>
        <v/>
      </c>
      <c r="CV422" s="402">
        <f>CV432</f>
        <v/>
      </c>
      <c r="CW422" s="402">
        <f>CW432</f>
        <v/>
      </c>
      <c r="CX422" s="402">
        <f>CX432</f>
        <v/>
      </c>
      <c r="CY422" s="402">
        <f>CY432</f>
        <v/>
      </c>
      <c r="CZ422" s="402">
        <f>CZ432</f>
        <v/>
      </c>
      <c r="DA422" s="402">
        <f>DA432</f>
        <v/>
      </c>
      <c r="DB422" s="402">
        <f>DB432</f>
        <v/>
      </c>
      <c r="DC422" s="402">
        <f>DC432</f>
        <v/>
      </c>
      <c r="DD422" s="402">
        <f>DD432</f>
        <v/>
      </c>
      <c r="DE422" s="402">
        <f>DE432</f>
        <v/>
      </c>
      <c r="DF422" s="402">
        <f>DF432</f>
        <v/>
      </c>
      <c r="DG422" s="403">
        <f>DG432</f>
        <v/>
      </c>
      <c r="DH422" s="403">
        <f>DH432</f>
        <v/>
      </c>
      <c r="DI422" s="403">
        <f>DI432</f>
        <v/>
      </c>
      <c r="DJ422" s="403">
        <f>DJ432</f>
        <v/>
      </c>
      <c r="DK422" s="403">
        <f>DK432</f>
        <v/>
      </c>
      <c r="DL422" s="403">
        <f>DL432</f>
        <v/>
      </c>
      <c r="DM422" s="403">
        <f>DM432</f>
        <v/>
      </c>
      <c r="DN422" s="403">
        <f>DN432</f>
        <v/>
      </c>
      <c r="DO422" s="403">
        <f>DO432</f>
        <v/>
      </c>
      <c r="DP422" s="403">
        <f>DP432</f>
        <v/>
      </c>
      <c r="DQ422" s="403">
        <f>DQ432</f>
        <v/>
      </c>
      <c r="DR422" s="403">
        <f>DR432</f>
        <v/>
      </c>
      <c r="DS422" s="403">
        <f>DS432</f>
        <v/>
      </c>
      <c r="DT422" s="403">
        <f>DT432</f>
        <v/>
      </c>
      <c r="DU422" s="403">
        <f>DU432</f>
        <v/>
      </c>
      <c r="DV422" s="403">
        <f>DV432</f>
        <v/>
      </c>
      <c r="DW422" s="403">
        <f>DW432</f>
        <v/>
      </c>
      <c r="DX422" s="403">
        <f>DX432</f>
        <v/>
      </c>
      <c r="DY422" s="403">
        <f>DY432</f>
        <v/>
      </c>
      <c r="DZ422" s="403">
        <f>DZ432</f>
        <v/>
      </c>
      <c r="EA422" s="403">
        <f>EA432</f>
        <v/>
      </c>
      <c r="EB422" s="403">
        <f>EB432</f>
        <v/>
      </c>
      <c r="EC422" s="403">
        <f>EC432</f>
        <v/>
      </c>
      <c r="ED422" s="403">
        <f>ED432</f>
        <v/>
      </c>
      <c r="EE422" s="403">
        <f>EE432</f>
        <v/>
      </c>
      <c r="EF422" s="403">
        <f>EF432</f>
        <v/>
      </c>
      <c r="EG422" s="403">
        <f>EG432</f>
        <v/>
      </c>
      <c r="EH422" s="403">
        <f>EH432</f>
        <v/>
      </c>
      <c r="EI422" s="403">
        <f>EI432</f>
        <v/>
      </c>
      <c r="EJ422" s="403">
        <f>EJ432</f>
        <v/>
      </c>
      <c r="EK422" s="403">
        <f>EK432</f>
        <v/>
      </c>
      <c r="EL422" s="403">
        <f>EL432</f>
        <v/>
      </c>
      <c r="EM422" s="403">
        <f>EM432</f>
        <v/>
      </c>
      <c r="EN422" s="403">
        <f>EN432</f>
        <v/>
      </c>
      <c r="EO422" s="403">
        <f>EO432</f>
        <v/>
      </c>
      <c r="EP422" s="403">
        <f>EP432</f>
        <v/>
      </c>
      <c r="EQ422" s="403">
        <f>EQ432</f>
        <v/>
      </c>
      <c r="ER422" s="403">
        <f>ER432</f>
        <v/>
      </c>
      <c r="ES422" s="403">
        <f>ES432</f>
        <v/>
      </c>
      <c r="ET422" s="403">
        <f>ET432</f>
        <v/>
      </c>
      <c r="EU422" s="403">
        <f>EU432</f>
        <v/>
      </c>
      <c r="EV422" s="403">
        <f>EV432</f>
        <v/>
      </c>
      <c r="EW422" s="403">
        <f>EW432</f>
        <v/>
      </c>
      <c r="EX422" s="403">
        <f>EX432</f>
        <v/>
      </c>
      <c r="EY422" s="403">
        <f>EY432</f>
        <v/>
      </c>
      <c r="EZ422" s="403">
        <f>EZ432</f>
        <v/>
      </c>
      <c r="FA422" s="403">
        <f>FA432</f>
        <v/>
      </c>
      <c r="FB422" s="403">
        <f>FB432</f>
        <v/>
      </c>
      <c r="FC422" s="403">
        <f>FC432</f>
        <v/>
      </c>
      <c r="FD422" s="403">
        <f>FD432</f>
        <v/>
      </c>
      <c r="FE422" s="403">
        <f>FE432</f>
        <v/>
      </c>
      <c r="FF422" s="403">
        <f>FF432</f>
        <v/>
      </c>
      <c r="FG422" s="403">
        <f>FG432</f>
        <v/>
      </c>
      <c r="FH422" s="403">
        <f>FH432</f>
        <v/>
      </c>
      <c r="FI422" s="403">
        <f>FI432</f>
        <v/>
      </c>
      <c r="FJ422" s="403">
        <f>FJ432</f>
        <v/>
      </c>
      <c r="FK422" s="403">
        <f>FK432</f>
        <v/>
      </c>
      <c r="FL422" s="403">
        <f>FL432</f>
        <v/>
      </c>
      <c r="FM422" s="403">
        <f>FM432</f>
        <v/>
      </c>
      <c r="FN422" s="403">
        <f>FN432</f>
        <v/>
      </c>
      <c r="FO422" s="403">
        <f>FO432</f>
        <v/>
      </c>
      <c r="FP422" s="403">
        <f>FP432</f>
        <v/>
      </c>
      <c r="FQ422" s="403">
        <f>FQ432</f>
        <v/>
      </c>
      <c r="FR422" s="403">
        <f>FR432</f>
        <v/>
      </c>
      <c r="FS422" s="403">
        <f>FS432</f>
        <v/>
      </c>
      <c r="FT422" s="403">
        <f>FT432</f>
        <v/>
      </c>
      <c r="FU422" s="403">
        <f>FU432</f>
        <v/>
      </c>
      <c r="FV422" s="403">
        <f>FV432</f>
        <v/>
      </c>
      <c r="FW422" s="403">
        <f>FW432</f>
        <v/>
      </c>
      <c r="FX422" s="403">
        <f>FX432</f>
        <v/>
      </c>
      <c r="FY422" s="403">
        <f>FY432</f>
        <v/>
      </c>
      <c r="FZ422" s="403">
        <f>FZ432</f>
        <v/>
      </c>
      <c r="GA422" s="403">
        <f>GA432</f>
        <v/>
      </c>
      <c r="GB422" s="403">
        <f>GB432</f>
        <v/>
      </c>
      <c r="GC422" s="403">
        <f>GC432</f>
        <v/>
      </c>
      <c r="GD422" s="403">
        <f>GD432</f>
        <v/>
      </c>
      <c r="GE422" s="403">
        <f>GE432</f>
        <v/>
      </c>
      <c r="GF422" s="403">
        <f>GF432</f>
        <v/>
      </c>
      <c r="GG422" s="403">
        <f>GG432</f>
        <v/>
      </c>
      <c r="GH422" s="403">
        <f>GH432</f>
        <v/>
      </c>
      <c r="GI422" s="403">
        <f>GI432</f>
        <v/>
      </c>
      <c r="GJ422" s="403">
        <f>GJ432</f>
        <v/>
      </c>
      <c r="GK422" s="403">
        <f>GK432</f>
        <v/>
      </c>
      <c r="GL422" s="403">
        <f>GL432</f>
        <v/>
      </c>
      <c r="GM422" s="403">
        <f>GM432</f>
        <v/>
      </c>
      <c r="GN422" s="403">
        <f>GN432</f>
        <v/>
      </c>
      <c r="GO422" s="403">
        <f>GO432</f>
        <v/>
      </c>
      <c r="GP422" s="403">
        <f>GP432</f>
        <v/>
      </c>
      <c r="GQ422" s="403">
        <f>GQ432</f>
        <v/>
      </c>
      <c r="GR422" s="403">
        <f>GR432</f>
        <v/>
      </c>
      <c r="GS422" s="403">
        <f>GS432</f>
        <v/>
      </c>
      <c r="GT422" s="403">
        <f>GT432</f>
        <v/>
      </c>
      <c r="GU422" s="403">
        <f>GU432</f>
        <v/>
      </c>
      <c r="GV422" s="403">
        <f>GV432</f>
        <v/>
      </c>
      <c r="GW422" s="403">
        <f>GW432</f>
        <v/>
      </c>
      <c r="GX422" s="403">
        <f>GX432</f>
        <v/>
      </c>
    </row>
    <row r="423"/>
    <row r="424">
      <c r="A424" t="n">
        <v>17</v>
      </c>
      <c r="B424" t="n">
        <v>0</v>
      </c>
      <c r="C424">
        <f>ROW(SmtRes!A203)</f>
        <v/>
      </c>
      <c r="D424">
        <f>ROW(EtalonRes!A189)</f>
        <v/>
      </c>
      <c r="E424" t="inlineStr">
        <is>
          <t>1</t>
        </is>
      </c>
      <c r="F424" t="inlineStr">
        <is>
          <t>65-10-1</t>
        </is>
      </c>
      <c r="G424" t="inlineStr">
        <is>
          <t>Очистка канализационной сети внутренней</t>
        </is>
      </c>
      <c r="H424" t="inlineStr">
        <is>
          <t>100 м трубопровода</t>
        </is>
      </c>
      <c r="I424">
        <f>ROUND(ROUND(75/100,4),7)</f>
        <v/>
      </c>
      <c r="J424" t="n">
        <v>0</v>
      </c>
      <c r="K424">
        <f>ROUND(ROUND(75/100,4),7)</f>
        <v/>
      </c>
      <c r="O424">
        <f>ROUND(CP424,0)</f>
        <v/>
      </c>
      <c r="P424">
        <f>ROUND(CQ424*I424,0)</f>
        <v/>
      </c>
      <c r="Q424">
        <f>(ROUND((ROUND(((ET424)*I424),0)*BB424),0)+ROUND((ROUND(((AE424-(EU424))*I424),0)*BS424),0))</f>
        <v/>
      </c>
      <c r="R424">
        <f>(ROUND((ROUND(((EU424)*I424),0)*BS424),0)+ROUND((ROUND(((AE424-(EU424))*I424),0)*BS424),0))</f>
        <v/>
      </c>
      <c r="S424">
        <f>ROUND(CT424*I424,0)</f>
        <v/>
      </c>
      <c r="T424">
        <f>ROUND(CU424*I424,0)</f>
        <v/>
      </c>
      <c r="U424">
        <f>ROUND(CV424*I424,7)</f>
        <v/>
      </c>
      <c r="V424">
        <f>ROUND(CW424*I424,7)</f>
        <v/>
      </c>
      <c r="W424">
        <f>ROUND(CX424*I424,0)</f>
        <v/>
      </c>
      <c r="X424">
        <f>ROUND(CY424,0)</f>
        <v/>
      </c>
      <c r="Y424">
        <f>ROUND(CZ424,0)</f>
        <v/>
      </c>
      <c r="AA424" t="n">
        <v>78869116</v>
      </c>
      <c r="AB424">
        <f>ROUND((AC424+AD424+AF424),2)</f>
        <v/>
      </c>
      <c r="AC424">
        <f>ROUND((ES424),2)</f>
        <v/>
      </c>
      <c r="AD424">
        <f>ROUND((((ET424)-(EU424))+AE424),2)</f>
        <v/>
      </c>
      <c r="AE424">
        <f>ROUND((EU424),2)</f>
        <v/>
      </c>
      <c r="AF424">
        <f>ROUND((EV424),2)</f>
        <v/>
      </c>
      <c r="AG424">
        <f>ROUND((AP424),2)</f>
        <v/>
      </c>
      <c r="AH424">
        <f>(EW424)</f>
        <v/>
      </c>
      <c r="AI424">
        <f>(EX424)</f>
        <v/>
      </c>
      <c r="AJ424">
        <f>(AS424)</f>
        <v/>
      </c>
      <c r="AK424" t="n">
        <v>403.3</v>
      </c>
      <c r="AL424" t="n">
        <v>139.36</v>
      </c>
      <c r="AM424" t="n">
        <v>0.87</v>
      </c>
      <c r="AN424" t="n">
        <v>0</v>
      </c>
      <c r="AO424" t="n">
        <v>263.07</v>
      </c>
      <c r="AP424" t="n">
        <v>0</v>
      </c>
      <c r="AQ424" t="n">
        <v>32.2</v>
      </c>
      <c r="AR424" t="n">
        <v>0</v>
      </c>
      <c r="AS424" t="n">
        <v>0</v>
      </c>
      <c r="AT424" t="n">
        <v>103</v>
      </c>
      <c r="AU424" t="n">
        <v>52</v>
      </c>
      <c r="AV424" t="n">
        <v>1</v>
      </c>
      <c r="AW424" t="n">
        <v>1</v>
      </c>
      <c r="AZ424" t="n">
        <v>1</v>
      </c>
      <c r="BA424" t="n">
        <v>52.25</v>
      </c>
      <c r="BB424" t="n">
        <v>25.03</v>
      </c>
      <c r="BC424" t="n">
        <v>11.85</v>
      </c>
      <c r="BD424" t="inlineStr"/>
      <c r="BE424" t="inlineStr"/>
      <c r="BF424" t="inlineStr"/>
      <c r="BG424" t="inlineStr"/>
      <c r="BH424" t="n">
        <v>0</v>
      </c>
      <c r="BI424" t="n">
        <v>1</v>
      </c>
      <c r="BJ424" t="inlineStr">
        <is>
          <t>ТЕРр Московской обл., 65-10-1, приказ Минстроя России №675/пр от 28.02.2017 № 263/пр</t>
        </is>
      </c>
      <c r="BM424" t="n">
        <v>65007</v>
      </c>
      <c r="BN424" t="n">
        <v>0</v>
      </c>
      <c r="BO424" t="inlineStr">
        <is>
          <t>65-10-1</t>
        </is>
      </c>
      <c r="BP424" t="n">
        <v>1</v>
      </c>
      <c r="BQ424" t="n">
        <v>6</v>
      </c>
      <c r="BR424" t="n">
        <v>0</v>
      </c>
      <c r="BS424" t="n">
        <v>52.25</v>
      </c>
      <c r="BT424" t="n">
        <v>1</v>
      </c>
      <c r="BU424" t="n">
        <v>1</v>
      </c>
      <c r="BV424" t="n">
        <v>1</v>
      </c>
      <c r="BW424" t="n">
        <v>1</v>
      </c>
      <c r="BX424" t="n">
        <v>1</v>
      </c>
      <c r="BY424" t="inlineStr"/>
      <c r="BZ424" t="n">
        <v>103</v>
      </c>
      <c r="CA424" t="n">
        <v>52</v>
      </c>
      <c r="CB424" t="inlineStr"/>
      <c r="CE424" t="n">
        <v>12</v>
      </c>
      <c r="CF424" t="n">
        <v>0</v>
      </c>
      <c r="CG424" t="n">
        <v>0</v>
      </c>
      <c r="CM424" t="n">
        <v>0</v>
      </c>
      <c r="CN424" t="inlineStr"/>
      <c r="CO424" t="n">
        <v>0</v>
      </c>
      <c r="CP424">
        <f>(P424+Q424+S424)</f>
        <v/>
      </c>
      <c r="CQ424">
        <f>AC424*BC424</f>
        <v/>
      </c>
      <c r="CR424">
        <f>(ROUND((ROUND(((ET424)*1),0)*BB424),0)+ROUND((ROUND(((AE424-(EU424))*1),0)*BS424),0))</f>
        <v/>
      </c>
      <c r="CS424">
        <f>(ROUND((ROUND(((EU424)*1),0)*BS424),0)+ROUND((ROUND(((AE424-(EU424))*1),0)*BS424),0))</f>
        <v/>
      </c>
      <c r="CT424">
        <f>AF424*BA424</f>
        <v/>
      </c>
      <c r="CU424">
        <f>AG424</f>
        <v/>
      </c>
      <c r="CV424">
        <f>AH424</f>
        <v/>
      </c>
      <c r="CW424">
        <f>AI424</f>
        <v/>
      </c>
      <c r="CX424">
        <f>AJ424</f>
        <v/>
      </c>
      <c r="CY424">
        <f>(((S424+R424)*AT424)/100)</f>
        <v/>
      </c>
      <c r="CZ424">
        <f>(((S424+R424)*AU424)/100)</f>
        <v/>
      </c>
      <c r="DC424" t="inlineStr"/>
      <c r="DD424" t="inlineStr"/>
      <c r="DE424" t="inlineStr"/>
      <c r="DF424" t="inlineStr"/>
      <c r="DG424" t="inlineStr"/>
      <c r="DH424" t="inlineStr"/>
      <c r="DI424" t="inlineStr"/>
      <c r="DJ424" t="inlineStr"/>
      <c r="DK424" t="inlineStr"/>
      <c r="DL424" t="inlineStr"/>
      <c r="DM424" t="inlineStr"/>
      <c r="DN424" t="n">
        <v>0</v>
      </c>
      <c r="DO424" t="n">
        <v>0</v>
      </c>
      <c r="DP424" t="n">
        <v>1</v>
      </c>
      <c r="DQ424" t="n">
        <v>1</v>
      </c>
      <c r="DU424" t="n">
        <v>1013</v>
      </c>
      <c r="DV424" t="inlineStr">
        <is>
          <t>100 м трубопровода</t>
        </is>
      </c>
      <c r="DW424" t="inlineStr">
        <is>
          <t>100 м трубопровода</t>
        </is>
      </c>
      <c r="DX424" t="n">
        <v>1</v>
      </c>
      <c r="DZ424" t="inlineStr"/>
      <c r="EA424" t="inlineStr"/>
      <c r="EB424" t="inlineStr"/>
      <c r="EC424" t="inlineStr"/>
      <c r="EE424" t="n">
        <v>78726000</v>
      </c>
      <c r="EF424" t="n">
        <v>6</v>
      </c>
      <c r="EG424" t="inlineStr">
        <is>
          <t>Ремонтно-строительные работы</t>
        </is>
      </c>
      <c r="EH424" t="n">
        <v>99</v>
      </c>
      <c r="EI424" t="inlineStr">
        <is>
          <t>Внутренние санитарно-технические работы</t>
        </is>
      </c>
      <c r="EJ424" t="n">
        <v>1</v>
      </c>
      <c r="EK424" t="n">
        <v>65007</v>
      </c>
      <c r="EL424" t="inlineStr">
        <is>
          <t>Внутренние санитарнотехнические работы: смена труб, санприборов, запорной арматуры и другое</t>
        </is>
      </c>
      <c r="EM424" t="inlineStr">
        <is>
          <t>рФЕР-65</t>
        </is>
      </c>
      <c r="EO424" t="inlineStr"/>
      <c r="EQ424" t="n">
        <v>0</v>
      </c>
      <c r="ER424" t="n">
        <v>403.3</v>
      </c>
      <c r="ES424" t="n">
        <v>139.36</v>
      </c>
      <c r="ET424" t="n">
        <v>0.87</v>
      </c>
      <c r="EU424" t="n">
        <v>0</v>
      </c>
      <c r="EV424" t="n">
        <v>263.07</v>
      </c>
      <c r="EW424" t="n">
        <v>32.2</v>
      </c>
      <c r="EX424" t="n">
        <v>0</v>
      </c>
      <c r="EY424" t="n">
        <v>0</v>
      </c>
      <c r="FQ424" t="n">
        <v>0</v>
      </c>
      <c r="FR424" t="n">
        <v>0</v>
      </c>
      <c r="FS424" t="n">
        <v>0</v>
      </c>
      <c r="FX424" t="n">
        <v>103</v>
      </c>
      <c r="FY424" t="n">
        <v>52</v>
      </c>
      <c r="GA424" t="inlineStr"/>
      <c r="GD424" t="n">
        <v>1</v>
      </c>
      <c r="GF424" t="n">
        <v>-66904957</v>
      </c>
      <c r="GG424" t="n">
        <v>2</v>
      </c>
      <c r="GH424" t="n">
        <v>1</v>
      </c>
      <c r="GI424" t="n">
        <v>2</v>
      </c>
      <c r="GJ424" t="n">
        <v>0</v>
      </c>
      <c r="GK424" t="n">
        <v>0</v>
      </c>
      <c r="GL424">
        <f>ROUND(IF(AND(BH424=3,BI424=3,FS424&lt;&gt;0),P424,0),0)</f>
        <v/>
      </c>
      <c r="GM424">
        <f>ROUND(O424+X424+Y424,0)+GX424</f>
        <v/>
      </c>
      <c r="GN424">
        <f>IF(OR(BI424=0,BI424=1),GM424-GX424,0)</f>
        <v/>
      </c>
      <c r="GO424">
        <f>IF(BI424=2,GM424-GX424,0)</f>
        <v/>
      </c>
      <c r="GP424">
        <f>IF(BI424=4,GM424-GX424,0)</f>
        <v/>
      </c>
      <c r="GR424" t="n">
        <v>0</v>
      </c>
      <c r="GS424" t="n">
        <v>3</v>
      </c>
      <c r="GT424" t="n">
        <v>0</v>
      </c>
      <c r="GU424" t="inlineStr"/>
      <c r="GV424">
        <f>ROUND((GT424),2)</f>
        <v/>
      </c>
      <c r="GW424" t="n">
        <v>1</v>
      </c>
      <c r="GX424">
        <f>ROUND(HC424*I424,0)</f>
        <v/>
      </c>
      <c r="HA424" t="n">
        <v>0</v>
      </c>
      <c r="HB424" t="n">
        <v>0</v>
      </c>
      <c r="HC424">
        <f>GV424*GW424</f>
        <v/>
      </c>
      <c r="HE424" t="inlineStr"/>
      <c r="HF424" t="inlineStr"/>
      <c r="HM424" t="inlineStr"/>
      <c r="HN424" t="inlineStr">
        <is>
          <t>Пр/812-099.2-1</t>
        </is>
      </c>
      <c r="HO424" t="inlineStr">
        <is>
          <t>Пр/774-099.2</t>
        </is>
      </c>
      <c r="HP424" t="inlineStr">
        <is>
          <t>Внутренние санитарнотехнические работы: смена труб, санприборов, запорной арматуры и другое</t>
        </is>
      </c>
      <c r="HQ424" t="inlineStr">
        <is>
          <t>Внутренние санитарнотехнические работы: смена труб, санприборов, запорной арматуры и другое</t>
        </is>
      </c>
      <c r="HS424" t="n">
        <v>0</v>
      </c>
      <c r="IK424" t="n">
        <v>0</v>
      </c>
    </row>
    <row r="425">
      <c r="A425" t="n">
        <v>17</v>
      </c>
      <c r="B425" t="n">
        <v>0</v>
      </c>
      <c r="C425">
        <f>ROW(SmtRes!A206)</f>
        <v/>
      </c>
      <c r="D425">
        <f>ROW(EtalonRes!A191)</f>
        <v/>
      </c>
      <c r="E425" t="inlineStr">
        <is>
          <t>2</t>
        </is>
      </c>
      <c r="F425" t="inlineStr">
        <is>
          <t>67-5-2</t>
        </is>
      </c>
      <c r="G425" t="inlineStr">
        <is>
          <t>Смена ламп люминесцентных</t>
        </is>
      </c>
      <c r="H425" t="inlineStr">
        <is>
          <t>100 шт.</t>
        </is>
      </c>
      <c r="I425">
        <f>ROUND(ROUND(1/100,4),7)</f>
        <v/>
      </c>
      <c r="J425" t="n">
        <v>0</v>
      </c>
      <c r="K425">
        <f>ROUND(ROUND(1/100,4),7)</f>
        <v/>
      </c>
      <c r="O425">
        <f>ROUND(CP425,0)</f>
        <v/>
      </c>
      <c r="P425">
        <f>ROUND(CQ425*I425,0)</f>
        <v/>
      </c>
      <c r="Q425">
        <f>(ROUND((ROUND(((ET425)*I425),0)*BB425),0)+ROUND((ROUND(((AE425-(EU425))*I425),0)*BS425),0))</f>
        <v/>
      </c>
      <c r="R425">
        <f>(ROUND((ROUND(((EU425)*I425),0)*BS425),0)+ROUND((ROUND(((AE425-(EU425))*I425),0)*BS425),0))</f>
        <v/>
      </c>
      <c r="S425">
        <f>ROUND(CT425*I425,0)</f>
        <v/>
      </c>
      <c r="T425">
        <f>ROUND(CU425*I425,0)</f>
        <v/>
      </c>
      <c r="U425">
        <f>ROUND(CV425*I425,7)</f>
        <v/>
      </c>
      <c r="V425">
        <f>ROUND(CW425*I425,7)</f>
        <v/>
      </c>
      <c r="W425">
        <f>ROUND(CX425*I425,0)</f>
        <v/>
      </c>
      <c r="X425">
        <f>ROUND(CY425,0)</f>
        <v/>
      </c>
      <c r="Y425">
        <f>ROUND(CZ425,0)</f>
        <v/>
      </c>
      <c r="AA425" t="n">
        <v>78869116</v>
      </c>
      <c r="AB425">
        <f>ROUND((AC425+AD425+AF425),2)</f>
        <v/>
      </c>
      <c r="AC425">
        <f>ROUND((ES425),2)</f>
        <v/>
      </c>
      <c r="AD425">
        <f>ROUND((((ET425)-(EU425))+AE425),2)</f>
        <v/>
      </c>
      <c r="AE425">
        <f>ROUND((EU425),2)</f>
        <v/>
      </c>
      <c r="AF425">
        <f>ROUND((EV425),2)</f>
        <v/>
      </c>
      <c r="AG425">
        <f>ROUND((AP425),2)</f>
        <v/>
      </c>
      <c r="AH425">
        <f>(EW425)</f>
        <v/>
      </c>
      <c r="AI425">
        <f>(EX425)</f>
        <v/>
      </c>
      <c r="AJ425">
        <f>(AS425)</f>
        <v/>
      </c>
      <c r="AK425" t="n">
        <v>970.5700000000001</v>
      </c>
      <c r="AL425" t="n">
        <v>852</v>
      </c>
      <c r="AM425" t="n">
        <v>0</v>
      </c>
      <c r="AN425" t="n">
        <v>0</v>
      </c>
      <c r="AO425" t="n">
        <v>118.57</v>
      </c>
      <c r="AP425" t="n">
        <v>0</v>
      </c>
      <c r="AQ425" t="n">
        <v>13.9</v>
      </c>
      <c r="AR425" t="n">
        <v>0</v>
      </c>
      <c r="AS425" t="n">
        <v>0</v>
      </c>
      <c r="AT425" t="n">
        <v>91</v>
      </c>
      <c r="AU425" t="n">
        <v>48</v>
      </c>
      <c r="AV425" t="n">
        <v>1</v>
      </c>
      <c r="AW425" t="n">
        <v>1</v>
      </c>
      <c r="AZ425" t="n">
        <v>1</v>
      </c>
      <c r="BA425" t="n">
        <v>52.25</v>
      </c>
      <c r="BB425" t="n">
        <v>1</v>
      </c>
      <c r="BC425" t="n">
        <v>4.14</v>
      </c>
      <c r="BD425" t="inlineStr"/>
      <c r="BE425" t="inlineStr"/>
      <c r="BF425" t="inlineStr"/>
      <c r="BG425" t="inlineStr"/>
      <c r="BH425" t="n">
        <v>0</v>
      </c>
      <c r="BI425" t="n">
        <v>1</v>
      </c>
      <c r="BJ425" t="inlineStr">
        <is>
          <t>ТЕРр Московской обл., 67-5-2, приказ Минстроя России №675/пр от 28.02.2017 № 263/пр</t>
        </is>
      </c>
      <c r="BM425" t="n">
        <v>67001</v>
      </c>
      <c r="BN425" t="n">
        <v>0</v>
      </c>
      <c r="BO425" t="inlineStr">
        <is>
          <t>67-5-2</t>
        </is>
      </c>
      <c r="BP425" t="n">
        <v>1</v>
      </c>
      <c r="BQ425" t="n">
        <v>6</v>
      </c>
      <c r="BR425" t="n">
        <v>0</v>
      </c>
      <c r="BS425" t="n">
        <v>52.25</v>
      </c>
      <c r="BT425" t="n">
        <v>1</v>
      </c>
      <c r="BU425" t="n">
        <v>1</v>
      </c>
      <c r="BV425" t="n">
        <v>1</v>
      </c>
      <c r="BW425" t="n">
        <v>1</v>
      </c>
      <c r="BX425" t="n">
        <v>1</v>
      </c>
      <c r="BY425" t="inlineStr"/>
      <c r="BZ425" t="n">
        <v>91</v>
      </c>
      <c r="CA425" t="n">
        <v>48</v>
      </c>
      <c r="CB425" t="inlineStr"/>
      <c r="CE425" t="n">
        <v>12</v>
      </c>
      <c r="CF425" t="n">
        <v>0</v>
      </c>
      <c r="CG425" t="n">
        <v>0</v>
      </c>
      <c r="CM425" t="n">
        <v>0</v>
      </c>
      <c r="CN425" t="inlineStr"/>
      <c r="CO425" t="n">
        <v>0</v>
      </c>
      <c r="CP425">
        <f>(P425+Q425+S425)</f>
        <v/>
      </c>
      <c r="CQ425">
        <f>AC425*BC425</f>
        <v/>
      </c>
      <c r="CR425">
        <f>(ROUND((ROUND(((ET425)*1),0)*BB425),0)+ROUND((ROUND(((AE425-(EU425))*1),0)*BS425),0))</f>
        <v/>
      </c>
      <c r="CS425">
        <f>(ROUND((ROUND(((EU425)*1),0)*BS425),0)+ROUND((ROUND(((AE425-(EU425))*1),0)*BS425),0))</f>
        <v/>
      </c>
      <c r="CT425">
        <f>AF425*BA425</f>
        <v/>
      </c>
      <c r="CU425">
        <f>AG425</f>
        <v/>
      </c>
      <c r="CV425">
        <f>AH425</f>
        <v/>
      </c>
      <c r="CW425">
        <f>AI425</f>
        <v/>
      </c>
      <c r="CX425">
        <f>AJ425</f>
        <v/>
      </c>
      <c r="CY425">
        <f>(((S425+R425)*AT425)/100)</f>
        <v/>
      </c>
      <c r="CZ425">
        <f>(((S425+R425)*AU425)/100)</f>
        <v/>
      </c>
      <c r="DC425" t="inlineStr"/>
      <c r="DD425" t="inlineStr"/>
      <c r="DE425" t="inlineStr"/>
      <c r="DF425" t="inlineStr"/>
      <c r="DG425" t="inlineStr"/>
      <c r="DH425" t="inlineStr"/>
      <c r="DI425" t="inlineStr"/>
      <c r="DJ425" t="inlineStr"/>
      <c r="DK425" t="inlineStr"/>
      <c r="DL425" t="inlineStr"/>
      <c r="DM425" t="inlineStr"/>
      <c r="DN425" t="n">
        <v>0</v>
      </c>
      <c r="DO425" t="n">
        <v>0</v>
      </c>
      <c r="DP425" t="n">
        <v>1</v>
      </c>
      <c r="DQ425" t="n">
        <v>1</v>
      </c>
      <c r="DU425" t="n">
        <v>1010</v>
      </c>
      <c r="DV425" t="inlineStr">
        <is>
          <t>100 шт.</t>
        </is>
      </c>
      <c r="DW425" t="inlineStr">
        <is>
          <t>100 шт.</t>
        </is>
      </c>
      <c r="DX425" t="n">
        <v>100</v>
      </c>
      <c r="DZ425" t="inlineStr"/>
      <c r="EA425" t="inlineStr"/>
      <c r="EB425" t="inlineStr"/>
      <c r="EC425" t="inlineStr"/>
      <c r="EE425" t="n">
        <v>78726030</v>
      </c>
      <c r="EF425" t="n">
        <v>6</v>
      </c>
      <c r="EG425" t="inlineStr">
        <is>
          <t>Ремонтно-строительные работы</t>
        </is>
      </c>
      <c r="EH425" t="n">
        <v>101</v>
      </c>
      <c r="EI425" t="inlineStr">
        <is>
          <t>Электромонтажные работы</t>
        </is>
      </c>
      <c r="EJ425" t="n">
        <v>1</v>
      </c>
      <c r="EK425" t="n">
        <v>67001</v>
      </c>
      <c r="EL425" t="inlineStr">
        <is>
          <t>Электромонтажные работы</t>
        </is>
      </c>
      <c r="EM425" t="inlineStr">
        <is>
          <t>рФЕР-67</t>
        </is>
      </c>
      <c r="EO425" t="inlineStr"/>
      <c r="EQ425" t="n">
        <v>0</v>
      </c>
      <c r="ER425" t="n">
        <v>970.5700000000001</v>
      </c>
      <c r="ES425" t="n">
        <v>852</v>
      </c>
      <c r="ET425" t="n">
        <v>0</v>
      </c>
      <c r="EU425" t="n">
        <v>0</v>
      </c>
      <c r="EV425" t="n">
        <v>118.57</v>
      </c>
      <c r="EW425" t="n">
        <v>13.9</v>
      </c>
      <c r="EX425" t="n">
        <v>0</v>
      </c>
      <c r="EY425" t="n">
        <v>0</v>
      </c>
      <c r="FQ425" t="n">
        <v>0</v>
      </c>
      <c r="FR425" t="n">
        <v>0</v>
      </c>
      <c r="FS425" t="n">
        <v>0</v>
      </c>
      <c r="FX425" t="n">
        <v>91</v>
      </c>
      <c r="FY425" t="n">
        <v>48</v>
      </c>
      <c r="GA425" t="inlineStr"/>
      <c r="GD425" t="n">
        <v>1</v>
      </c>
      <c r="GF425" t="n">
        <v>1400342257</v>
      </c>
      <c r="GG425" t="n">
        <v>2</v>
      </c>
      <c r="GH425" t="n">
        <v>1</v>
      </c>
      <c r="GI425" t="n">
        <v>2</v>
      </c>
      <c r="GJ425" t="n">
        <v>0</v>
      </c>
      <c r="GK425" t="n">
        <v>0</v>
      </c>
      <c r="GL425">
        <f>ROUND(IF(AND(BH425=3,BI425=3,FS425&lt;&gt;0),P425,0),0)</f>
        <v/>
      </c>
      <c r="GM425">
        <f>ROUND(O425+X425+Y425,0)+GX425</f>
        <v/>
      </c>
      <c r="GN425">
        <f>IF(OR(BI425=0,BI425=1),GM425-GX425,0)</f>
        <v/>
      </c>
      <c r="GO425">
        <f>IF(BI425=2,GM425-GX425,0)</f>
        <v/>
      </c>
      <c r="GP425">
        <f>IF(BI425=4,GM425-GX425,0)</f>
        <v/>
      </c>
      <c r="GR425" t="n">
        <v>0</v>
      </c>
      <c r="GS425" t="n">
        <v>3</v>
      </c>
      <c r="GT425" t="n">
        <v>0</v>
      </c>
      <c r="GU425" t="inlineStr"/>
      <c r="GV425">
        <f>ROUND((GT425),2)</f>
        <v/>
      </c>
      <c r="GW425" t="n">
        <v>1</v>
      </c>
      <c r="GX425">
        <f>ROUND(HC425*I425,0)</f>
        <v/>
      </c>
      <c r="HA425" t="n">
        <v>0</v>
      </c>
      <c r="HB425" t="n">
        <v>0</v>
      </c>
      <c r="HC425">
        <f>GV425*GW425</f>
        <v/>
      </c>
      <c r="HE425" t="inlineStr"/>
      <c r="HF425" t="inlineStr"/>
      <c r="HM425" t="inlineStr"/>
      <c r="HN425" t="inlineStr">
        <is>
          <t>Пр/812-101.0-1</t>
        </is>
      </c>
      <c r="HO425" t="inlineStr">
        <is>
          <t>Пр/774-101.0</t>
        </is>
      </c>
      <c r="HP425" t="inlineStr">
        <is>
          <t>Электромонтажные работы</t>
        </is>
      </c>
      <c r="HQ425" t="inlineStr">
        <is>
          <t>Электромонтажные работы</t>
        </is>
      </c>
      <c r="HS425" t="n">
        <v>0</v>
      </c>
      <c r="IK425" t="n">
        <v>0</v>
      </c>
    </row>
    <row r="426">
      <c r="A426" t="n">
        <v>18</v>
      </c>
      <c r="B426" t="n">
        <v>0</v>
      </c>
      <c r="C426" t="n">
        <v>206</v>
      </c>
      <c r="E426" t="inlineStr">
        <is>
          <t>2,1</t>
        </is>
      </c>
      <c r="F426" t="inlineStr">
        <is>
          <t>509-6744</t>
        </is>
      </c>
      <c r="G426" t="inlineStr">
        <is>
          <t>Лампы люминесцентные компактные энергосберегающие с цоколем Е27 мощностью 55 Вт</t>
        </is>
      </c>
      <c r="H426" t="inlineStr">
        <is>
          <t>шт.</t>
        </is>
      </c>
      <c r="I426">
        <f>I425*J426</f>
        <v/>
      </c>
      <c r="J426" t="n">
        <v>100</v>
      </c>
      <c r="K426" t="n">
        <v>100</v>
      </c>
      <c r="O426">
        <f>ROUND(CP426,0)</f>
        <v/>
      </c>
      <c r="P426">
        <f>ROUND(CQ426*I426,0)</f>
        <v/>
      </c>
      <c r="Q426">
        <f>(ROUND((ROUND(((ET426)*I426),0)*BB426),0)+ROUND((ROUND(((AE426-(EU426))*I426),0)*BS426),0))</f>
        <v/>
      </c>
      <c r="R426">
        <f>(ROUND((ROUND(((EU426)*I426),0)*BS426),0)+ROUND((ROUND(((AE426-(EU426))*I426),0)*BS426),0))</f>
        <v/>
      </c>
      <c r="S426">
        <f>ROUND(CT426*I426,0)</f>
        <v/>
      </c>
      <c r="T426">
        <f>ROUND(CU426*I426,0)</f>
        <v/>
      </c>
      <c r="U426">
        <f>ROUND(CV426*I426,7)</f>
        <v/>
      </c>
      <c r="V426">
        <f>ROUND(CW426*I426,7)</f>
        <v/>
      </c>
      <c r="W426">
        <f>ROUND(CX426*I426,0)</f>
        <v/>
      </c>
      <c r="X426">
        <f>ROUND(CY426,0)</f>
        <v/>
      </c>
      <c r="Y426">
        <f>ROUND(CZ426,0)</f>
        <v/>
      </c>
      <c r="AA426" t="n">
        <v>78869116</v>
      </c>
      <c r="AB426">
        <f>ROUND((AC426+AD426+AF426),2)</f>
        <v/>
      </c>
      <c r="AC426">
        <f>ROUND((ES426),2)</f>
        <v/>
      </c>
      <c r="AD426">
        <f>ROUND((((ET426)-(EU426))+AE426),2)</f>
        <v/>
      </c>
      <c r="AE426">
        <f>ROUND((EU426),2)</f>
        <v/>
      </c>
      <c r="AF426">
        <f>ROUND((EV426),2)</f>
        <v/>
      </c>
      <c r="AG426">
        <f>ROUND((AP426),2)</f>
        <v/>
      </c>
      <c r="AH426">
        <f>(EW426)</f>
        <v/>
      </c>
      <c r="AI426">
        <f>(EX426)</f>
        <v/>
      </c>
      <c r="AJ426">
        <f>(AS426)</f>
        <v/>
      </c>
      <c r="AK426" t="n">
        <v>140.69</v>
      </c>
      <c r="AL426" t="n">
        <v>140.69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  <c r="AS426" t="n">
        <v>0.02</v>
      </c>
      <c r="AT426" t="n">
        <v>91</v>
      </c>
      <c r="AU426" t="n">
        <v>48</v>
      </c>
      <c r="AV426" t="n">
        <v>1</v>
      </c>
      <c r="AW426" t="n">
        <v>1</v>
      </c>
      <c r="AZ426" t="n">
        <v>1</v>
      </c>
      <c r="BA426" t="n">
        <v>1</v>
      </c>
      <c r="BB426" t="n">
        <v>1</v>
      </c>
      <c r="BC426" t="n">
        <v>1.69</v>
      </c>
      <c r="BD426" t="inlineStr"/>
      <c r="BE426" t="inlineStr"/>
      <c r="BF426" t="inlineStr"/>
      <c r="BG426" t="inlineStr"/>
      <c r="BH426" t="n">
        <v>3</v>
      </c>
      <c r="BI426" t="n">
        <v>1</v>
      </c>
      <c r="BJ426" t="inlineStr">
        <is>
          <t>ТССЦ Московской обл., 509-6744, приказ Минстроя России №675/пр от 28.02.2017 № 258/пр</t>
        </is>
      </c>
      <c r="BM426" t="n">
        <v>67001</v>
      </c>
      <c r="BN426" t="n">
        <v>0</v>
      </c>
      <c r="BO426" t="inlineStr">
        <is>
          <t>509-6744</t>
        </is>
      </c>
      <c r="BP426" t="n">
        <v>1</v>
      </c>
      <c r="BQ426" t="n">
        <v>6</v>
      </c>
      <c r="BR426" t="n">
        <v>0</v>
      </c>
      <c r="BS426" t="n">
        <v>1</v>
      </c>
      <c r="BT426" t="n">
        <v>1</v>
      </c>
      <c r="BU426" t="n">
        <v>1</v>
      </c>
      <c r="BV426" t="n">
        <v>1</v>
      </c>
      <c r="BW426" t="n">
        <v>1</v>
      </c>
      <c r="BX426" t="n">
        <v>1</v>
      </c>
      <c r="BY426" t="inlineStr"/>
      <c r="BZ426" t="n">
        <v>91</v>
      </c>
      <c r="CA426" t="n">
        <v>48</v>
      </c>
      <c r="CB426" t="inlineStr"/>
      <c r="CE426" t="n">
        <v>12</v>
      </c>
      <c r="CF426" t="n">
        <v>0</v>
      </c>
      <c r="CG426" t="n">
        <v>0</v>
      </c>
      <c r="CM426" t="n">
        <v>0</v>
      </c>
      <c r="CN426" t="inlineStr"/>
      <c r="CO426" t="n">
        <v>0</v>
      </c>
      <c r="CP426">
        <f>(P426+Q426+S426)</f>
        <v/>
      </c>
      <c r="CQ426">
        <f>AC426*BC426</f>
        <v/>
      </c>
      <c r="CR426">
        <f>(ROUND((ROUND(((ET426)*1),0)*BB426),0)+ROUND((ROUND(((AE426-(EU426))*1),0)*BS426),0))</f>
        <v/>
      </c>
      <c r="CS426">
        <f>(ROUND((ROUND(((EU426)*1),0)*BS426),0)+ROUND((ROUND(((AE426-(EU426))*1),0)*BS426),0))</f>
        <v/>
      </c>
      <c r="CT426">
        <f>AF426*BA426</f>
        <v/>
      </c>
      <c r="CU426">
        <f>AG426</f>
        <v/>
      </c>
      <c r="CV426">
        <f>AH426</f>
        <v/>
      </c>
      <c r="CW426">
        <f>AI426</f>
        <v/>
      </c>
      <c r="CX426">
        <f>AJ426</f>
        <v/>
      </c>
      <c r="CY426">
        <f>(((S426+R426)*AT426)/100)</f>
        <v/>
      </c>
      <c r="CZ426">
        <f>(((S426+R426)*AU426)/100)</f>
        <v/>
      </c>
      <c r="DC426" t="inlineStr"/>
      <c r="DD426" t="inlineStr"/>
      <c r="DE426" t="inlineStr"/>
      <c r="DF426" t="inlineStr"/>
      <c r="DG426" t="inlineStr"/>
      <c r="DH426" t="inlineStr"/>
      <c r="DI426" t="inlineStr"/>
      <c r="DJ426" t="inlineStr"/>
      <c r="DK426" t="inlineStr"/>
      <c r="DL426" t="inlineStr"/>
      <c r="DM426" t="inlineStr"/>
      <c r="DN426" t="n">
        <v>0</v>
      </c>
      <c r="DO426" t="n">
        <v>0</v>
      </c>
      <c r="DP426" t="n">
        <v>1</v>
      </c>
      <c r="DQ426" t="n">
        <v>1</v>
      </c>
      <c r="DU426" t="n">
        <v>1010</v>
      </c>
      <c r="DV426" t="inlineStr">
        <is>
          <t>шт.</t>
        </is>
      </c>
      <c r="DW426" t="inlineStr">
        <is>
          <t>шт.</t>
        </is>
      </c>
      <c r="DX426" t="n">
        <v>1</v>
      </c>
      <c r="DZ426" t="inlineStr"/>
      <c r="EA426" t="inlineStr"/>
      <c r="EB426" t="inlineStr"/>
      <c r="EC426" t="inlineStr"/>
      <c r="EE426" t="n">
        <v>78726030</v>
      </c>
      <c r="EF426" t="n">
        <v>6</v>
      </c>
      <c r="EG426" t="inlineStr">
        <is>
          <t>Ремонтно-строительные работы</t>
        </is>
      </c>
      <c r="EH426" t="n">
        <v>101</v>
      </c>
      <c r="EI426" t="inlineStr">
        <is>
          <t>Электромонтажные работы</t>
        </is>
      </c>
      <c r="EJ426" t="n">
        <v>1</v>
      </c>
      <c r="EK426" t="n">
        <v>67001</v>
      </c>
      <c r="EL426" t="inlineStr">
        <is>
          <t>Электромонтажные работы</t>
        </is>
      </c>
      <c r="EM426" t="inlineStr">
        <is>
          <t>рФЕР-67</t>
        </is>
      </c>
      <c r="EO426" t="inlineStr"/>
      <c r="EQ426" t="n">
        <v>0</v>
      </c>
      <c r="ER426" t="n">
        <v>140.69</v>
      </c>
      <c r="ES426" t="n">
        <v>140.69</v>
      </c>
      <c r="ET426" t="n">
        <v>0</v>
      </c>
      <c r="EU426" t="n">
        <v>0</v>
      </c>
      <c r="EV426" t="n">
        <v>0</v>
      </c>
      <c r="EW426" t="n">
        <v>0</v>
      </c>
      <c r="EX426" t="n">
        <v>0</v>
      </c>
      <c r="FQ426" t="n">
        <v>0</v>
      </c>
      <c r="FR426" t="n">
        <v>0</v>
      </c>
      <c r="FS426" t="n">
        <v>0</v>
      </c>
      <c r="FX426" t="n">
        <v>91</v>
      </c>
      <c r="FY426" t="n">
        <v>48</v>
      </c>
      <c r="GA426" t="inlineStr"/>
      <c r="GD426" t="n">
        <v>1</v>
      </c>
      <c r="GF426" t="n">
        <v>-228955380</v>
      </c>
      <c r="GG426" t="n">
        <v>2</v>
      </c>
      <c r="GH426" t="n">
        <v>1</v>
      </c>
      <c r="GI426" t="n">
        <v>2</v>
      </c>
      <c r="GJ426" t="n">
        <v>0</v>
      </c>
      <c r="GK426" t="n">
        <v>0</v>
      </c>
      <c r="GL426">
        <f>ROUND(IF(AND(BH426=3,BI426=3,FS426&lt;&gt;0),P426,0),0)</f>
        <v/>
      </c>
      <c r="GM426">
        <f>ROUND(O426+X426+Y426,0)+GX426</f>
        <v/>
      </c>
      <c r="GN426">
        <f>IF(OR(BI426=0,BI426=1),GM426-GX426,0)</f>
        <v/>
      </c>
      <c r="GO426">
        <f>IF(BI426=2,GM426-GX426,0)</f>
        <v/>
      </c>
      <c r="GP426">
        <f>IF(BI426=4,GM426-GX426,0)</f>
        <v/>
      </c>
      <c r="GR426" t="n">
        <v>0</v>
      </c>
      <c r="GS426" t="n">
        <v>3</v>
      </c>
      <c r="GT426" t="n">
        <v>0</v>
      </c>
      <c r="GU426" t="inlineStr"/>
      <c r="GV426">
        <f>ROUND((GT426),2)</f>
        <v/>
      </c>
      <c r="GW426" t="n">
        <v>1</v>
      </c>
      <c r="GX426">
        <f>ROUND(HC426*I426,0)</f>
        <v/>
      </c>
      <c r="HA426" t="n">
        <v>0</v>
      </c>
      <c r="HB426" t="n">
        <v>0</v>
      </c>
      <c r="HC426">
        <f>GV426*GW426</f>
        <v/>
      </c>
      <c r="HE426" t="inlineStr"/>
      <c r="HF426" t="inlineStr"/>
      <c r="HM426" t="inlineStr"/>
      <c r="HN426" t="inlineStr">
        <is>
          <t>Пр/812-101.0-1</t>
        </is>
      </c>
      <c r="HO426" t="inlineStr">
        <is>
          <t>Пр/774-101.0</t>
        </is>
      </c>
      <c r="HP426" t="inlineStr">
        <is>
          <t>Электромонтажные работы</t>
        </is>
      </c>
      <c r="HQ426" t="inlineStr">
        <is>
          <t>Электромонтажные работы</t>
        </is>
      </c>
      <c r="HS426" t="n">
        <v>0</v>
      </c>
      <c r="IK426" t="n">
        <v>0</v>
      </c>
    </row>
    <row r="427">
      <c r="A427" t="n">
        <v>17</v>
      </c>
      <c r="B427" t="n">
        <v>0</v>
      </c>
      <c r="C427">
        <f>ROW(SmtRes!A212)</f>
        <v/>
      </c>
      <c r="D427">
        <f>ROW(EtalonRes!A197)</f>
        <v/>
      </c>
      <c r="E427" t="inlineStr">
        <is>
          <t>3</t>
        </is>
      </c>
      <c r="F427" t="inlineStr">
        <is>
          <t>16-07-005-1</t>
        </is>
      </c>
      <c r="G4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27" t="inlineStr">
        <is>
          <t>100 м трубопровода</t>
        </is>
      </c>
      <c r="I427">
        <f>ROUND(ROUND(60/100,4),7)</f>
        <v/>
      </c>
      <c r="J427" t="n">
        <v>0</v>
      </c>
      <c r="K427">
        <f>ROUND(ROUND(60/100,4),7)</f>
        <v/>
      </c>
      <c r="O427">
        <f>ROUND(CP427,0)</f>
        <v/>
      </c>
      <c r="P427">
        <f>ROUND(CQ427*I427,0)</f>
        <v/>
      </c>
      <c r="Q427">
        <f>(ROUND((ROUND((((ET427*ROUND(2,7)))*I427),0)*BB427),0)+ROUND((ROUND(((AE427-((EU427*ROUND(2,7))))*I427),0)*BS427),0))</f>
        <v/>
      </c>
      <c r="R427">
        <f>(ROUND((ROUND((((EU427*ROUND(2,7)))*I427),0)*BS427),0)+ROUND((ROUND(((AE427-((EU427*ROUND(2,7))))*I427),0)*BS427),0))</f>
        <v/>
      </c>
      <c r="S427">
        <f>ROUND(CT427*I427,0)</f>
        <v/>
      </c>
      <c r="T427">
        <f>ROUND(CU427*I427,0)</f>
        <v/>
      </c>
      <c r="U427">
        <f>ROUND(CV427*I427,7)</f>
        <v/>
      </c>
      <c r="V427">
        <f>ROUND(CW427*I427,7)</f>
        <v/>
      </c>
      <c r="W427">
        <f>ROUND(CX427*I427,0)</f>
        <v/>
      </c>
      <c r="X427">
        <f>ROUND(CY427,0)</f>
        <v/>
      </c>
      <c r="Y427">
        <f>ROUND(CZ427,0)</f>
        <v/>
      </c>
      <c r="AA427" t="n">
        <v>78869116</v>
      </c>
      <c r="AB427">
        <f>ROUND((AC427+AD427+AF427),2)</f>
        <v/>
      </c>
      <c r="AC427">
        <f>ROUND((ES427),2)</f>
        <v/>
      </c>
      <c r="AD427">
        <f>ROUND(((((ET427*ROUND(2,7)))-((EU427*ROUND(2,7))))+AE427),2)</f>
        <v/>
      </c>
      <c r="AE427">
        <f>ROUND(((EU427*ROUND(2,7))),2)</f>
        <v/>
      </c>
      <c r="AF427">
        <f>ROUND(((EV427*ROUND(2,7))),2)</f>
        <v/>
      </c>
      <c r="AG427">
        <f>ROUND((AP427),2)</f>
        <v/>
      </c>
      <c r="AH427">
        <f>((EW427*ROUND(2,7)))</f>
        <v/>
      </c>
      <c r="AI427">
        <f>((EX427*ROUND(2,7)))</f>
        <v/>
      </c>
      <c r="AJ427">
        <f>(AS427)</f>
        <v/>
      </c>
      <c r="AK427" t="n">
        <v>107.11</v>
      </c>
      <c r="AL427" t="n">
        <v>4.28</v>
      </c>
      <c r="AM427" t="n">
        <v>44.51</v>
      </c>
      <c r="AN427" t="n">
        <v>0</v>
      </c>
      <c r="AO427" t="n">
        <v>58.32</v>
      </c>
      <c r="AP427" t="n">
        <v>0</v>
      </c>
      <c r="AQ427" t="n">
        <v>5.01</v>
      </c>
      <c r="AR427" t="n">
        <v>0</v>
      </c>
      <c r="AS427" t="n">
        <v>0</v>
      </c>
      <c r="AT427" t="n">
        <v>121</v>
      </c>
      <c r="AU427" t="n">
        <v>72</v>
      </c>
      <c r="AV427" t="n">
        <v>1</v>
      </c>
      <c r="AW427" t="n">
        <v>1</v>
      </c>
      <c r="AZ427" t="n">
        <v>1</v>
      </c>
      <c r="BA427" t="n">
        <v>52.25</v>
      </c>
      <c r="BB427" t="n">
        <v>5.97</v>
      </c>
      <c r="BC427" t="n">
        <v>11.38</v>
      </c>
      <c r="BD427" t="inlineStr"/>
      <c r="BE427" t="inlineStr"/>
      <c r="BF427" t="inlineStr"/>
      <c r="BG427" t="inlineStr"/>
      <c r="BH427" t="n">
        <v>0</v>
      </c>
      <c r="BI427" t="n">
        <v>1</v>
      </c>
      <c r="BJ427" t="inlineStr">
        <is>
          <t>ТЕР Московской обл., 16-07-005-1, приказ Минстроя России №675/пр от 28.02.2017 № 260/пр</t>
        </is>
      </c>
      <c r="BM427" t="n">
        <v>16001</v>
      </c>
      <c r="BN427" t="n">
        <v>0</v>
      </c>
      <c r="BO427" t="inlineStr">
        <is>
          <t>16-07-005-1</t>
        </is>
      </c>
      <c r="BP427" t="n">
        <v>1</v>
      </c>
      <c r="BQ427" t="n">
        <v>2</v>
      </c>
      <c r="BR427" t="n">
        <v>0</v>
      </c>
      <c r="BS427" t="n">
        <v>52.25</v>
      </c>
      <c r="BT427" t="n">
        <v>1</v>
      </c>
      <c r="BU427" t="n">
        <v>1</v>
      </c>
      <c r="BV427" t="n">
        <v>1</v>
      </c>
      <c r="BW427" t="n">
        <v>1</v>
      </c>
      <c r="BX427" t="n">
        <v>1</v>
      </c>
      <c r="BY427" t="inlineStr"/>
      <c r="BZ427" t="n">
        <v>121</v>
      </c>
      <c r="CA427" t="n">
        <v>72</v>
      </c>
      <c r="CB427" t="inlineStr"/>
      <c r="CE427" t="n">
        <v>12</v>
      </c>
      <c r="CF427" t="n">
        <v>0</v>
      </c>
      <c r="CG427" t="n">
        <v>0</v>
      </c>
      <c r="CM427" t="n">
        <v>0</v>
      </c>
      <c r="CN427" t="inlineStr"/>
      <c r="CO427" t="n">
        <v>0</v>
      </c>
      <c r="CP427">
        <f>(P427+Q427+S427)</f>
        <v/>
      </c>
      <c r="CQ427">
        <f>AC427*BC427</f>
        <v/>
      </c>
      <c r="CR427">
        <f>(ROUND((ROUND((((ET427*ROUND(2,7)))*1),0)*BB427),0)+ROUND((ROUND(((AE427-((EU427*ROUND(2,7))))*1),0)*BS427),0))</f>
        <v/>
      </c>
      <c r="CS427">
        <f>(ROUND((ROUND((((EU427*ROUND(2,7)))*1),0)*BS427),0)+ROUND((ROUND(((AE427-((EU427*ROUND(2,7))))*1),0)*BS427),0))</f>
        <v/>
      </c>
      <c r="CT427">
        <f>AF427*BA427</f>
        <v/>
      </c>
      <c r="CU427">
        <f>AG427</f>
        <v/>
      </c>
      <c r="CV427">
        <f>AH427</f>
        <v/>
      </c>
      <c r="CW427">
        <f>AI427</f>
        <v/>
      </c>
      <c r="CX427">
        <f>AJ427</f>
        <v/>
      </c>
      <c r="CY427">
        <f>(((S427+R427)*AT427)/100)</f>
        <v/>
      </c>
      <c r="CZ427">
        <f>(((S427+R427)*AU427)/100)</f>
        <v/>
      </c>
      <c r="DC427" t="inlineStr"/>
      <c r="DD427" t="inlineStr"/>
      <c r="DE427" t="inlineStr">
        <is>
          <t>)*2</t>
        </is>
      </c>
      <c r="DF427" t="inlineStr">
        <is>
          <t>)*2</t>
        </is>
      </c>
      <c r="DG427" t="inlineStr">
        <is>
          <t>)*2</t>
        </is>
      </c>
      <c r="DH427" t="inlineStr"/>
      <c r="DI427" t="inlineStr">
        <is>
          <t>)*2</t>
        </is>
      </c>
      <c r="DJ427" t="inlineStr">
        <is>
          <t>)*2</t>
        </is>
      </c>
      <c r="DK427" t="inlineStr"/>
      <c r="DL427" t="inlineStr"/>
      <c r="DM427" t="inlineStr"/>
      <c r="DN427" t="n">
        <v>0</v>
      </c>
      <c r="DO427" t="n">
        <v>0</v>
      </c>
      <c r="DP427" t="n">
        <v>1</v>
      </c>
      <c r="DQ427" t="n">
        <v>1</v>
      </c>
      <c r="DU427" t="n">
        <v>1013</v>
      </c>
      <c r="DV427" t="inlineStr">
        <is>
          <t>100 м трубопровода</t>
        </is>
      </c>
      <c r="DW427" t="inlineStr">
        <is>
          <t>100 м трубопровода</t>
        </is>
      </c>
      <c r="DX427" t="n">
        <v>1</v>
      </c>
      <c r="DZ427" t="inlineStr"/>
      <c r="EA427" t="inlineStr"/>
      <c r="EB427" t="inlineStr"/>
      <c r="EC427" t="inlineStr"/>
      <c r="EE427" t="n">
        <v>78725882</v>
      </c>
      <c r="EF427" t="n">
        <v>2</v>
      </c>
      <c r="EG427" t="inlineStr">
        <is>
          <t>Общестроительные работы</t>
        </is>
      </c>
      <c r="EH427" t="n">
        <v>16</v>
      </c>
      <c r="EI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27" t="n">
        <v>1</v>
      </c>
      <c r="EK427" t="n">
        <v>16001</v>
      </c>
      <c r="EL427" t="inlineStr">
        <is>
          <t>Трубопроводы внутренние</t>
        </is>
      </c>
      <c r="EM427" t="inlineStr">
        <is>
          <t>ФЕР-16</t>
        </is>
      </c>
      <c r="EO427" t="inlineStr"/>
      <c r="EQ427" t="n">
        <v>2097152</v>
      </c>
      <c r="ER427" t="n">
        <v>107.11</v>
      </c>
      <c r="ES427" t="n">
        <v>4.28</v>
      </c>
      <c r="ET427" t="n">
        <v>44.51</v>
      </c>
      <c r="EU427" t="n">
        <v>0</v>
      </c>
      <c r="EV427" t="n">
        <v>58.32</v>
      </c>
      <c r="EW427" t="n">
        <v>5.01</v>
      </c>
      <c r="EX427" t="n">
        <v>0</v>
      </c>
      <c r="EY427" t="n">
        <v>0</v>
      </c>
      <c r="FQ427" t="n">
        <v>0</v>
      </c>
      <c r="FR427" t="n">
        <v>0</v>
      </c>
      <c r="FS427" t="n">
        <v>0</v>
      </c>
      <c r="FX427" t="n">
        <v>121</v>
      </c>
      <c r="FY427" t="n">
        <v>72</v>
      </c>
      <c r="GA427" t="inlineStr"/>
      <c r="GD427" t="n">
        <v>1</v>
      </c>
      <c r="GF427" t="n">
        <v>635989612</v>
      </c>
      <c r="GG427" t="n">
        <v>2</v>
      </c>
      <c r="GH427" t="n">
        <v>1</v>
      </c>
      <c r="GI427" t="n">
        <v>2</v>
      </c>
      <c r="GJ427" t="n">
        <v>0</v>
      </c>
      <c r="GK427" t="n">
        <v>0</v>
      </c>
      <c r="GL427">
        <f>ROUND(IF(AND(BH427=3,BI427=3,FS427&lt;&gt;0),P427,0),0)</f>
        <v/>
      </c>
      <c r="GM427">
        <f>ROUND(O427+X427+Y427,0)+GX427</f>
        <v/>
      </c>
      <c r="GN427">
        <f>IF(OR(BI427=0,BI427=1),GM427-GX427,0)</f>
        <v/>
      </c>
      <c r="GO427">
        <f>IF(BI427=2,GM427-GX427,0)</f>
        <v/>
      </c>
      <c r="GP427">
        <f>IF(BI427=4,GM427-GX427,0)</f>
        <v/>
      </c>
      <c r="GR427" t="n">
        <v>0</v>
      </c>
      <c r="GS427" t="n">
        <v>3</v>
      </c>
      <c r="GT427" t="n">
        <v>0</v>
      </c>
      <c r="GU427" t="inlineStr"/>
      <c r="GV427">
        <f>ROUND((GT427),2)</f>
        <v/>
      </c>
      <c r="GW427" t="n">
        <v>1</v>
      </c>
      <c r="GX427">
        <f>ROUND(HC427*I427,0)</f>
        <v/>
      </c>
      <c r="HA427" t="n">
        <v>0</v>
      </c>
      <c r="HB427" t="n">
        <v>0</v>
      </c>
      <c r="HC427">
        <f>GV427*GW427</f>
        <v/>
      </c>
      <c r="HE427" t="inlineStr"/>
      <c r="HF427" t="inlineStr"/>
      <c r="HM427" t="inlineStr"/>
      <c r="HN427" t="inlineStr">
        <is>
          <t>Пр/812-016.0-1</t>
        </is>
      </c>
      <c r="HO427" t="inlineStr">
        <is>
          <t>Пр/774-016.0</t>
        </is>
      </c>
      <c r="HP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27" t="n">
        <v>0</v>
      </c>
      <c r="IK427" t="n">
        <v>0</v>
      </c>
    </row>
    <row r="428">
      <c r="A428" t="n">
        <v>17</v>
      </c>
      <c r="B428" t="n">
        <v>0</v>
      </c>
      <c r="C428">
        <f>ROW(SmtRes!A219)</f>
        <v/>
      </c>
      <c r="D428">
        <f>ROW(EtalonRes!A203)</f>
        <v/>
      </c>
      <c r="E428" t="inlineStr">
        <is>
          <t>4</t>
        </is>
      </c>
      <c r="F428" t="inlineStr">
        <is>
          <t>22-03-002-3</t>
        </is>
      </c>
      <c r="G428" t="inlineStr">
        <is>
          <t>Установка полиэтиленовых фасонных частей / прим воздуховод</t>
        </is>
      </c>
      <c r="H428" t="inlineStr">
        <is>
          <t>10 фасонных частей</t>
        </is>
      </c>
      <c r="I428">
        <f>ROUND(ROUND(7/10,4),7)</f>
        <v/>
      </c>
      <c r="J428" t="n">
        <v>0</v>
      </c>
      <c r="K428">
        <f>ROUND(ROUND(7/10,4),7)</f>
        <v/>
      </c>
      <c r="O428">
        <f>ROUND(CP428,0)</f>
        <v/>
      </c>
      <c r="P428">
        <f>ROUND(CQ428*I428,0)</f>
        <v/>
      </c>
      <c r="Q428">
        <f>(ROUND((ROUND(((ET428)*I428),0)*BB428),0)+ROUND((ROUND(((AE428-(EU428))*I428),0)*BS428),0))</f>
        <v/>
      </c>
      <c r="R428">
        <f>(ROUND((ROUND(((EU428)*I428),0)*BS428),0)+ROUND((ROUND(((AE428-(EU428))*I428),0)*BS428),0))</f>
        <v/>
      </c>
      <c r="S428">
        <f>ROUND(CT428*I428,0)</f>
        <v/>
      </c>
      <c r="T428">
        <f>ROUND(CU428*I428,0)</f>
        <v/>
      </c>
      <c r="U428">
        <f>ROUND(CV428*I428,7)</f>
        <v/>
      </c>
      <c r="V428">
        <f>ROUND(CW428*I428,7)</f>
        <v/>
      </c>
      <c r="W428">
        <f>ROUND(CX428*I428,0)</f>
        <v/>
      </c>
      <c r="X428">
        <f>ROUND(CY428,0)</f>
        <v/>
      </c>
      <c r="Y428">
        <f>ROUND(CZ428,0)</f>
        <v/>
      </c>
      <c r="AA428" t="n">
        <v>78869116</v>
      </c>
      <c r="AB428">
        <f>ROUND((AC428+AD428+AF428),2)</f>
        <v/>
      </c>
      <c r="AC428">
        <f>ROUND((ES428),2)</f>
        <v/>
      </c>
      <c r="AD428">
        <f>ROUND((((ET428)-(EU428))+AE428),2)</f>
        <v/>
      </c>
      <c r="AE428">
        <f>ROUND((EU428),2)</f>
        <v/>
      </c>
      <c r="AF428">
        <f>ROUND((EV428),2)</f>
        <v/>
      </c>
      <c r="AG428">
        <f>ROUND((AP428),2)</f>
        <v/>
      </c>
      <c r="AH428">
        <f>(EW428)</f>
        <v/>
      </c>
      <c r="AI428">
        <f>(EX428)</f>
        <v/>
      </c>
      <c r="AJ428">
        <f>(AS428)</f>
        <v/>
      </c>
      <c r="AK428" t="n">
        <v>703.25</v>
      </c>
      <c r="AL428" t="n">
        <v>92.8</v>
      </c>
      <c r="AM428" t="n">
        <v>523.38</v>
      </c>
      <c r="AN428" t="n">
        <v>70.34</v>
      </c>
      <c r="AO428" t="n">
        <v>87.06999999999999</v>
      </c>
      <c r="AP428" t="n">
        <v>0</v>
      </c>
      <c r="AQ428" t="n">
        <v>9.6</v>
      </c>
      <c r="AR428" t="n">
        <v>5.21</v>
      </c>
      <c r="AS428" t="n">
        <v>0</v>
      </c>
      <c r="AT428" t="n">
        <v>117</v>
      </c>
      <c r="AU428" t="n">
        <v>74</v>
      </c>
      <c r="AV428" t="n">
        <v>1</v>
      </c>
      <c r="AW428" t="n">
        <v>1</v>
      </c>
      <c r="AZ428" t="n">
        <v>1</v>
      </c>
      <c r="BA428" t="n">
        <v>52.25</v>
      </c>
      <c r="BB428" t="n">
        <v>11.97</v>
      </c>
      <c r="BC428" t="n">
        <v>10.75</v>
      </c>
      <c r="BD428" t="inlineStr"/>
      <c r="BE428" t="inlineStr"/>
      <c r="BF428" t="inlineStr"/>
      <c r="BG428" t="inlineStr"/>
      <c r="BH428" t="n">
        <v>0</v>
      </c>
      <c r="BI428" t="n">
        <v>1</v>
      </c>
      <c r="BJ428" t="inlineStr">
        <is>
          <t>ТЕР Московской обл., 22-03-002-3, приказ Минстроя России №675/пр от 28.02.2017 № 260/пр</t>
        </is>
      </c>
      <c r="BM428" t="n">
        <v>22001</v>
      </c>
      <c r="BN428" t="n">
        <v>0</v>
      </c>
      <c r="BO428" t="inlineStr">
        <is>
          <t>22-03-002-3</t>
        </is>
      </c>
      <c r="BP428" t="n">
        <v>1</v>
      </c>
      <c r="BQ428" t="n">
        <v>2</v>
      </c>
      <c r="BR428" t="n">
        <v>0</v>
      </c>
      <c r="BS428" t="n">
        <v>52.25</v>
      </c>
      <c r="BT428" t="n">
        <v>1</v>
      </c>
      <c r="BU428" t="n">
        <v>1</v>
      </c>
      <c r="BV428" t="n">
        <v>1</v>
      </c>
      <c r="BW428" t="n">
        <v>1</v>
      </c>
      <c r="BX428" t="n">
        <v>1</v>
      </c>
      <c r="BY428" t="inlineStr"/>
      <c r="BZ428" t="n">
        <v>117</v>
      </c>
      <c r="CA428" t="n">
        <v>74</v>
      </c>
      <c r="CB428" t="inlineStr"/>
      <c r="CE428" t="n">
        <v>12</v>
      </c>
      <c r="CF428" t="n">
        <v>0</v>
      </c>
      <c r="CG428" t="n">
        <v>0</v>
      </c>
      <c r="CM428" t="n">
        <v>0</v>
      </c>
      <c r="CN428" t="inlineStr"/>
      <c r="CO428" t="n">
        <v>0</v>
      </c>
      <c r="CP428">
        <f>(P428+Q428+S428)</f>
        <v/>
      </c>
      <c r="CQ428">
        <f>AC428*BC428</f>
        <v/>
      </c>
      <c r="CR428">
        <f>(ROUND((ROUND(((ET428)*1),0)*BB428),0)+ROUND((ROUND(((AE428-(EU428))*1),0)*BS428),0))</f>
        <v/>
      </c>
      <c r="CS428">
        <f>(ROUND((ROUND(((EU428)*1),0)*BS428),0)+ROUND((ROUND(((AE428-(EU428))*1),0)*BS428),0))</f>
        <v/>
      </c>
      <c r="CT428">
        <f>AF428*BA428</f>
        <v/>
      </c>
      <c r="CU428">
        <f>AG428</f>
        <v/>
      </c>
      <c r="CV428">
        <f>AH428</f>
        <v/>
      </c>
      <c r="CW428">
        <f>AI428</f>
        <v/>
      </c>
      <c r="CX428">
        <f>AJ428</f>
        <v/>
      </c>
      <c r="CY428">
        <f>(((S428+R428)*AT428)/100)</f>
        <v/>
      </c>
      <c r="CZ428">
        <f>(((S428+R428)*AU428)/100)</f>
        <v/>
      </c>
      <c r="DC428" t="inlineStr"/>
      <c r="DD428" t="inlineStr"/>
      <c r="DE428" t="inlineStr"/>
      <c r="DF428" t="inlineStr"/>
      <c r="DG428" t="inlineStr"/>
      <c r="DH428" t="inlineStr"/>
      <c r="DI428" t="inlineStr"/>
      <c r="DJ428" t="inlineStr"/>
      <c r="DK428" t="inlineStr"/>
      <c r="DL428" t="inlineStr"/>
      <c r="DM428" t="inlineStr"/>
      <c r="DN428" t="n">
        <v>0</v>
      </c>
      <c r="DO428" t="n">
        <v>0</v>
      </c>
      <c r="DP428" t="n">
        <v>1</v>
      </c>
      <c r="DQ428" t="n">
        <v>1</v>
      </c>
      <c r="DU428" t="n">
        <v>1013</v>
      </c>
      <c r="DV428" t="inlineStr">
        <is>
          <t>10 фасонных частей</t>
        </is>
      </c>
      <c r="DW428" t="inlineStr">
        <is>
          <t>10 фасонных частей</t>
        </is>
      </c>
      <c r="DX428" t="n">
        <v>1</v>
      </c>
      <c r="DZ428" t="inlineStr"/>
      <c r="EA428" t="inlineStr"/>
      <c r="EB428" t="inlineStr"/>
      <c r="EC428" t="inlineStr"/>
      <c r="EE428" t="n">
        <v>78725890</v>
      </c>
      <c r="EF428" t="n">
        <v>2</v>
      </c>
      <c r="EG428" t="inlineStr">
        <is>
          <t>Общестроительные работы</t>
        </is>
      </c>
      <c r="EH428" t="n">
        <v>18</v>
      </c>
      <c r="EI428" t="inlineStr">
        <is>
          <t>Наружные сети водопровода, канализации, теплоснабжения, газопроводы</t>
        </is>
      </c>
      <c r="EJ428" t="n">
        <v>1</v>
      </c>
      <c r="EK428" t="n">
        <v>22001</v>
      </c>
      <c r="EL428" t="inlineStr">
        <is>
          <t>Наружные сети водопровода, канализации, теплоснабжения, газопроводы</t>
        </is>
      </c>
      <c r="EM428" t="inlineStr">
        <is>
          <t>ФЕР-22</t>
        </is>
      </c>
      <c r="EO428" t="inlineStr"/>
      <c r="EQ428" t="n">
        <v>0</v>
      </c>
      <c r="ER428" t="n">
        <v>703.25</v>
      </c>
      <c r="ES428" t="n">
        <v>92.8</v>
      </c>
      <c r="ET428" t="n">
        <v>523.38</v>
      </c>
      <c r="EU428" t="n">
        <v>70.34</v>
      </c>
      <c r="EV428" t="n">
        <v>87.06999999999999</v>
      </c>
      <c r="EW428" t="n">
        <v>9.6</v>
      </c>
      <c r="EX428" t="n">
        <v>5.21</v>
      </c>
      <c r="EY428" t="n">
        <v>0</v>
      </c>
      <c r="FQ428" t="n">
        <v>0</v>
      </c>
      <c r="FR428" t="n">
        <v>0</v>
      </c>
      <c r="FS428" t="n">
        <v>0</v>
      </c>
      <c r="FX428" t="n">
        <v>117</v>
      </c>
      <c r="FY428" t="n">
        <v>74</v>
      </c>
      <c r="GA428" t="inlineStr"/>
      <c r="GD428" t="n">
        <v>1</v>
      </c>
      <c r="GF428" t="n">
        <v>1974883631</v>
      </c>
      <c r="GG428" t="n">
        <v>2</v>
      </c>
      <c r="GH428" t="n">
        <v>1</v>
      </c>
      <c r="GI428" t="n">
        <v>2</v>
      </c>
      <c r="GJ428" t="n">
        <v>0</v>
      </c>
      <c r="GK428" t="n">
        <v>0</v>
      </c>
      <c r="GL428">
        <f>ROUND(IF(AND(BH428=3,BI428=3,FS428&lt;&gt;0),P428,0),0)</f>
        <v/>
      </c>
      <c r="GM428">
        <f>ROUND(O428+X428+Y428,0)+GX428</f>
        <v/>
      </c>
      <c r="GN428">
        <f>IF(OR(BI428=0,BI428=1),GM428-GX428,0)</f>
        <v/>
      </c>
      <c r="GO428">
        <f>IF(BI428=2,GM428-GX428,0)</f>
        <v/>
      </c>
      <c r="GP428">
        <f>IF(BI428=4,GM428-GX428,0)</f>
        <v/>
      </c>
      <c r="GR428" t="n">
        <v>0</v>
      </c>
      <c r="GS428" t="n">
        <v>3</v>
      </c>
      <c r="GT428" t="n">
        <v>0</v>
      </c>
      <c r="GU428" t="inlineStr"/>
      <c r="GV428">
        <f>ROUND((GT428),2)</f>
        <v/>
      </c>
      <c r="GW428" t="n">
        <v>1</v>
      </c>
      <c r="GX428">
        <f>ROUND(HC428*I428,0)</f>
        <v/>
      </c>
      <c r="HA428" t="n">
        <v>0</v>
      </c>
      <c r="HB428" t="n">
        <v>0</v>
      </c>
      <c r="HC428">
        <f>GV428*GW428</f>
        <v/>
      </c>
      <c r="HE428" t="inlineStr"/>
      <c r="HF428" t="inlineStr"/>
      <c r="HM428" t="inlineStr"/>
      <c r="HN428" t="inlineStr">
        <is>
          <t>Пр/812-018.0-1</t>
        </is>
      </c>
      <c r="HO428" t="inlineStr">
        <is>
          <t>Пр/774-018.0</t>
        </is>
      </c>
      <c r="HP428" t="inlineStr">
        <is>
          <t>Наружные сети водопровода, канализации, теплоснабжения, газопроводы</t>
        </is>
      </c>
      <c r="HQ428" t="inlineStr">
        <is>
          <t>Наружные сети водопровода, канализации, теплоснабжения, газопроводы</t>
        </is>
      </c>
      <c r="HS428" t="n">
        <v>0</v>
      </c>
      <c r="IK428" t="n">
        <v>0</v>
      </c>
    </row>
    <row r="429">
      <c r="A429" t="n">
        <v>18</v>
      </c>
      <c r="B429" t="n">
        <v>0</v>
      </c>
      <c r="C429" t="n">
        <v>219</v>
      </c>
      <c r="E429" t="inlineStr">
        <is>
          <t>4,1</t>
        </is>
      </c>
      <c r="F429" t="inlineStr">
        <is>
          <t>302-1650</t>
        </is>
      </c>
      <c r="G429" t="inlineStr">
        <is>
          <t>Крестовина К90-90х90</t>
        </is>
      </c>
      <c r="H429" t="inlineStr">
        <is>
          <t>10 шт.</t>
        </is>
      </c>
      <c r="I429">
        <f>I428*J429</f>
        <v/>
      </c>
      <c r="J429" t="n">
        <v>-1</v>
      </c>
      <c r="K429" t="n">
        <v>-1</v>
      </c>
      <c r="O429">
        <f>ROUND(CP429,0)</f>
        <v/>
      </c>
      <c r="P429">
        <f>ROUND(CQ429*I429,0)</f>
        <v/>
      </c>
      <c r="Q429">
        <f>(ROUND((ROUND(((ET429)*I429),0)*BB429),0)+ROUND((ROUND(((AE429-(EU429))*I429),0)*BS429),0))</f>
        <v/>
      </c>
      <c r="R429">
        <f>(ROUND((ROUND(((EU429)*I429),0)*BS429),0)+ROUND((ROUND(((AE429-(EU429))*I429),0)*BS429),0))</f>
        <v/>
      </c>
      <c r="S429">
        <f>ROUND(CT429*I429,0)</f>
        <v/>
      </c>
      <c r="T429">
        <f>ROUND(CU429*I429,0)</f>
        <v/>
      </c>
      <c r="U429">
        <f>ROUND(CV429*I429,7)</f>
        <v/>
      </c>
      <c r="V429">
        <f>ROUND(CW429*I429,7)</f>
        <v/>
      </c>
      <c r="W429">
        <f>ROUND(CX429*I429,0)</f>
        <v/>
      </c>
      <c r="X429">
        <f>ROUND(CY429,0)</f>
        <v/>
      </c>
      <c r="Y429">
        <f>ROUND(CZ429,0)</f>
        <v/>
      </c>
      <c r="AA429" t="n">
        <v>78869116</v>
      </c>
      <c r="AB429">
        <f>ROUND((AC429+AD429+AF429),2)</f>
        <v/>
      </c>
      <c r="AC429">
        <f>ROUND((ES429),2)</f>
        <v/>
      </c>
      <c r="AD429">
        <f>ROUND((((ET429)-(EU429))+AE429),2)</f>
        <v/>
      </c>
      <c r="AE429">
        <f>ROUND((EU429),2)</f>
        <v/>
      </c>
      <c r="AF429">
        <f>ROUND((EV429),2)</f>
        <v/>
      </c>
      <c r="AG429">
        <f>ROUND((AP429),2)</f>
        <v/>
      </c>
      <c r="AH429">
        <f>(EW429)</f>
        <v/>
      </c>
      <c r="AI429">
        <f>(EX429)</f>
        <v/>
      </c>
      <c r="AJ429">
        <f>(AS429)</f>
        <v/>
      </c>
      <c r="AK429" t="n">
        <v>92.8</v>
      </c>
      <c r="AL429" t="n">
        <v>92.8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  <c r="AS429" t="n">
        <v>0</v>
      </c>
      <c r="AT429" t="n">
        <v>117</v>
      </c>
      <c r="AU429" t="n">
        <v>74</v>
      </c>
      <c r="AV429" t="n">
        <v>1</v>
      </c>
      <c r="AW429" t="n">
        <v>1</v>
      </c>
      <c r="AZ429" t="n">
        <v>1</v>
      </c>
      <c r="BA429" t="n">
        <v>1</v>
      </c>
      <c r="BB429" t="n">
        <v>1</v>
      </c>
      <c r="BC429" t="n">
        <v>10.75</v>
      </c>
      <c r="BD429" t="inlineStr"/>
      <c r="BE429" t="inlineStr"/>
      <c r="BF429" t="inlineStr"/>
      <c r="BG429" t="inlineStr"/>
      <c r="BH429" t="n">
        <v>3</v>
      </c>
      <c r="BI429" t="n">
        <v>1</v>
      </c>
      <c r="BJ429" t="inlineStr">
        <is>
          <t>ТССЦ Московской обл., 302-1650, приказ Минстроя России №675/пр от 28.02.2017 № 256/пр</t>
        </is>
      </c>
      <c r="BM429" t="n">
        <v>22001</v>
      </c>
      <c r="BN429" t="n">
        <v>0</v>
      </c>
      <c r="BO429" t="inlineStr">
        <is>
          <t>302-1650</t>
        </is>
      </c>
      <c r="BP429" t="n">
        <v>1</v>
      </c>
      <c r="BQ429" t="n">
        <v>2</v>
      </c>
      <c r="BR429" t="n">
        <v>1</v>
      </c>
      <c r="BS429" t="n">
        <v>1</v>
      </c>
      <c r="BT429" t="n">
        <v>1</v>
      </c>
      <c r="BU429" t="n">
        <v>1</v>
      </c>
      <c r="BV429" t="n">
        <v>1</v>
      </c>
      <c r="BW429" t="n">
        <v>1</v>
      </c>
      <c r="BX429" t="n">
        <v>1</v>
      </c>
      <c r="BY429" t="inlineStr"/>
      <c r="BZ429" t="n">
        <v>117</v>
      </c>
      <c r="CA429" t="n">
        <v>74</v>
      </c>
      <c r="CB429" t="inlineStr"/>
      <c r="CE429" t="n">
        <v>12</v>
      </c>
      <c r="CF429" t="n">
        <v>0</v>
      </c>
      <c r="CG429" t="n">
        <v>0</v>
      </c>
      <c r="CM429" t="n">
        <v>0</v>
      </c>
      <c r="CN429" t="inlineStr"/>
      <c r="CO429" t="n">
        <v>0</v>
      </c>
      <c r="CP429">
        <f>(P429+Q429+S429)</f>
        <v/>
      </c>
      <c r="CQ429">
        <f>AC429*BC429</f>
        <v/>
      </c>
      <c r="CR429">
        <f>(ROUND((ROUND(((ET429)*1),0)*BB429),0)+ROUND((ROUND(((AE429-(EU429))*1),0)*BS429),0))</f>
        <v/>
      </c>
      <c r="CS429">
        <f>(ROUND((ROUND(((EU429)*1),0)*BS429),0)+ROUND((ROUND(((AE429-(EU429))*1),0)*BS429),0))</f>
        <v/>
      </c>
      <c r="CT429">
        <f>AF429*BA429</f>
        <v/>
      </c>
      <c r="CU429">
        <f>AG429</f>
        <v/>
      </c>
      <c r="CV429">
        <f>AH429</f>
        <v/>
      </c>
      <c r="CW429">
        <f>AI429</f>
        <v/>
      </c>
      <c r="CX429">
        <f>AJ429</f>
        <v/>
      </c>
      <c r="CY429">
        <f>(((S429+R429)*AT429)/100)</f>
        <v/>
      </c>
      <c r="CZ429">
        <f>(((S429+R429)*AU429)/100)</f>
        <v/>
      </c>
      <c r="DC429" t="inlineStr"/>
      <c r="DD429" t="inlineStr"/>
      <c r="DE429" t="inlineStr"/>
      <c r="DF429" t="inlineStr"/>
      <c r="DG429" t="inlineStr"/>
      <c r="DH429" t="inlineStr"/>
      <c r="DI429" t="inlineStr"/>
      <c r="DJ429" t="inlineStr"/>
      <c r="DK429" t="inlineStr"/>
      <c r="DL429" t="inlineStr"/>
      <c r="DM429" t="inlineStr"/>
      <c r="DN429" t="n">
        <v>0</v>
      </c>
      <c r="DO429" t="n">
        <v>0</v>
      </c>
      <c r="DP429" t="n">
        <v>1</v>
      </c>
      <c r="DQ429" t="n">
        <v>1</v>
      </c>
      <c r="DU429" t="n">
        <v>1010</v>
      </c>
      <c r="DV429" t="inlineStr">
        <is>
          <t>10 шт.</t>
        </is>
      </c>
      <c r="DW429" t="inlineStr">
        <is>
          <t>10 шт.</t>
        </is>
      </c>
      <c r="DX429" t="n">
        <v>10</v>
      </c>
      <c r="DZ429" t="inlineStr"/>
      <c r="EA429" t="inlineStr"/>
      <c r="EB429" t="inlineStr"/>
      <c r="EC429" t="inlineStr"/>
      <c r="EE429" t="n">
        <v>78725890</v>
      </c>
      <c r="EF429" t="n">
        <v>2</v>
      </c>
      <c r="EG429" t="inlineStr">
        <is>
          <t>Общестроительные работы</t>
        </is>
      </c>
      <c r="EH429" t="n">
        <v>18</v>
      </c>
      <c r="EI429" t="inlineStr">
        <is>
          <t>Наружные сети водопровода, канализации, теплоснабжения, газопроводы</t>
        </is>
      </c>
      <c r="EJ429" t="n">
        <v>1</v>
      </c>
      <c r="EK429" t="n">
        <v>22001</v>
      </c>
      <c r="EL429" t="inlineStr">
        <is>
          <t>Наружные сети водопровода, канализации, теплоснабжения, газопроводы</t>
        </is>
      </c>
      <c r="EM429" t="inlineStr">
        <is>
          <t>ФЕР-22</t>
        </is>
      </c>
      <c r="EO429" t="inlineStr"/>
      <c r="EQ429" t="n">
        <v>0</v>
      </c>
      <c r="ER429" t="n">
        <v>92.8</v>
      </c>
      <c r="ES429" t="n">
        <v>92.8</v>
      </c>
      <c r="ET429" t="n">
        <v>0</v>
      </c>
      <c r="EU429" t="n">
        <v>0</v>
      </c>
      <c r="EV429" t="n">
        <v>0</v>
      </c>
      <c r="EW429" t="n">
        <v>0</v>
      </c>
      <c r="EX429" t="n">
        <v>0</v>
      </c>
      <c r="FQ429" t="n">
        <v>0</v>
      </c>
      <c r="FR429" t="n">
        <v>0</v>
      </c>
      <c r="FS429" t="n">
        <v>0</v>
      </c>
      <c r="FX429" t="n">
        <v>117</v>
      </c>
      <c r="FY429" t="n">
        <v>74</v>
      </c>
      <c r="GA429" t="inlineStr"/>
      <c r="GD429" t="n">
        <v>1</v>
      </c>
      <c r="GF429" t="n">
        <v>1489252311</v>
      </c>
      <c r="GG429" t="n">
        <v>2</v>
      </c>
      <c r="GH429" t="n">
        <v>1</v>
      </c>
      <c r="GI429" t="n">
        <v>2</v>
      </c>
      <c r="GJ429" t="n">
        <v>0</v>
      </c>
      <c r="GK429" t="n">
        <v>0</v>
      </c>
      <c r="GL429">
        <f>ROUND(IF(AND(BH429=3,BI429=3,FS429&lt;&gt;0),P429,0),0)</f>
        <v/>
      </c>
      <c r="GM429">
        <f>ROUND(O429+X429+Y429,0)+GX429</f>
        <v/>
      </c>
      <c r="GN429">
        <f>IF(OR(BI429=0,BI429=1),GM429-GX429,0)</f>
        <v/>
      </c>
      <c r="GO429">
        <f>IF(BI429=2,GM429-GX429,0)</f>
        <v/>
      </c>
      <c r="GP429">
        <f>IF(BI429=4,GM429-GX429,0)</f>
        <v/>
      </c>
      <c r="GR429" t="n">
        <v>0</v>
      </c>
      <c r="GS429" t="n">
        <v>3</v>
      </c>
      <c r="GT429" t="n">
        <v>0</v>
      </c>
      <c r="GU429" t="inlineStr"/>
      <c r="GV429">
        <f>ROUND((GT429),2)</f>
        <v/>
      </c>
      <c r="GW429" t="n">
        <v>1</v>
      </c>
      <c r="GX429">
        <f>ROUND(HC429*I429,0)</f>
        <v/>
      </c>
      <c r="HA429" t="n">
        <v>0</v>
      </c>
      <c r="HB429" t="n">
        <v>0</v>
      </c>
      <c r="HC429">
        <f>GV429*GW429</f>
        <v/>
      </c>
      <c r="HE429" t="inlineStr"/>
      <c r="HF429" t="inlineStr"/>
      <c r="HM429" t="inlineStr"/>
      <c r="HN429" t="inlineStr">
        <is>
          <t>Пр/812-018.0-1</t>
        </is>
      </c>
      <c r="HO429" t="inlineStr">
        <is>
          <t>Пр/774-018.0</t>
        </is>
      </c>
      <c r="HP429" t="inlineStr">
        <is>
          <t>Наружные сети водопровода, канализации, теплоснабжения, газопроводы</t>
        </is>
      </c>
      <c r="HQ429" t="inlineStr">
        <is>
          <t>Наружные сети водопровода, канализации, теплоснабжения, газопроводы</t>
        </is>
      </c>
      <c r="HS429" t="n">
        <v>0</v>
      </c>
      <c r="IK429" t="n">
        <v>0</v>
      </c>
    </row>
    <row r="430">
      <c r="A430" t="n">
        <v>18</v>
      </c>
      <c r="B430" t="n">
        <v>0</v>
      </c>
      <c r="C430" t="n">
        <v>218</v>
      </c>
      <c r="E430" t="inlineStr">
        <is>
          <t>4,2</t>
        </is>
      </c>
      <c r="F430" t="inlineStr">
        <is>
          <t>103-1009</t>
        </is>
      </c>
      <c r="G430" t="inlineStr">
        <is>
          <t>Фасонные стальные сварные части, диаметр до 800 мм/ прим</t>
        </is>
      </c>
      <c r="H430" t="inlineStr">
        <is>
          <t>т</t>
        </is>
      </c>
      <c r="I430">
        <f>I428*J430</f>
        <v/>
      </c>
      <c r="J430" t="n">
        <v>0.01142857142857143</v>
      </c>
      <c r="K430" t="n">
        <v>0.0114286</v>
      </c>
      <c r="O430">
        <f>ROUND(CP430,0)</f>
        <v/>
      </c>
      <c r="P430">
        <f>ROUND(CQ430*I430,0)</f>
        <v/>
      </c>
      <c r="Q430">
        <f>(ROUND((ROUND(((ET430)*I430),0)*BB430),0)+ROUND((ROUND(((AE430-(EU430))*I430),0)*BS430),0))</f>
        <v/>
      </c>
      <c r="R430">
        <f>(ROUND((ROUND(((EU430)*I430),0)*BS430),0)+ROUND((ROUND(((AE430-(EU430))*I430),0)*BS430),0))</f>
        <v/>
      </c>
      <c r="S430">
        <f>ROUND(CT430*I430,0)</f>
        <v/>
      </c>
      <c r="T430">
        <f>ROUND(CU430*I430,0)</f>
        <v/>
      </c>
      <c r="U430">
        <f>ROUND(CV430*I430,7)</f>
        <v/>
      </c>
      <c r="V430">
        <f>ROUND(CW430*I430,7)</f>
        <v/>
      </c>
      <c r="W430">
        <f>ROUND(CX430*I430,0)</f>
        <v/>
      </c>
      <c r="X430">
        <f>ROUND(CY430,0)</f>
        <v/>
      </c>
      <c r="Y430">
        <f>ROUND(CZ430,0)</f>
        <v/>
      </c>
      <c r="AA430" t="n">
        <v>78869116</v>
      </c>
      <c r="AB430">
        <f>ROUND((AC430+AD430+AF430),2)</f>
        <v/>
      </c>
      <c r="AC430">
        <f>ROUND((ES430),2)</f>
        <v/>
      </c>
      <c r="AD430">
        <f>ROUND((((ET430)-(EU430))+AE430),2)</f>
        <v/>
      </c>
      <c r="AE430">
        <f>ROUND((EU430),2)</f>
        <v/>
      </c>
      <c r="AF430">
        <f>ROUND((EV430),2)</f>
        <v/>
      </c>
      <c r="AG430">
        <f>ROUND((AP430),2)</f>
        <v/>
      </c>
      <c r="AH430">
        <f>(EW430)</f>
        <v/>
      </c>
      <c r="AI430">
        <f>(EX430)</f>
        <v/>
      </c>
      <c r="AJ430">
        <f>(AS430)</f>
        <v/>
      </c>
      <c r="AK430" t="n">
        <v>5500</v>
      </c>
      <c r="AL430" t="n">
        <v>5500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  <c r="AS430" t="n">
        <v>38.95</v>
      </c>
      <c r="AT430" t="n">
        <v>117</v>
      </c>
      <c r="AU430" t="n">
        <v>74</v>
      </c>
      <c r="AV430" t="n">
        <v>1</v>
      </c>
      <c r="AW430" t="n">
        <v>1</v>
      </c>
      <c r="AZ430" t="n">
        <v>1</v>
      </c>
      <c r="BA430" t="n">
        <v>1</v>
      </c>
      <c r="BB430" t="n">
        <v>1</v>
      </c>
      <c r="BC430" t="n">
        <v>32.49</v>
      </c>
      <c r="BD430" t="inlineStr"/>
      <c r="BE430" t="inlineStr"/>
      <c r="BF430" t="inlineStr"/>
      <c r="BG430" t="inlineStr"/>
      <c r="BH430" t="n">
        <v>3</v>
      </c>
      <c r="BI430" t="n">
        <v>1</v>
      </c>
      <c r="BJ430" t="inlineStr">
        <is>
          <t>ТССЦ Московской обл., 103-1009, приказ Минстроя России №675/пр от 28.02.2017 № 254/пр</t>
        </is>
      </c>
      <c r="BM430" t="n">
        <v>22001</v>
      </c>
      <c r="BN430" t="n">
        <v>0</v>
      </c>
      <c r="BO430" t="inlineStr">
        <is>
          <t>103-1009</t>
        </is>
      </c>
      <c r="BP430" t="n">
        <v>1</v>
      </c>
      <c r="BQ430" t="n">
        <v>2</v>
      </c>
      <c r="BR430" t="n">
        <v>0</v>
      </c>
      <c r="BS430" t="n">
        <v>1</v>
      </c>
      <c r="BT430" t="n">
        <v>1</v>
      </c>
      <c r="BU430" t="n">
        <v>1</v>
      </c>
      <c r="BV430" t="n">
        <v>1</v>
      </c>
      <c r="BW430" t="n">
        <v>1</v>
      </c>
      <c r="BX430" t="n">
        <v>1</v>
      </c>
      <c r="BY430" t="inlineStr"/>
      <c r="BZ430" t="n">
        <v>117</v>
      </c>
      <c r="CA430" t="n">
        <v>74</v>
      </c>
      <c r="CB430" t="inlineStr"/>
      <c r="CE430" t="n">
        <v>12</v>
      </c>
      <c r="CF430" t="n">
        <v>0</v>
      </c>
      <c r="CG430" t="n">
        <v>0</v>
      </c>
      <c r="CM430" t="n">
        <v>0</v>
      </c>
      <c r="CN430" t="inlineStr"/>
      <c r="CO430" t="n">
        <v>0</v>
      </c>
      <c r="CP430">
        <f>(P430+Q430+S430)</f>
        <v/>
      </c>
      <c r="CQ430">
        <f>AC430*BC430</f>
        <v/>
      </c>
      <c r="CR430">
        <f>(ROUND((ROUND(((ET430)*1),0)*BB430),0)+ROUND((ROUND(((AE430-(EU430))*1),0)*BS430),0))</f>
        <v/>
      </c>
      <c r="CS430">
        <f>(ROUND((ROUND(((EU430)*1),0)*BS430),0)+ROUND((ROUND(((AE430-(EU430))*1),0)*BS430),0))</f>
        <v/>
      </c>
      <c r="CT430">
        <f>AF430*BA430</f>
        <v/>
      </c>
      <c r="CU430">
        <f>AG430</f>
        <v/>
      </c>
      <c r="CV430">
        <f>AH430</f>
        <v/>
      </c>
      <c r="CW430">
        <f>AI430</f>
        <v/>
      </c>
      <c r="CX430">
        <f>AJ430</f>
        <v/>
      </c>
      <c r="CY430">
        <f>(((S430+R430)*AT430)/100)</f>
        <v/>
      </c>
      <c r="CZ430">
        <f>(((S430+R430)*AU430)/100)</f>
        <v/>
      </c>
      <c r="DC430" t="inlineStr"/>
      <c r="DD430" t="inlineStr"/>
      <c r="DE430" t="inlineStr"/>
      <c r="DF430" t="inlineStr"/>
      <c r="DG430" t="inlineStr"/>
      <c r="DH430" t="inlineStr"/>
      <c r="DI430" t="inlineStr"/>
      <c r="DJ430" t="inlineStr"/>
      <c r="DK430" t="inlineStr"/>
      <c r="DL430" t="inlineStr"/>
      <c r="DM430" t="inlineStr"/>
      <c r="DN430" t="n">
        <v>0</v>
      </c>
      <c r="DO430" t="n">
        <v>0</v>
      </c>
      <c r="DP430" t="n">
        <v>1</v>
      </c>
      <c r="DQ430" t="n">
        <v>1</v>
      </c>
      <c r="DU430" t="n">
        <v>1009</v>
      </c>
      <c r="DV430" t="inlineStr">
        <is>
          <t>т</t>
        </is>
      </c>
      <c r="DW430" t="inlineStr">
        <is>
          <t>т</t>
        </is>
      </c>
      <c r="DX430" t="n">
        <v>1000</v>
      </c>
      <c r="DZ430" t="inlineStr"/>
      <c r="EA430" t="inlineStr"/>
      <c r="EB430" t="inlineStr"/>
      <c r="EC430" t="inlineStr"/>
      <c r="EE430" t="n">
        <v>78725890</v>
      </c>
      <c r="EF430" t="n">
        <v>2</v>
      </c>
      <c r="EG430" t="inlineStr">
        <is>
          <t>Общестроительные работы</t>
        </is>
      </c>
      <c r="EH430" t="n">
        <v>18</v>
      </c>
      <c r="EI430" t="inlineStr">
        <is>
          <t>Наружные сети водопровода, канализации, теплоснабжения, газопроводы</t>
        </is>
      </c>
      <c r="EJ430" t="n">
        <v>1</v>
      </c>
      <c r="EK430" t="n">
        <v>22001</v>
      </c>
      <c r="EL430" t="inlineStr">
        <is>
          <t>Наружные сети водопровода, канализации, теплоснабжения, газопроводы</t>
        </is>
      </c>
      <c r="EM430" t="inlineStr">
        <is>
          <t>ФЕР-22</t>
        </is>
      </c>
      <c r="EO430" t="inlineStr"/>
      <c r="EQ430" t="n">
        <v>0</v>
      </c>
      <c r="ER430" t="n">
        <v>5500</v>
      </c>
      <c r="ES430" t="n">
        <v>5500</v>
      </c>
      <c r="ET430" t="n">
        <v>0</v>
      </c>
      <c r="EU430" t="n">
        <v>0</v>
      </c>
      <c r="EV430" t="n">
        <v>0</v>
      </c>
      <c r="EW430" t="n">
        <v>0</v>
      </c>
      <c r="EX430" t="n">
        <v>0</v>
      </c>
      <c r="FQ430" t="n">
        <v>0</v>
      </c>
      <c r="FR430" t="n">
        <v>0</v>
      </c>
      <c r="FS430" t="n">
        <v>0</v>
      </c>
      <c r="FX430" t="n">
        <v>117</v>
      </c>
      <c r="FY430" t="n">
        <v>74</v>
      </c>
      <c r="GA430" t="inlineStr"/>
      <c r="GD430" t="n">
        <v>1</v>
      </c>
      <c r="GF430" t="n">
        <v>91071629</v>
      </c>
      <c r="GG430" t="n">
        <v>2</v>
      </c>
      <c r="GH430" t="n">
        <v>1</v>
      </c>
      <c r="GI430" t="n">
        <v>2</v>
      </c>
      <c r="GJ430" t="n">
        <v>0</v>
      </c>
      <c r="GK430" t="n">
        <v>0</v>
      </c>
      <c r="GL430">
        <f>ROUND(IF(AND(BH430=3,BI430=3,FS430&lt;&gt;0),P430,0),0)</f>
        <v/>
      </c>
      <c r="GM430">
        <f>ROUND(O430+X430+Y430,0)+GX430</f>
        <v/>
      </c>
      <c r="GN430">
        <f>IF(OR(BI430=0,BI430=1),GM430-GX430,0)</f>
        <v/>
      </c>
      <c r="GO430">
        <f>IF(BI430=2,GM430-GX430,0)</f>
        <v/>
      </c>
      <c r="GP430">
        <f>IF(BI430=4,GM430-GX430,0)</f>
        <v/>
      </c>
      <c r="GR430" t="n">
        <v>0</v>
      </c>
      <c r="GS430" t="n">
        <v>3</v>
      </c>
      <c r="GT430" t="n">
        <v>0</v>
      </c>
      <c r="GU430" t="inlineStr"/>
      <c r="GV430">
        <f>ROUND((GT430),2)</f>
        <v/>
      </c>
      <c r="GW430" t="n">
        <v>1</v>
      </c>
      <c r="GX430">
        <f>ROUND(HC430*I430,0)</f>
        <v/>
      </c>
      <c r="HA430" t="n">
        <v>0</v>
      </c>
      <c r="HB430" t="n">
        <v>0</v>
      </c>
      <c r="HC430">
        <f>GV430*GW430</f>
        <v/>
      </c>
      <c r="HE430" t="inlineStr"/>
      <c r="HF430" t="inlineStr"/>
      <c r="HM430" t="inlineStr"/>
      <c r="HN430" t="inlineStr">
        <is>
          <t>Пр/812-018.0-1</t>
        </is>
      </c>
      <c r="HO430" t="inlineStr">
        <is>
          <t>Пр/774-018.0</t>
        </is>
      </c>
      <c r="HP430" t="inlineStr">
        <is>
          <t>Наружные сети водопровода, канализации, теплоснабжения, газопроводы</t>
        </is>
      </c>
      <c r="HQ430" t="inlineStr">
        <is>
          <t>Наружные сети водопровода, канализации, теплоснабжения, газопроводы</t>
        </is>
      </c>
      <c r="HS430" t="n">
        <v>0</v>
      </c>
      <c r="IK430" t="n">
        <v>0</v>
      </c>
    </row>
    <row r="431"/>
    <row r="432">
      <c r="A432" s="402" t="n">
        <v>51</v>
      </c>
      <c r="B432" s="402">
        <f>B420</f>
        <v/>
      </c>
      <c r="C432" s="402">
        <f>A420</f>
        <v/>
      </c>
      <c r="D432" s="402">
        <f>ROW(A420)</f>
        <v/>
      </c>
      <c r="E432" s="402" t="n"/>
      <c r="F432" s="402">
        <f>IF(F420&lt;&gt;"",F420,"")</f>
        <v/>
      </c>
      <c r="G432" s="402">
        <f>IF(G420&lt;&gt;"",G420,"")</f>
        <v/>
      </c>
      <c r="H432" s="402" t="n">
        <v>0</v>
      </c>
      <c r="I432" s="402" t="n"/>
      <c r="J432" s="402" t="n"/>
      <c r="K432" s="402" t="n"/>
      <c r="L432" s="402" t="n"/>
      <c r="M432" s="402" t="n"/>
      <c r="N432" s="402" t="n"/>
      <c r="O432" s="402" t="n">
        <v>0</v>
      </c>
      <c r="P432" s="402" t="n">
        <v>0</v>
      </c>
      <c r="Q432" s="402" t="n">
        <v>0</v>
      </c>
      <c r="R432" s="402" t="n">
        <v>0</v>
      </c>
      <c r="S432" s="402" t="n">
        <v>0</v>
      </c>
      <c r="T432" s="402" t="n">
        <v>0</v>
      </c>
      <c r="U432" s="402" t="n">
        <v>0</v>
      </c>
      <c r="V432" s="402" t="n">
        <v>0</v>
      </c>
      <c r="W432" s="402" t="n">
        <v>0</v>
      </c>
      <c r="X432" s="402" t="n">
        <v>0</v>
      </c>
      <c r="Y432" s="402" t="n">
        <v>0</v>
      </c>
      <c r="Z432" s="402" t="n"/>
      <c r="AA432" s="402" t="n"/>
      <c r="AB432" s="402" t="n"/>
      <c r="AC432" s="402" t="n"/>
      <c r="AD432" s="402" t="n"/>
      <c r="AE432" s="402" t="n"/>
      <c r="AF432" s="402" t="n"/>
      <c r="AG432" s="402" t="n"/>
      <c r="AH432" s="402" t="n"/>
      <c r="AI432" s="402" t="n"/>
      <c r="AJ432" s="402" t="n"/>
      <c r="AK432" s="402" t="n"/>
      <c r="AL432" s="402" t="n"/>
      <c r="AM432" s="402" t="n"/>
      <c r="AN432" s="402" t="n"/>
      <c r="AO432" s="402">
        <f>ROUND(BX432,0)</f>
        <v/>
      </c>
      <c r="AP432" s="402">
        <f>ROUND(BY432,0)</f>
        <v/>
      </c>
      <c r="AQ432" s="402">
        <f>ROUND(BZ432,0)</f>
        <v/>
      </c>
      <c r="AR432" s="402">
        <f>ROUND(CA432,0)</f>
        <v/>
      </c>
      <c r="AS432" s="402">
        <f>ROUND(CB432,0)</f>
        <v/>
      </c>
      <c r="AT432" s="402">
        <f>ROUND(CC432,0)</f>
        <v/>
      </c>
      <c r="AU432" s="402">
        <f>ROUND(CD432,0)</f>
        <v/>
      </c>
      <c r="AV432" s="402">
        <f>ROUND(CE432,0)</f>
        <v/>
      </c>
      <c r="AW432" s="402">
        <f>ROUND(CF432,0)</f>
        <v/>
      </c>
      <c r="AX432" s="402">
        <f>ROUND(CG432,0)</f>
        <v/>
      </c>
      <c r="AY432" s="402">
        <f>ROUND(CH432,0)</f>
        <v/>
      </c>
      <c r="AZ432" s="402">
        <f>ROUND(CI432,0)</f>
        <v/>
      </c>
      <c r="BA432" s="402">
        <f>ROUND(CJ432,0)</f>
        <v/>
      </c>
      <c r="BB432" s="402">
        <f>ROUND(CK432,0)</f>
        <v/>
      </c>
      <c r="BC432" s="402">
        <f>ROUND(CL432,0)</f>
        <v/>
      </c>
      <c r="BD432" s="402">
        <f>ROUND(CM432,0)</f>
        <v/>
      </c>
      <c r="BE432" s="402" t="n"/>
      <c r="BF432" s="402" t="n"/>
      <c r="BG432" s="402" t="n"/>
      <c r="BH432" s="402" t="n"/>
      <c r="BI432" s="402" t="n"/>
      <c r="BJ432" s="402" t="n"/>
      <c r="BK432" s="402" t="n"/>
      <c r="BL432" s="402" t="n"/>
      <c r="BM432" s="402" t="n"/>
      <c r="BN432" s="402" t="n"/>
      <c r="BO432" s="402" t="n"/>
      <c r="BP432" s="402" t="n"/>
      <c r="BQ432" s="402" t="n"/>
      <c r="BR432" s="402" t="n"/>
      <c r="BS432" s="402" t="n"/>
      <c r="BT432" s="402" t="n"/>
      <c r="BU432" s="402" t="n"/>
      <c r="BV432" s="402" t="n"/>
      <c r="BW432" s="402" t="n"/>
      <c r="BX432" s="402" t="n"/>
      <c r="BY432" s="402" t="n"/>
      <c r="BZ432" s="402" t="n"/>
      <c r="CA432" s="402" t="n"/>
      <c r="CB432" s="402" t="n"/>
      <c r="CC432" s="402" t="n"/>
      <c r="CD432" s="402" t="n"/>
      <c r="CE432" s="402" t="n"/>
      <c r="CF432" s="402" t="n"/>
      <c r="CG432" s="402" t="n"/>
      <c r="CH432" s="402" t="n"/>
      <c r="CI432" s="402" t="n"/>
      <c r="CJ432" s="402" t="n"/>
      <c r="CK432" s="402" t="n"/>
      <c r="CL432" s="402" t="n"/>
      <c r="CM432" s="402" t="n"/>
      <c r="CN432" s="402" t="n"/>
      <c r="CO432" s="402" t="n"/>
      <c r="CP432" s="402" t="n"/>
      <c r="CQ432" s="402" t="n"/>
      <c r="CR432" s="402" t="n"/>
      <c r="CS432" s="402" t="n"/>
      <c r="CT432" s="402" t="n"/>
      <c r="CU432" s="402" t="n"/>
      <c r="CV432" s="402" t="n"/>
      <c r="CW432" s="402" t="n"/>
      <c r="CX432" s="402" t="n"/>
      <c r="CY432" s="402" t="n"/>
      <c r="CZ432" s="402" t="n"/>
      <c r="DA432" s="402" t="n"/>
      <c r="DB432" s="402" t="n"/>
      <c r="DC432" s="402" t="n"/>
      <c r="DD432" s="402" t="n"/>
      <c r="DE432" s="402" t="n"/>
      <c r="DF432" s="402" t="n"/>
      <c r="DG432" s="403" t="n"/>
      <c r="DH432" s="403" t="n"/>
      <c r="DI432" s="403" t="n"/>
      <c r="DJ432" s="403" t="n"/>
      <c r="DK432" s="403" t="n"/>
      <c r="DL432" s="403" t="n"/>
      <c r="DM432" s="403" t="n"/>
      <c r="DN432" s="403" t="n"/>
      <c r="DO432" s="403" t="n"/>
      <c r="DP432" s="403" t="n"/>
      <c r="DQ432" s="403" t="n"/>
      <c r="DR432" s="403" t="n"/>
      <c r="DS432" s="403" t="n"/>
      <c r="DT432" s="403" t="n"/>
      <c r="DU432" s="403" t="n"/>
      <c r="DV432" s="403" t="n"/>
      <c r="DW432" s="403" t="n"/>
      <c r="DX432" s="403" t="n"/>
      <c r="DY432" s="403" t="n"/>
      <c r="DZ432" s="403" t="n"/>
      <c r="EA432" s="403" t="n"/>
      <c r="EB432" s="403" t="n"/>
      <c r="EC432" s="403" t="n"/>
      <c r="ED432" s="403" t="n"/>
      <c r="EE432" s="403" t="n"/>
      <c r="EF432" s="403" t="n"/>
      <c r="EG432" s="403" t="n"/>
      <c r="EH432" s="403" t="n"/>
      <c r="EI432" s="403" t="n"/>
      <c r="EJ432" s="403" t="n"/>
      <c r="EK432" s="403" t="n"/>
      <c r="EL432" s="403" t="n"/>
      <c r="EM432" s="403" t="n"/>
      <c r="EN432" s="403" t="n"/>
      <c r="EO432" s="403" t="n"/>
      <c r="EP432" s="403" t="n"/>
      <c r="EQ432" s="403" t="n"/>
      <c r="ER432" s="403" t="n"/>
      <c r="ES432" s="403" t="n"/>
      <c r="ET432" s="403" t="n"/>
      <c r="EU432" s="403" t="n"/>
      <c r="EV432" s="403" t="n"/>
      <c r="EW432" s="403" t="n"/>
      <c r="EX432" s="403" t="n"/>
      <c r="EY432" s="403" t="n"/>
      <c r="EZ432" s="403" t="n"/>
      <c r="FA432" s="403" t="n"/>
      <c r="FB432" s="403" t="n"/>
      <c r="FC432" s="403" t="n"/>
      <c r="FD432" s="403" t="n"/>
      <c r="FE432" s="403" t="n"/>
      <c r="FF432" s="403" t="n"/>
      <c r="FG432" s="403" t="n"/>
      <c r="FH432" s="403" t="n"/>
      <c r="FI432" s="403" t="n"/>
      <c r="FJ432" s="403" t="n"/>
      <c r="FK432" s="403" t="n"/>
      <c r="FL432" s="403" t="n"/>
      <c r="FM432" s="403" t="n"/>
      <c r="FN432" s="403" t="n"/>
      <c r="FO432" s="403" t="n"/>
      <c r="FP432" s="403" t="n"/>
      <c r="FQ432" s="403" t="n"/>
      <c r="FR432" s="403" t="n"/>
      <c r="FS432" s="403" t="n"/>
      <c r="FT432" s="403" t="n"/>
      <c r="FU432" s="403" t="n"/>
      <c r="FV432" s="403" t="n"/>
      <c r="FW432" s="403" t="n"/>
      <c r="FX432" s="403" t="n"/>
      <c r="FY432" s="403" t="n"/>
      <c r="FZ432" s="403" t="n"/>
      <c r="GA432" s="403" t="n"/>
      <c r="GB432" s="403" t="n"/>
      <c r="GC432" s="403" t="n"/>
      <c r="GD432" s="403" t="n"/>
      <c r="GE432" s="403" t="n"/>
      <c r="GF432" s="403" t="n"/>
      <c r="GG432" s="403" t="n"/>
      <c r="GH432" s="403" t="n"/>
      <c r="GI432" s="403" t="n"/>
      <c r="GJ432" s="403" t="n"/>
      <c r="GK432" s="403" t="n"/>
      <c r="GL432" s="403" t="n"/>
      <c r="GM432" s="403" t="n"/>
      <c r="GN432" s="403" t="n"/>
      <c r="GO432" s="403" t="n"/>
      <c r="GP432" s="403" t="n"/>
      <c r="GQ432" s="403" t="n"/>
      <c r="GR432" s="403" t="n"/>
      <c r="GS432" s="403" t="n"/>
      <c r="GT432" s="403" t="n"/>
      <c r="GU432" s="403" t="n"/>
      <c r="GV432" s="403" t="n"/>
      <c r="GW432" s="403" t="n"/>
      <c r="GX432" s="403" t="n">
        <v>0</v>
      </c>
    </row>
    <row r="433"/>
    <row r="434">
      <c r="A434" s="404" t="n">
        <v>50</v>
      </c>
      <c r="B434" s="404" t="n">
        <v>0</v>
      </c>
      <c r="C434" s="404" t="n">
        <v>0</v>
      </c>
      <c r="D434" s="404" t="n">
        <v>1</v>
      </c>
      <c r="E434" s="404" t="n">
        <v>201</v>
      </c>
      <c r="F434" s="404">
        <f>ROUND(Source!O432,O434)</f>
        <v/>
      </c>
      <c r="G434" s="404" t="inlineStr">
        <is>
          <t>ПЗ</t>
        </is>
      </c>
      <c r="H434" s="404" t="inlineStr">
        <is>
          <t>Прямые затраты</t>
        </is>
      </c>
      <c r="I434" s="404" t="n"/>
      <c r="J434" s="404" t="n"/>
      <c r="K434" s="404" t="n">
        <v>201</v>
      </c>
      <c r="L434" s="404" t="n">
        <v>1</v>
      </c>
      <c r="M434" s="404" t="n">
        <v>3</v>
      </c>
      <c r="N434" s="404" t="inlineStr"/>
      <c r="O434" s="404" t="n">
        <v>0</v>
      </c>
      <c r="P434" s="404" t="n"/>
      <c r="Q434" s="404" t="n"/>
      <c r="R434" s="404" t="n"/>
      <c r="S434" s="404" t="n"/>
      <c r="T434" s="404" t="n"/>
      <c r="U434" s="404" t="n"/>
      <c r="V434" s="404" t="n"/>
      <c r="W434" s="404" t="n">
        <v>0</v>
      </c>
      <c r="X434" s="404" t="n">
        <v>1</v>
      </c>
      <c r="Y434" s="404" t="n">
        <v>0</v>
      </c>
      <c r="Z434" s="404" t="n"/>
      <c r="AA434" s="404" t="n"/>
      <c r="AB434" s="404" t="n"/>
    </row>
    <row r="435">
      <c r="A435" s="404" t="n">
        <v>50</v>
      </c>
      <c r="B435" s="404" t="n">
        <v>0</v>
      </c>
      <c r="C435" s="404" t="n">
        <v>0</v>
      </c>
      <c r="D435" s="404" t="n">
        <v>1</v>
      </c>
      <c r="E435" s="404" t="n">
        <v>202</v>
      </c>
      <c r="F435" s="404">
        <f>ROUND(Source!P432,O435)</f>
        <v/>
      </c>
      <c r="G435" s="404" t="inlineStr">
        <is>
          <t>СтМатОб</t>
        </is>
      </c>
      <c r="H435" s="404" t="inlineStr">
        <is>
          <t>Стоимость материальных ресурсов (всего)</t>
        </is>
      </c>
      <c r="I435" s="404" t="n"/>
      <c r="J435" s="404" t="n"/>
      <c r="K435" s="404" t="n">
        <v>202</v>
      </c>
      <c r="L435" s="404" t="n">
        <v>2</v>
      </c>
      <c r="M435" s="404" t="n">
        <v>3</v>
      </c>
      <c r="N435" s="404" t="inlineStr"/>
      <c r="O435" s="404" t="n">
        <v>0</v>
      </c>
      <c r="P435" s="404" t="n"/>
      <c r="Q435" s="404" t="n"/>
      <c r="R435" s="404" t="n"/>
      <c r="S435" s="404" t="n"/>
      <c r="T435" s="404" t="n"/>
      <c r="U435" s="404" t="n"/>
      <c r="V435" s="404" t="n"/>
      <c r="W435" s="404" t="n">
        <v>0</v>
      </c>
      <c r="X435" s="404" t="n">
        <v>1</v>
      </c>
      <c r="Y435" s="404" t="n">
        <v>0</v>
      </c>
      <c r="Z435" s="404" t="n"/>
      <c r="AA435" s="404" t="n"/>
      <c r="AB435" s="404" t="n"/>
    </row>
    <row r="436">
      <c r="A436" s="404" t="n">
        <v>50</v>
      </c>
      <c r="B436" s="404" t="n">
        <v>0</v>
      </c>
      <c r="C436" s="404" t="n">
        <v>0</v>
      </c>
      <c r="D436" s="404" t="n">
        <v>1</v>
      </c>
      <c r="E436" s="404" t="n">
        <v>222</v>
      </c>
      <c r="F436" s="404">
        <f>ROUND(Source!AO432,O436)</f>
        <v/>
      </c>
      <c r="G436" s="404" t="inlineStr">
        <is>
          <t>СтМатОбЗак</t>
        </is>
      </c>
      <c r="H436" s="404" t="inlineStr">
        <is>
          <t>Стоимость материалов и оборудования заказчика</t>
        </is>
      </c>
      <c r="I436" s="404" t="n"/>
      <c r="J436" s="404" t="n"/>
      <c r="K436" s="404" t="n">
        <v>222</v>
      </c>
      <c r="L436" s="404" t="n">
        <v>3</v>
      </c>
      <c r="M436" s="404" t="n">
        <v>3</v>
      </c>
      <c r="N436" s="404" t="inlineStr"/>
      <c r="O436" s="404" t="n">
        <v>0</v>
      </c>
      <c r="P436" s="404" t="n"/>
      <c r="Q436" s="404" t="n"/>
      <c r="R436" s="404" t="n"/>
      <c r="S436" s="404" t="n"/>
      <c r="T436" s="404" t="n"/>
      <c r="U436" s="404" t="n"/>
      <c r="V436" s="404" t="n"/>
      <c r="W436" s="404" t="n">
        <v>0</v>
      </c>
      <c r="X436" s="404" t="n">
        <v>1</v>
      </c>
      <c r="Y436" s="404" t="n">
        <v>0</v>
      </c>
      <c r="Z436" s="404" t="n"/>
      <c r="AA436" s="404" t="n"/>
      <c r="AB436" s="404" t="n"/>
    </row>
    <row r="437">
      <c r="A437" s="404" t="n">
        <v>50</v>
      </c>
      <c r="B437" s="404" t="n">
        <v>0</v>
      </c>
      <c r="C437" s="404" t="n">
        <v>0</v>
      </c>
      <c r="D437" s="404" t="n">
        <v>1</v>
      </c>
      <c r="E437" s="404" t="n">
        <v>225</v>
      </c>
      <c r="F437" s="404">
        <f>ROUND(Source!AV432,O437)</f>
        <v/>
      </c>
      <c r="G437" s="404" t="inlineStr">
        <is>
          <t>СтМатОбПод</t>
        </is>
      </c>
      <c r="H437" s="404" t="inlineStr">
        <is>
          <t>Стоимость материалов и оборудования подрядчика</t>
        </is>
      </c>
      <c r="I437" s="404" t="n"/>
      <c r="J437" s="404" t="n"/>
      <c r="K437" s="404" t="n">
        <v>225</v>
      </c>
      <c r="L437" s="404" t="n">
        <v>4</v>
      </c>
      <c r="M437" s="404" t="n">
        <v>3</v>
      </c>
      <c r="N437" s="404" t="inlineStr"/>
      <c r="O437" s="404" t="n">
        <v>0</v>
      </c>
      <c r="P437" s="404" t="n"/>
      <c r="Q437" s="404" t="n"/>
      <c r="R437" s="404" t="n"/>
      <c r="S437" s="404" t="n"/>
      <c r="T437" s="404" t="n"/>
      <c r="U437" s="404" t="n"/>
      <c r="V437" s="404" t="n"/>
      <c r="W437" s="404" t="n">
        <v>0</v>
      </c>
      <c r="X437" s="404" t="n">
        <v>1</v>
      </c>
      <c r="Y437" s="404" t="n">
        <v>0</v>
      </c>
      <c r="Z437" s="404" t="n"/>
      <c r="AA437" s="404" t="n"/>
      <c r="AB437" s="404" t="n"/>
    </row>
    <row r="438">
      <c r="A438" s="404" t="n">
        <v>50</v>
      </c>
      <c r="B438" s="404" t="n">
        <v>0</v>
      </c>
      <c r="C438" s="404" t="n">
        <v>0</v>
      </c>
      <c r="D438" s="404" t="n">
        <v>1</v>
      </c>
      <c r="E438" s="404" t="n">
        <v>226</v>
      </c>
      <c r="F438" s="404">
        <f>ROUND(Source!AW432,O438)</f>
        <v/>
      </c>
      <c r="G438" s="404" t="inlineStr">
        <is>
          <t>СтМат</t>
        </is>
      </c>
      <c r="H438" s="404" t="inlineStr">
        <is>
          <t>Стоимость материалов (всего)</t>
        </is>
      </c>
      <c r="I438" s="404" t="n"/>
      <c r="J438" s="404" t="n"/>
      <c r="K438" s="404" t="n">
        <v>226</v>
      </c>
      <c r="L438" s="404" t="n">
        <v>5</v>
      </c>
      <c r="M438" s="404" t="n">
        <v>3</v>
      </c>
      <c r="N438" s="404" t="inlineStr"/>
      <c r="O438" s="404" t="n">
        <v>0</v>
      </c>
      <c r="P438" s="404" t="n"/>
      <c r="Q438" s="404" t="n"/>
      <c r="R438" s="404" t="n"/>
      <c r="S438" s="404" t="n"/>
      <c r="T438" s="404" t="n"/>
      <c r="U438" s="404" t="n"/>
      <c r="V438" s="404" t="n"/>
      <c r="W438" s="404" t="n">
        <v>0</v>
      </c>
      <c r="X438" s="404" t="n">
        <v>1</v>
      </c>
      <c r="Y438" s="404" t="n">
        <v>0</v>
      </c>
      <c r="Z438" s="404" t="n"/>
      <c r="AA438" s="404" t="n"/>
      <c r="AB438" s="404" t="n"/>
    </row>
    <row r="439">
      <c r="A439" s="404" t="n">
        <v>50</v>
      </c>
      <c r="B439" s="404" t="n">
        <v>0</v>
      </c>
      <c r="C439" s="404" t="n">
        <v>0</v>
      </c>
      <c r="D439" s="404" t="n">
        <v>1</v>
      </c>
      <c r="E439" s="404" t="n">
        <v>227</v>
      </c>
      <c r="F439" s="404">
        <f>ROUND(Source!AX432,O439)</f>
        <v/>
      </c>
      <c r="G439" s="404" t="inlineStr">
        <is>
          <t>СтМатЗак</t>
        </is>
      </c>
      <c r="H439" s="404" t="inlineStr">
        <is>
          <t>Стоимость материалов заказчика</t>
        </is>
      </c>
      <c r="I439" s="404" t="n"/>
      <c r="J439" s="404" t="n"/>
      <c r="K439" s="404" t="n">
        <v>227</v>
      </c>
      <c r="L439" s="404" t="n">
        <v>6</v>
      </c>
      <c r="M439" s="404" t="n">
        <v>3</v>
      </c>
      <c r="N439" s="404" t="inlineStr"/>
      <c r="O439" s="404" t="n">
        <v>0</v>
      </c>
      <c r="P439" s="404" t="n"/>
      <c r="Q439" s="404" t="n"/>
      <c r="R439" s="404" t="n"/>
      <c r="S439" s="404" t="n"/>
      <c r="T439" s="404" t="n"/>
      <c r="U439" s="404" t="n"/>
      <c r="V439" s="404" t="n"/>
      <c r="W439" s="404" t="n">
        <v>0</v>
      </c>
      <c r="X439" s="404" t="n">
        <v>1</v>
      </c>
      <c r="Y439" s="404" t="n">
        <v>0</v>
      </c>
      <c r="Z439" s="404" t="n"/>
      <c r="AA439" s="404" t="n"/>
      <c r="AB439" s="404" t="n"/>
    </row>
    <row r="440">
      <c r="A440" s="404" t="n">
        <v>50</v>
      </c>
      <c r="B440" s="404" t="n">
        <v>0</v>
      </c>
      <c r="C440" s="404" t="n">
        <v>0</v>
      </c>
      <c r="D440" s="404" t="n">
        <v>1</v>
      </c>
      <c r="E440" s="404" t="n">
        <v>228</v>
      </c>
      <c r="F440" s="404">
        <f>ROUND(Source!AY432,O440)</f>
        <v/>
      </c>
      <c r="G440" s="404" t="inlineStr">
        <is>
          <t>СтМатПод</t>
        </is>
      </c>
      <c r="H440" s="404" t="inlineStr">
        <is>
          <t>Стоимость материалов подрядчика</t>
        </is>
      </c>
      <c r="I440" s="404" t="n"/>
      <c r="J440" s="404" t="n"/>
      <c r="K440" s="404" t="n">
        <v>228</v>
      </c>
      <c r="L440" s="404" t="n">
        <v>7</v>
      </c>
      <c r="M440" s="404" t="n">
        <v>3</v>
      </c>
      <c r="N440" s="404" t="inlineStr"/>
      <c r="O440" s="404" t="n">
        <v>0</v>
      </c>
      <c r="P440" s="404" t="n"/>
      <c r="Q440" s="404" t="n"/>
      <c r="R440" s="404" t="n"/>
      <c r="S440" s="404" t="n"/>
      <c r="T440" s="404" t="n"/>
      <c r="U440" s="404" t="n"/>
      <c r="V440" s="404" t="n"/>
      <c r="W440" s="404" t="n">
        <v>0</v>
      </c>
      <c r="X440" s="404" t="n">
        <v>1</v>
      </c>
      <c r="Y440" s="404" t="n">
        <v>0</v>
      </c>
      <c r="Z440" s="404" t="n"/>
      <c r="AA440" s="404" t="n"/>
      <c r="AB440" s="404" t="n"/>
    </row>
    <row r="441">
      <c r="A441" s="404" t="n">
        <v>50</v>
      </c>
      <c r="B441" s="404" t="n">
        <v>0</v>
      </c>
      <c r="C441" s="404" t="n">
        <v>0</v>
      </c>
      <c r="D441" s="404" t="n">
        <v>1</v>
      </c>
      <c r="E441" s="404" t="n">
        <v>216</v>
      </c>
      <c r="F441" s="404">
        <f>ROUND(Source!AP432,O441)</f>
        <v/>
      </c>
      <c r="G441" s="404" t="inlineStr">
        <is>
          <t>Оборуд</t>
        </is>
      </c>
      <c r="H441" s="404" t="inlineStr">
        <is>
          <t>Стоимость оборудования (всего)</t>
        </is>
      </c>
      <c r="I441" s="404" t="n"/>
      <c r="J441" s="404" t="n"/>
      <c r="K441" s="404" t="n">
        <v>216</v>
      </c>
      <c r="L441" s="404" t="n">
        <v>8</v>
      </c>
      <c r="M441" s="404" t="n">
        <v>3</v>
      </c>
      <c r="N441" s="404" t="inlineStr"/>
      <c r="O441" s="404" t="n">
        <v>0</v>
      </c>
      <c r="P441" s="404" t="n"/>
      <c r="Q441" s="404" t="n"/>
      <c r="R441" s="404" t="n"/>
      <c r="S441" s="404" t="n"/>
      <c r="T441" s="404" t="n"/>
      <c r="U441" s="404" t="n"/>
      <c r="V441" s="404" t="n"/>
      <c r="W441" s="404" t="n">
        <v>0</v>
      </c>
      <c r="X441" s="404" t="n">
        <v>1</v>
      </c>
      <c r="Y441" s="404" t="n">
        <v>0</v>
      </c>
      <c r="Z441" s="404" t="n"/>
      <c r="AA441" s="404" t="n"/>
      <c r="AB441" s="404" t="n"/>
    </row>
    <row r="442">
      <c r="A442" s="404" t="n">
        <v>50</v>
      </c>
      <c r="B442" s="404" t="n">
        <v>0</v>
      </c>
      <c r="C442" s="404" t="n">
        <v>0</v>
      </c>
      <c r="D442" s="404" t="n">
        <v>1</v>
      </c>
      <c r="E442" s="404" t="n">
        <v>223</v>
      </c>
      <c r="F442" s="404">
        <f>ROUND(Source!AQ432,O442)</f>
        <v/>
      </c>
      <c r="G442" s="404" t="inlineStr">
        <is>
          <t>ОборудЗак</t>
        </is>
      </c>
      <c r="H442" s="404" t="inlineStr">
        <is>
          <t>Стоимость оборудования заказчика</t>
        </is>
      </c>
      <c r="I442" s="404" t="n"/>
      <c r="J442" s="404" t="n"/>
      <c r="K442" s="404" t="n">
        <v>223</v>
      </c>
      <c r="L442" s="404" t="n">
        <v>9</v>
      </c>
      <c r="M442" s="404" t="n">
        <v>3</v>
      </c>
      <c r="N442" s="404" t="inlineStr"/>
      <c r="O442" s="404" t="n">
        <v>0</v>
      </c>
      <c r="P442" s="404" t="n"/>
      <c r="Q442" s="404" t="n"/>
      <c r="R442" s="404" t="n"/>
      <c r="S442" s="404" t="n"/>
      <c r="T442" s="404" t="n"/>
      <c r="U442" s="404" t="n"/>
      <c r="V442" s="404" t="n"/>
      <c r="W442" s="404" t="n">
        <v>0</v>
      </c>
      <c r="X442" s="404" t="n">
        <v>1</v>
      </c>
      <c r="Y442" s="404" t="n">
        <v>0</v>
      </c>
      <c r="Z442" s="404" t="n"/>
      <c r="AA442" s="404" t="n"/>
      <c r="AB442" s="404" t="n"/>
    </row>
    <row r="443">
      <c r="A443" s="404" t="n">
        <v>50</v>
      </c>
      <c r="B443" s="404" t="n">
        <v>0</v>
      </c>
      <c r="C443" s="404" t="n">
        <v>0</v>
      </c>
      <c r="D443" s="404" t="n">
        <v>1</v>
      </c>
      <c r="E443" s="404" t="n">
        <v>229</v>
      </c>
      <c r="F443" s="404">
        <f>ROUND(Source!AZ432,O443)</f>
        <v/>
      </c>
      <c r="G443" s="404" t="inlineStr">
        <is>
          <t>ОборудПод</t>
        </is>
      </c>
      <c r="H443" s="404" t="inlineStr">
        <is>
          <t>Стоимость оборудования подрядчика</t>
        </is>
      </c>
      <c r="I443" s="404" t="n"/>
      <c r="J443" s="404" t="n"/>
      <c r="K443" s="404" t="n">
        <v>229</v>
      </c>
      <c r="L443" s="404" t="n">
        <v>10</v>
      </c>
      <c r="M443" s="404" t="n">
        <v>3</v>
      </c>
      <c r="N443" s="404" t="inlineStr"/>
      <c r="O443" s="404" t="n">
        <v>0</v>
      </c>
      <c r="P443" s="404" t="n"/>
      <c r="Q443" s="404" t="n"/>
      <c r="R443" s="404" t="n"/>
      <c r="S443" s="404" t="n"/>
      <c r="T443" s="404" t="n"/>
      <c r="U443" s="404" t="n"/>
      <c r="V443" s="404" t="n"/>
      <c r="W443" s="404" t="n">
        <v>0</v>
      </c>
      <c r="X443" s="404" t="n">
        <v>1</v>
      </c>
      <c r="Y443" s="404" t="n">
        <v>0</v>
      </c>
      <c r="Z443" s="404" t="n"/>
      <c r="AA443" s="404" t="n"/>
      <c r="AB443" s="404" t="n"/>
    </row>
    <row r="444">
      <c r="A444" s="404" t="n">
        <v>50</v>
      </c>
      <c r="B444" s="404" t="n">
        <v>0</v>
      </c>
      <c r="C444" s="404" t="n">
        <v>0</v>
      </c>
      <c r="D444" s="404" t="n">
        <v>1</v>
      </c>
      <c r="E444" s="404" t="n">
        <v>203</v>
      </c>
      <c r="F444" s="404">
        <f>ROUND(Source!Q432,O444)</f>
        <v/>
      </c>
      <c r="G444" s="404" t="inlineStr">
        <is>
          <t>ЭММ</t>
        </is>
      </c>
      <c r="H444" s="404" t="inlineStr">
        <is>
          <t>Эксплуатация машин</t>
        </is>
      </c>
      <c r="I444" s="404" t="n"/>
      <c r="J444" s="404" t="n"/>
      <c r="K444" s="404" t="n">
        <v>203</v>
      </c>
      <c r="L444" s="404" t="n">
        <v>11</v>
      </c>
      <c r="M444" s="404" t="n">
        <v>3</v>
      </c>
      <c r="N444" s="404" t="inlineStr"/>
      <c r="O444" s="404" t="n">
        <v>0</v>
      </c>
      <c r="P444" s="404" t="n"/>
      <c r="Q444" s="404" t="n"/>
      <c r="R444" s="404" t="n"/>
      <c r="S444" s="404" t="n"/>
      <c r="T444" s="404" t="n"/>
      <c r="U444" s="404" t="n"/>
      <c r="V444" s="404" t="n"/>
      <c r="W444" s="404" t="n">
        <v>0</v>
      </c>
      <c r="X444" s="404" t="n">
        <v>1</v>
      </c>
      <c r="Y444" s="404" t="n">
        <v>0</v>
      </c>
      <c r="Z444" s="404" t="n"/>
      <c r="AA444" s="404" t="n"/>
      <c r="AB444" s="404" t="n"/>
    </row>
    <row r="445">
      <c r="A445" s="404" t="n">
        <v>50</v>
      </c>
      <c r="B445" s="404" t="n">
        <v>0</v>
      </c>
      <c r="C445" s="404" t="n">
        <v>0</v>
      </c>
      <c r="D445" s="404" t="n">
        <v>1</v>
      </c>
      <c r="E445" s="404" t="n">
        <v>231</v>
      </c>
      <c r="F445" s="404">
        <f>ROUND(Source!BB432,O445)</f>
        <v/>
      </c>
      <c r="G445" s="404" t="inlineStr">
        <is>
          <t>ЭММсНРиСП</t>
        </is>
      </c>
      <c r="H445" s="404" t="inlineStr">
        <is>
          <t>Эксплуатация машин по ТСН-2001.16</t>
        </is>
      </c>
      <c r="I445" s="404" t="n"/>
      <c r="J445" s="404" t="n"/>
      <c r="K445" s="404" t="n">
        <v>231</v>
      </c>
      <c r="L445" s="404" t="n">
        <v>12</v>
      </c>
      <c r="M445" s="404" t="n">
        <v>3</v>
      </c>
      <c r="N445" s="404" t="inlineStr"/>
      <c r="O445" s="404" t="n">
        <v>0</v>
      </c>
      <c r="P445" s="404" t="n"/>
      <c r="Q445" s="404" t="n"/>
      <c r="R445" s="404" t="n"/>
      <c r="S445" s="404" t="n"/>
      <c r="T445" s="404" t="n"/>
      <c r="U445" s="404" t="n"/>
      <c r="V445" s="404" t="n"/>
      <c r="W445" s="404" t="n">
        <v>0</v>
      </c>
      <c r="X445" s="404" t="n">
        <v>1</v>
      </c>
      <c r="Y445" s="404" t="n">
        <v>0</v>
      </c>
      <c r="Z445" s="404" t="n"/>
      <c r="AA445" s="404" t="n"/>
      <c r="AB445" s="404" t="n"/>
    </row>
    <row r="446">
      <c r="A446" s="404" t="n">
        <v>50</v>
      </c>
      <c r="B446" s="404" t="n">
        <v>0</v>
      </c>
      <c r="C446" s="404" t="n">
        <v>0</v>
      </c>
      <c r="D446" s="404" t="n">
        <v>1</v>
      </c>
      <c r="E446" s="404" t="n">
        <v>204</v>
      </c>
      <c r="F446" s="404">
        <f>ROUND(Source!R432,O446)</f>
        <v/>
      </c>
      <c r="G446" s="404" t="inlineStr">
        <is>
          <t>ЗПМ</t>
        </is>
      </c>
      <c r="H446" s="404" t="inlineStr">
        <is>
          <t>ЗП машинистов</t>
        </is>
      </c>
      <c r="I446" s="404" t="n"/>
      <c r="J446" s="404" t="n"/>
      <c r="K446" s="404" t="n">
        <v>204</v>
      </c>
      <c r="L446" s="404" t="n">
        <v>13</v>
      </c>
      <c r="M446" s="404" t="n">
        <v>3</v>
      </c>
      <c r="N446" s="404" t="inlineStr"/>
      <c r="O446" s="404" t="n">
        <v>0</v>
      </c>
      <c r="P446" s="404" t="n"/>
      <c r="Q446" s="404" t="n"/>
      <c r="R446" s="404" t="n"/>
      <c r="S446" s="404" t="n"/>
      <c r="T446" s="404" t="n"/>
      <c r="U446" s="404" t="n"/>
      <c r="V446" s="404" t="n"/>
      <c r="W446" s="404" t="n">
        <v>0</v>
      </c>
      <c r="X446" s="404" t="n">
        <v>1</v>
      </c>
      <c r="Y446" s="404" t="n">
        <v>0</v>
      </c>
      <c r="Z446" s="404" t="n"/>
      <c r="AA446" s="404" t="n"/>
      <c r="AB446" s="404" t="n"/>
    </row>
    <row r="447">
      <c r="A447" s="404" t="n">
        <v>50</v>
      </c>
      <c r="B447" s="404" t="n">
        <v>0</v>
      </c>
      <c r="C447" s="404" t="n">
        <v>0</v>
      </c>
      <c r="D447" s="404" t="n">
        <v>1</v>
      </c>
      <c r="E447" s="404" t="n">
        <v>205</v>
      </c>
      <c r="F447" s="404">
        <f>ROUND(Source!S432,O447)</f>
        <v/>
      </c>
      <c r="G447" s="404" t="inlineStr">
        <is>
          <t>ОЗП</t>
        </is>
      </c>
      <c r="H447" s="404" t="inlineStr">
        <is>
          <t>Основная ЗП рабочих</t>
        </is>
      </c>
      <c r="I447" s="404" t="n"/>
      <c r="J447" s="404" t="n"/>
      <c r="K447" s="404" t="n">
        <v>205</v>
      </c>
      <c r="L447" s="404" t="n">
        <v>14</v>
      </c>
      <c r="M447" s="404" t="n">
        <v>3</v>
      </c>
      <c r="N447" s="404" t="inlineStr"/>
      <c r="O447" s="404" t="n">
        <v>0</v>
      </c>
      <c r="P447" s="404" t="n"/>
      <c r="Q447" s="404" t="n"/>
      <c r="R447" s="404" t="n"/>
      <c r="S447" s="404" t="n"/>
      <c r="T447" s="404" t="n"/>
      <c r="U447" s="404" t="n"/>
      <c r="V447" s="404" t="n"/>
      <c r="W447" s="404" t="n">
        <v>0</v>
      </c>
      <c r="X447" s="404" t="n">
        <v>1</v>
      </c>
      <c r="Y447" s="404" t="n">
        <v>0</v>
      </c>
      <c r="Z447" s="404" t="n"/>
      <c r="AA447" s="404" t="n"/>
      <c r="AB447" s="404" t="n"/>
    </row>
    <row r="448">
      <c r="A448" s="404" t="n">
        <v>50</v>
      </c>
      <c r="B448" s="404" t="n">
        <v>0</v>
      </c>
      <c r="C448" s="404" t="n">
        <v>0</v>
      </c>
      <c r="D448" s="404" t="n">
        <v>1</v>
      </c>
      <c r="E448" s="404" t="n">
        <v>232</v>
      </c>
      <c r="F448" s="404">
        <f>ROUND(Source!BC432,O448)</f>
        <v/>
      </c>
      <c r="G448" s="404" t="inlineStr">
        <is>
          <t>ОЗПсНРиСП</t>
        </is>
      </c>
      <c r="H448" s="404" t="inlineStr">
        <is>
          <t>Основная ЗП рабочих по ТСН-2001.16</t>
        </is>
      </c>
      <c r="I448" s="404" t="n"/>
      <c r="J448" s="404" t="n"/>
      <c r="K448" s="404" t="n">
        <v>232</v>
      </c>
      <c r="L448" s="404" t="n">
        <v>15</v>
      </c>
      <c r="M448" s="404" t="n">
        <v>3</v>
      </c>
      <c r="N448" s="404" t="inlineStr"/>
      <c r="O448" s="404" t="n">
        <v>0</v>
      </c>
      <c r="P448" s="404" t="n"/>
      <c r="Q448" s="404" t="n"/>
      <c r="R448" s="404" t="n"/>
      <c r="S448" s="404" t="n"/>
      <c r="T448" s="404" t="n"/>
      <c r="U448" s="404" t="n"/>
      <c r="V448" s="404" t="n"/>
      <c r="W448" s="404" t="n">
        <v>0</v>
      </c>
      <c r="X448" s="404" t="n">
        <v>1</v>
      </c>
      <c r="Y448" s="404" t="n">
        <v>0</v>
      </c>
      <c r="Z448" s="404" t="n"/>
      <c r="AA448" s="404" t="n"/>
      <c r="AB448" s="404" t="n"/>
    </row>
    <row r="449">
      <c r="A449" s="404" t="n">
        <v>50</v>
      </c>
      <c r="B449" s="404" t="n">
        <v>0</v>
      </c>
      <c r="C449" s="404" t="n">
        <v>0</v>
      </c>
      <c r="D449" s="404" t="n">
        <v>1</v>
      </c>
      <c r="E449" s="404" t="n">
        <v>214</v>
      </c>
      <c r="F449" s="404">
        <f>ROUND(Source!AS432,O449)</f>
        <v/>
      </c>
      <c r="G449" s="404" t="inlineStr">
        <is>
          <t>Строит</t>
        </is>
      </c>
      <c r="H449" s="404" t="inlineStr">
        <is>
          <t>Строительные работы с НР и СП</t>
        </is>
      </c>
      <c r="I449" s="404" t="n"/>
      <c r="J449" s="404" t="n"/>
      <c r="K449" s="404" t="n">
        <v>214</v>
      </c>
      <c r="L449" s="404" t="n">
        <v>16</v>
      </c>
      <c r="M449" s="404" t="n">
        <v>3</v>
      </c>
      <c r="N449" s="404" t="inlineStr"/>
      <c r="O449" s="404" t="n">
        <v>0</v>
      </c>
      <c r="P449" s="404" t="n"/>
      <c r="Q449" s="404" t="n"/>
      <c r="R449" s="404" t="n"/>
      <c r="S449" s="404" t="n"/>
      <c r="T449" s="404" t="n"/>
      <c r="U449" s="404" t="n"/>
      <c r="V449" s="404" t="n"/>
      <c r="W449" s="404" t="n">
        <v>0</v>
      </c>
      <c r="X449" s="404" t="n">
        <v>1</v>
      </c>
      <c r="Y449" s="404" t="n">
        <v>0</v>
      </c>
      <c r="Z449" s="404" t="n"/>
      <c r="AA449" s="404" t="n"/>
      <c r="AB449" s="404" t="n"/>
    </row>
    <row r="450">
      <c r="A450" s="404" t="n">
        <v>50</v>
      </c>
      <c r="B450" s="404" t="n">
        <v>0</v>
      </c>
      <c r="C450" s="404" t="n">
        <v>0</v>
      </c>
      <c r="D450" s="404" t="n">
        <v>1</v>
      </c>
      <c r="E450" s="404" t="n">
        <v>215</v>
      </c>
      <c r="F450" s="404">
        <f>ROUND(Source!AT432,O450)</f>
        <v/>
      </c>
      <c r="G450" s="404" t="inlineStr">
        <is>
          <t>Монтаж</t>
        </is>
      </c>
      <c r="H450" s="404" t="inlineStr">
        <is>
          <t>Монтажные работы с НР и СП</t>
        </is>
      </c>
      <c r="I450" s="404" t="n"/>
      <c r="J450" s="404" t="n"/>
      <c r="K450" s="404" t="n">
        <v>215</v>
      </c>
      <c r="L450" s="404" t="n">
        <v>17</v>
      </c>
      <c r="M450" s="404" t="n">
        <v>3</v>
      </c>
      <c r="N450" s="404" t="inlineStr"/>
      <c r="O450" s="404" t="n">
        <v>0</v>
      </c>
      <c r="P450" s="404" t="n"/>
      <c r="Q450" s="404" t="n"/>
      <c r="R450" s="404" t="n"/>
      <c r="S450" s="404" t="n"/>
      <c r="T450" s="404" t="n"/>
      <c r="U450" s="404" t="n"/>
      <c r="V450" s="404" t="n"/>
      <c r="W450" s="404" t="n">
        <v>0</v>
      </c>
      <c r="X450" s="404" t="n">
        <v>1</v>
      </c>
      <c r="Y450" s="404" t="n">
        <v>0</v>
      </c>
      <c r="Z450" s="404" t="n"/>
      <c r="AA450" s="404" t="n"/>
      <c r="AB450" s="404" t="n"/>
    </row>
    <row r="451">
      <c r="A451" s="404" t="n">
        <v>50</v>
      </c>
      <c r="B451" s="404" t="n">
        <v>0</v>
      </c>
      <c r="C451" s="404" t="n">
        <v>0</v>
      </c>
      <c r="D451" s="404" t="n">
        <v>1</v>
      </c>
      <c r="E451" s="404" t="n">
        <v>217</v>
      </c>
      <c r="F451" s="404">
        <f>ROUND(Source!AU432,O451)</f>
        <v/>
      </c>
      <c r="G451" s="404" t="inlineStr">
        <is>
          <t>Прочие</t>
        </is>
      </c>
      <c r="H451" s="404" t="inlineStr">
        <is>
          <t>Прочие работы с НР и СП</t>
        </is>
      </c>
      <c r="I451" s="404" t="n"/>
      <c r="J451" s="404" t="n"/>
      <c r="K451" s="404" t="n">
        <v>217</v>
      </c>
      <c r="L451" s="404" t="n">
        <v>18</v>
      </c>
      <c r="M451" s="404" t="n">
        <v>3</v>
      </c>
      <c r="N451" s="404" t="inlineStr"/>
      <c r="O451" s="404" t="n">
        <v>0</v>
      </c>
      <c r="P451" s="404" t="n"/>
      <c r="Q451" s="404" t="n"/>
      <c r="R451" s="404" t="n"/>
      <c r="S451" s="404" t="n"/>
      <c r="T451" s="404" t="n"/>
      <c r="U451" s="404" t="n"/>
      <c r="V451" s="404" t="n"/>
      <c r="W451" s="404" t="n">
        <v>0</v>
      </c>
      <c r="X451" s="404" t="n">
        <v>1</v>
      </c>
      <c r="Y451" s="404" t="n">
        <v>0</v>
      </c>
      <c r="Z451" s="404" t="n"/>
      <c r="AA451" s="404" t="n"/>
      <c r="AB451" s="404" t="n"/>
    </row>
    <row r="452">
      <c r="A452" s="404" t="n">
        <v>50</v>
      </c>
      <c r="B452" s="404" t="n">
        <v>0</v>
      </c>
      <c r="C452" s="404" t="n">
        <v>0</v>
      </c>
      <c r="D452" s="404" t="n">
        <v>1</v>
      </c>
      <c r="E452" s="404" t="n">
        <v>230</v>
      </c>
      <c r="F452" s="404">
        <f>ROUND(Source!BA432,O452)</f>
        <v/>
      </c>
      <c r="G452" s="404" t="inlineStr">
        <is>
          <t>ПрочиеЗатр</t>
        </is>
      </c>
      <c r="H452" s="404" t="inlineStr">
        <is>
          <t>Прочие затраты по ТСН-2001.16</t>
        </is>
      </c>
      <c r="I452" s="404" t="n"/>
      <c r="J452" s="404" t="n"/>
      <c r="K452" s="404" t="n">
        <v>230</v>
      </c>
      <c r="L452" s="404" t="n">
        <v>19</v>
      </c>
      <c r="M452" s="404" t="n">
        <v>3</v>
      </c>
      <c r="N452" s="404" t="inlineStr"/>
      <c r="O452" s="404" t="n">
        <v>0</v>
      </c>
      <c r="P452" s="404" t="n"/>
      <c r="Q452" s="404" t="n"/>
      <c r="R452" s="404" t="n"/>
      <c r="S452" s="404" t="n"/>
      <c r="T452" s="404" t="n"/>
      <c r="U452" s="404" t="n"/>
      <c r="V452" s="404" t="n"/>
      <c r="W452" s="404" t="n">
        <v>0</v>
      </c>
      <c r="X452" s="404" t="n">
        <v>1</v>
      </c>
      <c r="Y452" s="404" t="n">
        <v>0</v>
      </c>
      <c r="Z452" s="404" t="n"/>
      <c r="AA452" s="404" t="n"/>
      <c r="AB452" s="404" t="n"/>
    </row>
    <row r="453">
      <c r="A453" s="404" t="n">
        <v>50</v>
      </c>
      <c r="B453" s="404" t="n">
        <v>0</v>
      </c>
      <c r="C453" s="404" t="n">
        <v>0</v>
      </c>
      <c r="D453" s="404" t="n">
        <v>1</v>
      </c>
      <c r="E453" s="404" t="n">
        <v>206</v>
      </c>
      <c r="F453" s="404">
        <f>ROUND(Source!T432,O453)</f>
        <v/>
      </c>
      <c r="G453" s="404" t="inlineStr">
        <is>
          <t>ВозврМат</t>
        </is>
      </c>
      <c r="H453" s="404" t="inlineStr">
        <is>
          <t>Возврат материалов</t>
        </is>
      </c>
      <c r="I453" s="404" t="n"/>
      <c r="J453" s="404" t="n"/>
      <c r="K453" s="404" t="n">
        <v>206</v>
      </c>
      <c r="L453" s="404" t="n">
        <v>20</v>
      </c>
      <c r="M453" s="404" t="n">
        <v>3</v>
      </c>
      <c r="N453" s="404" t="inlineStr"/>
      <c r="O453" s="404" t="n">
        <v>0</v>
      </c>
      <c r="P453" s="404" t="n"/>
      <c r="Q453" s="404" t="n"/>
      <c r="R453" s="404" t="n"/>
      <c r="S453" s="404" t="n"/>
      <c r="T453" s="404" t="n"/>
      <c r="U453" s="404" t="n"/>
      <c r="V453" s="404" t="n"/>
      <c r="W453" s="404" t="n">
        <v>0</v>
      </c>
      <c r="X453" s="404" t="n">
        <v>1</v>
      </c>
      <c r="Y453" s="404" t="n">
        <v>0</v>
      </c>
      <c r="Z453" s="404" t="n"/>
      <c r="AA453" s="404" t="n"/>
      <c r="AB453" s="404" t="n"/>
    </row>
    <row r="454">
      <c r="A454" s="404" t="n">
        <v>50</v>
      </c>
      <c r="B454" s="404" t="n">
        <v>0</v>
      </c>
      <c r="C454" s="404" t="n">
        <v>0</v>
      </c>
      <c r="D454" s="404" t="n">
        <v>1</v>
      </c>
      <c r="E454" s="404" t="n">
        <v>207</v>
      </c>
      <c r="F454" s="404">
        <f>ROUND(Source!U432,O454)</f>
        <v/>
      </c>
      <c r="G454" s="404" t="inlineStr">
        <is>
          <t>ТрудСтр</t>
        </is>
      </c>
      <c r="H454" s="404" t="inlineStr">
        <is>
          <t>Трудозатраты строителей</t>
        </is>
      </c>
      <c r="I454" s="404" t="n"/>
      <c r="J454" s="404" t="n"/>
      <c r="K454" s="404" t="n">
        <v>207</v>
      </c>
      <c r="L454" s="404" t="n">
        <v>21</v>
      </c>
      <c r="M454" s="404" t="n">
        <v>3</v>
      </c>
      <c r="N454" s="404" t="inlineStr"/>
      <c r="O454" s="404" t="n">
        <v>7</v>
      </c>
      <c r="P454" s="404" t="n"/>
      <c r="Q454" s="404" t="n"/>
      <c r="R454" s="404" t="n"/>
      <c r="S454" s="404" t="n"/>
      <c r="T454" s="404" t="n"/>
      <c r="U454" s="404" t="n"/>
      <c r="V454" s="404" t="n"/>
      <c r="W454" s="404" t="n">
        <v>0</v>
      </c>
      <c r="X454" s="404" t="n">
        <v>1</v>
      </c>
      <c r="Y454" s="404" t="n">
        <v>0</v>
      </c>
      <c r="Z454" s="404" t="n"/>
      <c r="AA454" s="404" t="n"/>
      <c r="AB454" s="404" t="n"/>
    </row>
    <row r="455">
      <c r="A455" s="404" t="n">
        <v>50</v>
      </c>
      <c r="B455" s="404" t="n">
        <v>0</v>
      </c>
      <c r="C455" s="404" t="n">
        <v>0</v>
      </c>
      <c r="D455" s="404" t="n">
        <v>1</v>
      </c>
      <c r="E455" s="404" t="n">
        <v>208</v>
      </c>
      <c r="F455" s="404">
        <f>ROUND(Source!V432,O455)</f>
        <v/>
      </c>
      <c r="G455" s="404" t="inlineStr">
        <is>
          <t>ТрудМаш</t>
        </is>
      </c>
      <c r="H455" s="404" t="inlineStr">
        <is>
          <t>Трудозатраты машинистов</t>
        </is>
      </c>
      <c r="I455" s="404" t="n"/>
      <c r="J455" s="404" t="n"/>
      <c r="K455" s="404" t="n">
        <v>208</v>
      </c>
      <c r="L455" s="404" t="n">
        <v>22</v>
      </c>
      <c r="M455" s="404" t="n">
        <v>3</v>
      </c>
      <c r="N455" s="404" t="inlineStr"/>
      <c r="O455" s="404" t="n">
        <v>7</v>
      </c>
      <c r="P455" s="404" t="n"/>
      <c r="Q455" s="404" t="n"/>
      <c r="R455" s="404" t="n"/>
      <c r="S455" s="404" t="n"/>
      <c r="T455" s="404" t="n"/>
      <c r="U455" s="404" t="n"/>
      <c r="V455" s="404" t="n"/>
      <c r="W455" s="404" t="n">
        <v>0</v>
      </c>
      <c r="X455" s="404" t="n">
        <v>1</v>
      </c>
      <c r="Y455" s="404" t="n">
        <v>0</v>
      </c>
      <c r="Z455" s="404" t="n"/>
      <c r="AA455" s="404" t="n"/>
      <c r="AB455" s="404" t="n"/>
    </row>
    <row r="456">
      <c r="A456" s="404" t="n">
        <v>50</v>
      </c>
      <c r="B456" s="404" t="n">
        <v>0</v>
      </c>
      <c r="C456" s="404" t="n">
        <v>0</v>
      </c>
      <c r="D456" s="404" t="n">
        <v>1</v>
      </c>
      <c r="E456" s="404" t="n">
        <v>209</v>
      </c>
      <c r="F456" s="404">
        <f>ROUND(Source!W432,O456)</f>
        <v/>
      </c>
      <c r="G456" s="404" t="inlineStr">
        <is>
          <t>ТранспМат</t>
        </is>
      </c>
      <c r="H456" s="404" t="inlineStr">
        <is>
          <t>Транспорт материалов</t>
        </is>
      </c>
      <c r="I456" s="404" t="n"/>
      <c r="J456" s="404" t="n"/>
      <c r="K456" s="404" t="n">
        <v>209</v>
      </c>
      <c r="L456" s="404" t="n">
        <v>23</v>
      </c>
      <c r="M456" s="404" t="n">
        <v>3</v>
      </c>
      <c r="N456" s="404" t="inlineStr"/>
      <c r="O456" s="404" t="n">
        <v>0</v>
      </c>
      <c r="P456" s="404" t="n"/>
      <c r="Q456" s="404" t="n"/>
      <c r="R456" s="404" t="n"/>
      <c r="S456" s="404" t="n"/>
      <c r="T456" s="404" t="n"/>
      <c r="U456" s="404" t="n"/>
      <c r="V456" s="404" t="n"/>
      <c r="W456" s="404" t="n">
        <v>0</v>
      </c>
      <c r="X456" s="404" t="n">
        <v>1</v>
      </c>
      <c r="Y456" s="404" t="n">
        <v>0</v>
      </c>
      <c r="Z456" s="404" t="n"/>
      <c r="AA456" s="404" t="n"/>
      <c r="AB456" s="404" t="n"/>
    </row>
    <row r="457">
      <c r="A457" s="404" t="n">
        <v>50</v>
      </c>
      <c r="B457" s="404" t="n">
        <v>0</v>
      </c>
      <c r="C457" s="404" t="n">
        <v>0</v>
      </c>
      <c r="D457" s="404" t="n">
        <v>1</v>
      </c>
      <c r="E457" s="404" t="n">
        <v>233</v>
      </c>
      <c r="F457" s="404">
        <f>ROUND(Source!BD432,O457)</f>
        <v/>
      </c>
      <c r="G457" s="404" t="inlineStr">
        <is>
          <t>Перевозка</t>
        </is>
      </c>
      <c r="H457" s="404" t="inlineStr">
        <is>
          <t>Перевозка грузов</t>
        </is>
      </c>
      <c r="I457" s="404" t="n"/>
      <c r="J457" s="404" t="n"/>
      <c r="K457" s="404" t="n">
        <v>233</v>
      </c>
      <c r="L457" s="404" t="n">
        <v>24</v>
      </c>
      <c r="M457" s="404" t="n">
        <v>3</v>
      </c>
      <c r="N457" s="404" t="inlineStr"/>
      <c r="O457" s="404" t="n">
        <v>0</v>
      </c>
      <c r="P457" s="404" t="n"/>
      <c r="Q457" s="404" t="n"/>
      <c r="R457" s="404" t="n"/>
      <c r="S457" s="404" t="n"/>
      <c r="T457" s="404" t="n"/>
      <c r="U457" s="404" t="n"/>
      <c r="V457" s="404" t="n"/>
      <c r="W457" s="404" t="n">
        <v>0</v>
      </c>
      <c r="X457" s="404" t="n">
        <v>1</v>
      </c>
      <c r="Y457" s="404" t="n">
        <v>0</v>
      </c>
      <c r="Z457" s="404" t="n"/>
      <c r="AA457" s="404" t="n"/>
      <c r="AB457" s="404" t="n"/>
    </row>
    <row r="458">
      <c r="A458" s="404" t="n">
        <v>50</v>
      </c>
      <c r="B458" s="404" t="n">
        <v>0</v>
      </c>
      <c r="C458" s="404" t="n">
        <v>0</v>
      </c>
      <c r="D458" s="404" t="n">
        <v>1</v>
      </c>
      <c r="E458" s="404" t="n">
        <v>210</v>
      </c>
      <c r="F458" s="404">
        <f>ROUND(Source!X432,O458)</f>
        <v/>
      </c>
      <c r="G458" s="404" t="inlineStr">
        <is>
          <t>НР</t>
        </is>
      </c>
      <c r="H458" s="404" t="inlineStr">
        <is>
          <t>Накладные расходы</t>
        </is>
      </c>
      <c r="I458" s="404" t="n"/>
      <c r="J458" s="404" t="n"/>
      <c r="K458" s="404" t="n">
        <v>210</v>
      </c>
      <c r="L458" s="404" t="n">
        <v>25</v>
      </c>
      <c r="M458" s="404" t="n">
        <v>3</v>
      </c>
      <c r="N458" s="404" t="inlineStr"/>
      <c r="O458" s="404" t="n">
        <v>0</v>
      </c>
      <c r="P458" s="404" t="n"/>
      <c r="Q458" s="404" t="n"/>
      <c r="R458" s="404" t="n"/>
      <c r="S458" s="404" t="n"/>
      <c r="T458" s="404" t="n"/>
      <c r="U458" s="404" t="n"/>
      <c r="V458" s="404" t="n"/>
      <c r="W458" s="404" t="n">
        <v>0</v>
      </c>
      <c r="X458" s="404" t="n">
        <v>1</v>
      </c>
      <c r="Y458" s="404" t="n">
        <v>0</v>
      </c>
      <c r="Z458" s="404" t="n"/>
      <c r="AA458" s="404" t="n"/>
      <c r="AB458" s="404" t="n"/>
    </row>
    <row r="459">
      <c r="A459" s="404" t="n">
        <v>50</v>
      </c>
      <c r="B459" s="404" t="n">
        <v>0</v>
      </c>
      <c r="C459" s="404" t="n">
        <v>0</v>
      </c>
      <c r="D459" s="404" t="n">
        <v>1</v>
      </c>
      <c r="E459" s="404" t="n">
        <v>211</v>
      </c>
      <c r="F459" s="404">
        <f>ROUND(Source!Y432,O459)</f>
        <v/>
      </c>
      <c r="G459" s="404" t="inlineStr">
        <is>
          <t>СмПриб</t>
        </is>
      </c>
      <c r="H459" s="404" t="inlineStr">
        <is>
          <t>Сметная прибыль</t>
        </is>
      </c>
      <c r="I459" s="404" t="n"/>
      <c r="J459" s="404" t="n"/>
      <c r="K459" s="404" t="n">
        <v>211</v>
      </c>
      <c r="L459" s="404" t="n">
        <v>26</v>
      </c>
      <c r="M459" s="404" t="n">
        <v>3</v>
      </c>
      <c r="N459" s="404" t="inlineStr"/>
      <c r="O459" s="404" t="n">
        <v>0</v>
      </c>
      <c r="P459" s="404" t="n"/>
      <c r="Q459" s="404" t="n"/>
      <c r="R459" s="404" t="n"/>
      <c r="S459" s="404" t="n"/>
      <c r="T459" s="404" t="n"/>
      <c r="U459" s="404" t="n"/>
      <c r="V459" s="404" t="n"/>
      <c r="W459" s="404" t="n">
        <v>0</v>
      </c>
      <c r="X459" s="404" t="n">
        <v>1</v>
      </c>
      <c r="Y459" s="404" t="n">
        <v>0</v>
      </c>
      <c r="Z459" s="404" t="n"/>
      <c r="AA459" s="404" t="n"/>
      <c r="AB459" s="404" t="n"/>
    </row>
    <row r="460">
      <c r="A460" s="404" t="n">
        <v>50</v>
      </c>
      <c r="B460" s="404" t="n">
        <v>0</v>
      </c>
      <c r="C460" s="404" t="n">
        <v>0</v>
      </c>
      <c r="D460" s="404" t="n">
        <v>1</v>
      </c>
      <c r="E460" s="404" t="n">
        <v>224</v>
      </c>
      <c r="F460" s="404">
        <f>ROUND(Source!AR432,O460)</f>
        <v/>
      </c>
      <c r="G460" s="404" t="inlineStr">
        <is>
          <t>Всего</t>
        </is>
      </c>
      <c r="H460" s="404" t="inlineStr">
        <is>
          <t>Всего с НР и СП</t>
        </is>
      </c>
      <c r="I460" s="404" t="n"/>
      <c r="J460" s="404" t="n"/>
      <c r="K460" s="404" t="n">
        <v>224</v>
      </c>
      <c r="L460" s="404" t="n">
        <v>27</v>
      </c>
      <c r="M460" s="404" t="n">
        <v>3</v>
      </c>
      <c r="N460" s="404" t="inlineStr"/>
      <c r="O460" s="404" t="n">
        <v>0</v>
      </c>
      <c r="P460" s="404" t="n"/>
      <c r="Q460" s="404" t="n"/>
      <c r="R460" s="404" t="n"/>
      <c r="S460" s="404" t="n"/>
      <c r="T460" s="404" t="n"/>
      <c r="U460" s="404" t="n"/>
      <c r="V460" s="404" t="n"/>
      <c r="W460" s="404" t="n">
        <v>0</v>
      </c>
      <c r="X460" s="404" t="n">
        <v>1</v>
      </c>
      <c r="Y460" s="404" t="n">
        <v>0</v>
      </c>
      <c r="Z460" s="404" t="n"/>
      <c r="AA460" s="404" t="n"/>
      <c r="AB460" s="404" t="n"/>
    </row>
    <row r="461">
      <c r="A461" s="404" t="n">
        <v>50</v>
      </c>
      <c r="B461" s="404" t="n">
        <v>0</v>
      </c>
      <c r="C461" s="404" t="n">
        <v>0</v>
      </c>
      <c r="D461" s="404" t="n">
        <v>2</v>
      </c>
      <c r="E461" s="404" t="n">
        <v>0</v>
      </c>
      <c r="F461" s="404">
        <f>ROUND(F460,O461)</f>
        <v/>
      </c>
      <c r="G461" s="404" t="inlineStr">
        <is>
          <t>и1</t>
        </is>
      </c>
      <c r="H461" s="404" t="inlineStr">
        <is>
          <t>Итого</t>
        </is>
      </c>
      <c r="I461" s="404" t="n"/>
      <c r="J461" s="404" t="n"/>
      <c r="K461" s="404" t="n">
        <v>212</v>
      </c>
      <c r="L461" s="404" t="n">
        <v>28</v>
      </c>
      <c r="M461" s="404" t="n">
        <v>0</v>
      </c>
      <c r="N461" s="404" t="inlineStr"/>
      <c r="O461" s="404" t="n">
        <v>0</v>
      </c>
      <c r="P461" s="404" t="n"/>
      <c r="Q461" s="404" t="n"/>
      <c r="R461" s="404" t="n"/>
      <c r="S461" s="404" t="n"/>
      <c r="T461" s="404" t="n"/>
      <c r="U461" s="404" t="n"/>
      <c r="V461" s="404" t="n"/>
      <c r="W461" s="404" t="n">
        <v>0</v>
      </c>
      <c r="X461" s="404" t="n">
        <v>1</v>
      </c>
      <c r="Y461" s="404" t="n">
        <v>0</v>
      </c>
      <c r="Z461" s="404" t="n"/>
      <c r="AA461" s="404" t="n"/>
      <c r="AB461" s="404" t="n"/>
    </row>
    <row r="462">
      <c r="A462" s="404" t="n">
        <v>50</v>
      </c>
      <c r="B462" s="404" t="n">
        <v>0</v>
      </c>
      <c r="C462" s="404" t="n">
        <v>0</v>
      </c>
      <c r="D462" s="404" t="n">
        <v>2</v>
      </c>
      <c r="E462" s="404" t="n">
        <v>0</v>
      </c>
      <c r="F462" s="404">
        <f>ROUND(F461*0.22,O462)</f>
        <v/>
      </c>
      <c r="G462" s="404" t="inlineStr">
        <is>
          <t>и2</t>
        </is>
      </c>
      <c r="H462" s="404" t="inlineStr">
        <is>
          <t>НДС 22%</t>
        </is>
      </c>
      <c r="I462" s="404" t="n"/>
      <c r="J462" s="404" t="n"/>
      <c r="K462" s="404" t="n">
        <v>212</v>
      </c>
      <c r="L462" s="404" t="n">
        <v>29</v>
      </c>
      <c r="M462" s="404" t="n">
        <v>0</v>
      </c>
      <c r="N462" s="404" t="inlineStr"/>
      <c r="O462" s="404" t="n">
        <v>0</v>
      </c>
      <c r="P462" s="404" t="n"/>
      <c r="Q462" s="404" t="n"/>
      <c r="R462" s="404" t="n"/>
      <c r="S462" s="404" t="n"/>
      <c r="T462" s="404" t="n"/>
      <c r="U462" s="404" t="n"/>
      <c r="V462" s="404" t="n"/>
      <c r="W462" s="404" t="n">
        <v>0</v>
      </c>
      <c r="X462" s="404" t="n">
        <v>1</v>
      </c>
      <c r="Y462" s="404" t="n">
        <v>0</v>
      </c>
      <c r="Z462" s="404" t="n"/>
      <c r="AA462" s="404" t="n"/>
      <c r="AB462" s="404" t="n"/>
    </row>
    <row r="463">
      <c r="A463" s="404" t="n">
        <v>50</v>
      </c>
      <c r="B463" s="404" t="n">
        <v>0</v>
      </c>
      <c r="C463" s="404" t="n">
        <v>0</v>
      </c>
      <c r="D463" s="404" t="n">
        <v>2</v>
      </c>
      <c r="E463" s="404" t="n">
        <v>213</v>
      </c>
      <c r="F463" s="404">
        <f>ROUND(F461+F462,O463)</f>
        <v/>
      </c>
      <c r="G463" s="404" t="inlineStr">
        <is>
          <t>и3</t>
        </is>
      </c>
      <c r="H463" s="404" t="inlineStr">
        <is>
          <t>Всего</t>
        </is>
      </c>
      <c r="I463" s="404" t="n"/>
      <c r="J463" s="404" t="n"/>
      <c r="K463" s="404" t="n">
        <v>212</v>
      </c>
      <c r="L463" s="404" t="n">
        <v>30</v>
      </c>
      <c r="M463" s="404" t="n">
        <v>0</v>
      </c>
      <c r="N463" s="404" t="inlineStr"/>
      <c r="O463" s="404" t="n">
        <v>0</v>
      </c>
      <c r="P463" s="404" t="n"/>
      <c r="Q463" s="404" t="n"/>
      <c r="R463" s="404" t="n"/>
      <c r="S463" s="404" t="n"/>
      <c r="T463" s="404" t="n"/>
      <c r="U463" s="404" t="n"/>
      <c r="V463" s="404" t="n"/>
      <c r="W463" s="404" t="n">
        <v>0</v>
      </c>
      <c r="X463" s="404" t="n">
        <v>1</v>
      </c>
      <c r="Y463" s="404" t="n">
        <v>0</v>
      </c>
      <c r="Z463" s="404" t="n"/>
      <c r="AA463" s="404" t="n"/>
      <c r="AB463" s="404" t="n"/>
    </row>
    <row r="464"/>
    <row r="465">
      <c r="A465" s="401" t="n">
        <v>3</v>
      </c>
      <c r="B465" s="401" t="n">
        <v>0</v>
      </c>
      <c r="C465" s="401" t="n"/>
      <c r="D465" s="401">
        <f>ROW(A481)</f>
        <v/>
      </c>
      <c r="E465" s="401" t="n"/>
      <c r="F465" s="401" t="inlineStr">
        <is>
          <t>Новая локальная смета</t>
        </is>
      </c>
      <c r="G465" s="401" t="inlineStr">
        <is>
          <t>Текстильщиков 14</t>
        </is>
      </c>
      <c r="H465" s="401" t="inlineStr"/>
      <c r="I465" s="401" t="n">
        <v>0</v>
      </c>
      <c r="J465" s="401" t="inlineStr"/>
      <c r="K465" s="401" t="n">
        <v>0</v>
      </c>
      <c r="L465" s="401" t="inlineStr">
        <is>
          <t>Новая локальная смета</t>
        </is>
      </c>
      <c r="M465" s="401" t="inlineStr"/>
      <c r="N465" s="401" t="n"/>
      <c r="O465" s="401" t="n"/>
      <c r="P465" s="401" t="n"/>
      <c r="Q465" s="401" t="n"/>
      <c r="R465" s="401" t="n"/>
      <c r="S465" s="401" t="n">
        <v>0</v>
      </c>
      <c r="T465" s="401" t="n"/>
      <c r="U465" s="401" t="inlineStr"/>
      <c r="V465" s="401" t="n">
        <v>0</v>
      </c>
      <c r="W465" s="401" t="n"/>
      <c r="X465" s="401" t="n"/>
      <c r="Y465" s="401" t="n"/>
      <c r="Z465" s="401" t="n"/>
      <c r="AA465" s="401" t="n"/>
      <c r="AB465" s="401" t="inlineStr"/>
      <c r="AC465" s="401" t="inlineStr"/>
      <c r="AD465" s="401" t="inlineStr"/>
      <c r="AE465" s="401" t="inlineStr"/>
      <c r="AF465" s="401" t="inlineStr"/>
      <c r="AG465" s="401" t="inlineStr"/>
      <c r="AH465" s="401" t="n"/>
      <c r="AI465" s="401" t="n"/>
      <c r="AJ465" s="401" t="n"/>
      <c r="AK465" s="401" t="n"/>
      <c r="AL465" s="401" t="n"/>
      <c r="AM465" s="401" t="n"/>
      <c r="AN465" s="401" t="n"/>
      <c r="AO465" s="401" t="n"/>
      <c r="AP465" s="401" t="inlineStr"/>
      <c r="AQ465" s="401" t="inlineStr"/>
      <c r="AR465" s="401" t="inlineStr"/>
      <c r="AS465" s="401" t="n"/>
      <c r="AT465" s="401" t="n"/>
      <c r="AU465" s="401" t="n"/>
      <c r="AV465" s="401" t="n"/>
      <c r="AW465" s="401" t="n"/>
      <c r="AX465" s="401" t="n"/>
      <c r="AY465" s="401" t="n"/>
      <c r="AZ465" s="401" t="inlineStr"/>
      <c r="BA465" s="401" t="n"/>
      <c r="BB465" s="401" t="inlineStr"/>
      <c r="BC465" s="401" t="inlineStr"/>
      <c r="BD465" s="401" t="inlineStr"/>
      <c r="BE465" s="401" t="inlineStr"/>
      <c r="BF465" s="401" t="inlineStr"/>
      <c r="BG465" s="401" t="inlineStr"/>
      <c r="BH465" s="401" t="inlineStr"/>
      <c r="BI465" s="401" t="inlineStr"/>
      <c r="BJ465" s="401" t="inlineStr"/>
      <c r="BK465" s="401" t="inlineStr"/>
      <c r="BL465" s="401" t="inlineStr"/>
      <c r="BM465" s="401" t="inlineStr"/>
      <c r="BN465" s="401" t="inlineStr"/>
      <c r="BO465" s="401" t="inlineStr"/>
      <c r="BP465" s="401" t="inlineStr"/>
      <c r="BQ465" s="401" t="n"/>
      <c r="BR465" s="401" t="n"/>
      <c r="BS465" s="401" t="n"/>
      <c r="BT465" s="401" t="n"/>
      <c r="BU465" s="401" t="n"/>
      <c r="BV465" s="401" t="n"/>
      <c r="BW465" s="401" t="n"/>
      <c r="BX465" s="401" t="n">
        <v>0</v>
      </c>
      <c r="BY465" s="401" t="n"/>
      <c r="BZ465" s="401" t="n"/>
      <c r="CA465" s="401" t="n"/>
      <c r="CB465" s="401" t="n"/>
      <c r="CC465" s="401" t="n"/>
      <c r="CD465" s="401" t="n"/>
      <c r="CE465" s="401" t="n"/>
      <c r="CF465" s="401" t="n">
        <v>0</v>
      </c>
      <c r="CG465" s="401" t="n">
        <v>0</v>
      </c>
      <c r="CH465" s="401" t="n"/>
      <c r="CI465" s="401" t="inlineStr"/>
      <c r="CJ465" s="401" t="inlineStr"/>
      <c r="CK465" t="inlineStr"/>
      <c r="CL465" t="inlineStr"/>
      <c r="CM465" t="inlineStr"/>
      <c r="CN465" t="inlineStr"/>
      <c r="CO465" t="inlineStr"/>
      <c r="CP465" t="inlineStr"/>
      <c r="CQ465" t="inlineStr"/>
    </row>
    <row r="466"/>
    <row r="467">
      <c r="A467" s="402" t="n">
        <v>52</v>
      </c>
      <c r="B467" s="402">
        <f>B481</f>
        <v/>
      </c>
      <c r="C467" s="402">
        <f>C481</f>
        <v/>
      </c>
      <c r="D467" s="402">
        <f>D481</f>
        <v/>
      </c>
      <c r="E467" s="402">
        <f>E481</f>
        <v/>
      </c>
      <c r="F467" s="402">
        <f>F481</f>
        <v/>
      </c>
      <c r="G467" s="402">
        <f>G481</f>
        <v/>
      </c>
      <c r="H467" s="402" t="n"/>
      <c r="I467" s="402" t="n"/>
      <c r="J467" s="402" t="n"/>
      <c r="K467" s="402" t="n"/>
      <c r="L467" s="402" t="n"/>
      <c r="M467" s="402" t="n"/>
      <c r="N467" s="402" t="n"/>
      <c r="O467" s="402">
        <f>O481</f>
        <v/>
      </c>
      <c r="P467" s="402">
        <f>P481</f>
        <v/>
      </c>
      <c r="Q467" s="402">
        <f>Q481</f>
        <v/>
      </c>
      <c r="R467" s="402">
        <f>R481</f>
        <v/>
      </c>
      <c r="S467" s="402">
        <f>S481</f>
        <v/>
      </c>
      <c r="T467" s="402">
        <f>T481</f>
        <v/>
      </c>
      <c r="U467" s="402">
        <f>U481</f>
        <v/>
      </c>
      <c r="V467" s="402">
        <f>V481</f>
        <v/>
      </c>
      <c r="W467" s="402">
        <f>W481</f>
        <v/>
      </c>
      <c r="X467" s="402">
        <f>X481</f>
        <v/>
      </c>
      <c r="Y467" s="402">
        <f>Y481</f>
        <v/>
      </c>
      <c r="Z467" s="402">
        <f>Z481</f>
        <v/>
      </c>
      <c r="AA467" s="402">
        <f>AA481</f>
        <v/>
      </c>
      <c r="AB467" s="402">
        <f>AB481</f>
        <v/>
      </c>
      <c r="AC467" s="402">
        <f>AC481</f>
        <v/>
      </c>
      <c r="AD467" s="402">
        <f>AD481</f>
        <v/>
      </c>
      <c r="AE467" s="402">
        <f>AE481</f>
        <v/>
      </c>
      <c r="AF467" s="402">
        <f>AF481</f>
        <v/>
      </c>
      <c r="AG467" s="402">
        <f>AG481</f>
        <v/>
      </c>
      <c r="AH467" s="402">
        <f>AH481</f>
        <v/>
      </c>
      <c r="AI467" s="402">
        <f>AI481</f>
        <v/>
      </c>
      <c r="AJ467" s="402">
        <f>AJ481</f>
        <v/>
      </c>
      <c r="AK467" s="402">
        <f>AK481</f>
        <v/>
      </c>
      <c r="AL467" s="402">
        <f>AL481</f>
        <v/>
      </c>
      <c r="AM467" s="402">
        <f>AM481</f>
        <v/>
      </c>
      <c r="AN467" s="402">
        <f>AN481</f>
        <v/>
      </c>
      <c r="AO467" s="402">
        <f>AO481</f>
        <v/>
      </c>
      <c r="AP467" s="402">
        <f>AP481</f>
        <v/>
      </c>
      <c r="AQ467" s="402">
        <f>AQ481</f>
        <v/>
      </c>
      <c r="AR467" s="402">
        <f>AR481</f>
        <v/>
      </c>
      <c r="AS467" s="402">
        <f>AS481</f>
        <v/>
      </c>
      <c r="AT467" s="402">
        <f>AT481</f>
        <v/>
      </c>
      <c r="AU467" s="402">
        <f>AU481</f>
        <v/>
      </c>
      <c r="AV467" s="402">
        <f>AV481</f>
        <v/>
      </c>
      <c r="AW467" s="402">
        <f>AW481</f>
        <v/>
      </c>
      <c r="AX467" s="402">
        <f>AX481</f>
        <v/>
      </c>
      <c r="AY467" s="402">
        <f>AY481</f>
        <v/>
      </c>
      <c r="AZ467" s="402">
        <f>AZ481</f>
        <v/>
      </c>
      <c r="BA467" s="402">
        <f>BA481</f>
        <v/>
      </c>
      <c r="BB467" s="402">
        <f>BB481</f>
        <v/>
      </c>
      <c r="BC467" s="402">
        <f>BC481</f>
        <v/>
      </c>
      <c r="BD467" s="402">
        <f>BD481</f>
        <v/>
      </c>
      <c r="BE467" s="402">
        <f>BE481</f>
        <v/>
      </c>
      <c r="BF467" s="402">
        <f>BF481</f>
        <v/>
      </c>
      <c r="BG467" s="402">
        <f>BG481</f>
        <v/>
      </c>
      <c r="BH467" s="402">
        <f>BH481</f>
        <v/>
      </c>
      <c r="BI467" s="402">
        <f>BI481</f>
        <v/>
      </c>
      <c r="BJ467" s="402">
        <f>BJ481</f>
        <v/>
      </c>
      <c r="BK467" s="402">
        <f>BK481</f>
        <v/>
      </c>
      <c r="BL467" s="402">
        <f>BL481</f>
        <v/>
      </c>
      <c r="BM467" s="402">
        <f>BM481</f>
        <v/>
      </c>
      <c r="BN467" s="402">
        <f>BN481</f>
        <v/>
      </c>
      <c r="BO467" s="402">
        <f>BO481</f>
        <v/>
      </c>
      <c r="BP467" s="402">
        <f>BP481</f>
        <v/>
      </c>
      <c r="BQ467" s="402">
        <f>BQ481</f>
        <v/>
      </c>
      <c r="BR467" s="402">
        <f>BR481</f>
        <v/>
      </c>
      <c r="BS467" s="402">
        <f>BS481</f>
        <v/>
      </c>
      <c r="BT467" s="402">
        <f>BT481</f>
        <v/>
      </c>
      <c r="BU467" s="402">
        <f>BU481</f>
        <v/>
      </c>
      <c r="BV467" s="402">
        <f>BV481</f>
        <v/>
      </c>
      <c r="BW467" s="402">
        <f>BW481</f>
        <v/>
      </c>
      <c r="BX467" s="402">
        <f>BX481</f>
        <v/>
      </c>
      <c r="BY467" s="402">
        <f>BY481</f>
        <v/>
      </c>
      <c r="BZ467" s="402">
        <f>BZ481</f>
        <v/>
      </c>
      <c r="CA467" s="402">
        <f>CA481</f>
        <v/>
      </c>
      <c r="CB467" s="402">
        <f>CB481</f>
        <v/>
      </c>
      <c r="CC467" s="402">
        <f>CC481</f>
        <v/>
      </c>
      <c r="CD467" s="402">
        <f>CD481</f>
        <v/>
      </c>
      <c r="CE467" s="402">
        <f>CE481</f>
        <v/>
      </c>
      <c r="CF467" s="402">
        <f>CF481</f>
        <v/>
      </c>
      <c r="CG467" s="402">
        <f>CG481</f>
        <v/>
      </c>
      <c r="CH467" s="402">
        <f>CH481</f>
        <v/>
      </c>
      <c r="CI467" s="402">
        <f>CI481</f>
        <v/>
      </c>
      <c r="CJ467" s="402">
        <f>CJ481</f>
        <v/>
      </c>
      <c r="CK467" s="402">
        <f>CK481</f>
        <v/>
      </c>
      <c r="CL467" s="402">
        <f>CL481</f>
        <v/>
      </c>
      <c r="CM467" s="402">
        <f>CM481</f>
        <v/>
      </c>
      <c r="CN467" s="402">
        <f>CN481</f>
        <v/>
      </c>
      <c r="CO467" s="402">
        <f>CO481</f>
        <v/>
      </c>
      <c r="CP467" s="402">
        <f>CP481</f>
        <v/>
      </c>
      <c r="CQ467" s="402">
        <f>CQ481</f>
        <v/>
      </c>
      <c r="CR467" s="402">
        <f>CR481</f>
        <v/>
      </c>
      <c r="CS467" s="402">
        <f>CS481</f>
        <v/>
      </c>
      <c r="CT467" s="402">
        <f>CT481</f>
        <v/>
      </c>
      <c r="CU467" s="402">
        <f>CU481</f>
        <v/>
      </c>
      <c r="CV467" s="402">
        <f>CV481</f>
        <v/>
      </c>
      <c r="CW467" s="402">
        <f>CW481</f>
        <v/>
      </c>
      <c r="CX467" s="402">
        <f>CX481</f>
        <v/>
      </c>
      <c r="CY467" s="402">
        <f>CY481</f>
        <v/>
      </c>
      <c r="CZ467" s="402">
        <f>CZ481</f>
        <v/>
      </c>
      <c r="DA467" s="402">
        <f>DA481</f>
        <v/>
      </c>
      <c r="DB467" s="402">
        <f>DB481</f>
        <v/>
      </c>
      <c r="DC467" s="402">
        <f>DC481</f>
        <v/>
      </c>
      <c r="DD467" s="402">
        <f>DD481</f>
        <v/>
      </c>
      <c r="DE467" s="402">
        <f>DE481</f>
        <v/>
      </c>
      <c r="DF467" s="402">
        <f>DF481</f>
        <v/>
      </c>
      <c r="DG467" s="403">
        <f>DG481</f>
        <v/>
      </c>
      <c r="DH467" s="403">
        <f>DH481</f>
        <v/>
      </c>
      <c r="DI467" s="403">
        <f>DI481</f>
        <v/>
      </c>
      <c r="DJ467" s="403">
        <f>DJ481</f>
        <v/>
      </c>
      <c r="DK467" s="403">
        <f>DK481</f>
        <v/>
      </c>
      <c r="DL467" s="403">
        <f>DL481</f>
        <v/>
      </c>
      <c r="DM467" s="403">
        <f>DM481</f>
        <v/>
      </c>
      <c r="DN467" s="403">
        <f>DN481</f>
        <v/>
      </c>
      <c r="DO467" s="403">
        <f>DO481</f>
        <v/>
      </c>
      <c r="DP467" s="403">
        <f>DP481</f>
        <v/>
      </c>
      <c r="DQ467" s="403">
        <f>DQ481</f>
        <v/>
      </c>
      <c r="DR467" s="403">
        <f>DR481</f>
        <v/>
      </c>
      <c r="DS467" s="403">
        <f>DS481</f>
        <v/>
      </c>
      <c r="DT467" s="403">
        <f>DT481</f>
        <v/>
      </c>
      <c r="DU467" s="403">
        <f>DU481</f>
        <v/>
      </c>
      <c r="DV467" s="403">
        <f>DV481</f>
        <v/>
      </c>
      <c r="DW467" s="403">
        <f>DW481</f>
        <v/>
      </c>
      <c r="DX467" s="403">
        <f>DX481</f>
        <v/>
      </c>
      <c r="DY467" s="403">
        <f>DY481</f>
        <v/>
      </c>
      <c r="DZ467" s="403">
        <f>DZ481</f>
        <v/>
      </c>
      <c r="EA467" s="403">
        <f>EA481</f>
        <v/>
      </c>
      <c r="EB467" s="403">
        <f>EB481</f>
        <v/>
      </c>
      <c r="EC467" s="403">
        <f>EC481</f>
        <v/>
      </c>
      <c r="ED467" s="403">
        <f>ED481</f>
        <v/>
      </c>
      <c r="EE467" s="403">
        <f>EE481</f>
        <v/>
      </c>
      <c r="EF467" s="403">
        <f>EF481</f>
        <v/>
      </c>
      <c r="EG467" s="403">
        <f>EG481</f>
        <v/>
      </c>
      <c r="EH467" s="403">
        <f>EH481</f>
        <v/>
      </c>
      <c r="EI467" s="403">
        <f>EI481</f>
        <v/>
      </c>
      <c r="EJ467" s="403">
        <f>EJ481</f>
        <v/>
      </c>
      <c r="EK467" s="403">
        <f>EK481</f>
        <v/>
      </c>
      <c r="EL467" s="403">
        <f>EL481</f>
        <v/>
      </c>
      <c r="EM467" s="403">
        <f>EM481</f>
        <v/>
      </c>
      <c r="EN467" s="403">
        <f>EN481</f>
        <v/>
      </c>
      <c r="EO467" s="403">
        <f>EO481</f>
        <v/>
      </c>
      <c r="EP467" s="403">
        <f>EP481</f>
        <v/>
      </c>
      <c r="EQ467" s="403">
        <f>EQ481</f>
        <v/>
      </c>
      <c r="ER467" s="403">
        <f>ER481</f>
        <v/>
      </c>
      <c r="ES467" s="403">
        <f>ES481</f>
        <v/>
      </c>
      <c r="ET467" s="403">
        <f>ET481</f>
        <v/>
      </c>
      <c r="EU467" s="403">
        <f>EU481</f>
        <v/>
      </c>
      <c r="EV467" s="403">
        <f>EV481</f>
        <v/>
      </c>
      <c r="EW467" s="403">
        <f>EW481</f>
        <v/>
      </c>
      <c r="EX467" s="403">
        <f>EX481</f>
        <v/>
      </c>
      <c r="EY467" s="403">
        <f>EY481</f>
        <v/>
      </c>
      <c r="EZ467" s="403">
        <f>EZ481</f>
        <v/>
      </c>
      <c r="FA467" s="403">
        <f>FA481</f>
        <v/>
      </c>
      <c r="FB467" s="403">
        <f>FB481</f>
        <v/>
      </c>
      <c r="FC467" s="403">
        <f>FC481</f>
        <v/>
      </c>
      <c r="FD467" s="403">
        <f>FD481</f>
        <v/>
      </c>
      <c r="FE467" s="403">
        <f>FE481</f>
        <v/>
      </c>
      <c r="FF467" s="403">
        <f>FF481</f>
        <v/>
      </c>
      <c r="FG467" s="403">
        <f>FG481</f>
        <v/>
      </c>
      <c r="FH467" s="403">
        <f>FH481</f>
        <v/>
      </c>
      <c r="FI467" s="403">
        <f>FI481</f>
        <v/>
      </c>
      <c r="FJ467" s="403">
        <f>FJ481</f>
        <v/>
      </c>
      <c r="FK467" s="403">
        <f>FK481</f>
        <v/>
      </c>
      <c r="FL467" s="403">
        <f>FL481</f>
        <v/>
      </c>
      <c r="FM467" s="403">
        <f>FM481</f>
        <v/>
      </c>
      <c r="FN467" s="403">
        <f>FN481</f>
        <v/>
      </c>
      <c r="FO467" s="403">
        <f>FO481</f>
        <v/>
      </c>
      <c r="FP467" s="403">
        <f>FP481</f>
        <v/>
      </c>
      <c r="FQ467" s="403">
        <f>FQ481</f>
        <v/>
      </c>
      <c r="FR467" s="403">
        <f>FR481</f>
        <v/>
      </c>
      <c r="FS467" s="403">
        <f>FS481</f>
        <v/>
      </c>
      <c r="FT467" s="403">
        <f>FT481</f>
        <v/>
      </c>
      <c r="FU467" s="403">
        <f>FU481</f>
        <v/>
      </c>
      <c r="FV467" s="403">
        <f>FV481</f>
        <v/>
      </c>
      <c r="FW467" s="403">
        <f>FW481</f>
        <v/>
      </c>
      <c r="FX467" s="403">
        <f>FX481</f>
        <v/>
      </c>
      <c r="FY467" s="403">
        <f>FY481</f>
        <v/>
      </c>
      <c r="FZ467" s="403">
        <f>FZ481</f>
        <v/>
      </c>
      <c r="GA467" s="403">
        <f>GA481</f>
        <v/>
      </c>
      <c r="GB467" s="403">
        <f>GB481</f>
        <v/>
      </c>
      <c r="GC467" s="403">
        <f>GC481</f>
        <v/>
      </c>
      <c r="GD467" s="403">
        <f>GD481</f>
        <v/>
      </c>
      <c r="GE467" s="403">
        <f>GE481</f>
        <v/>
      </c>
      <c r="GF467" s="403">
        <f>GF481</f>
        <v/>
      </c>
      <c r="GG467" s="403">
        <f>GG481</f>
        <v/>
      </c>
      <c r="GH467" s="403">
        <f>GH481</f>
        <v/>
      </c>
      <c r="GI467" s="403">
        <f>GI481</f>
        <v/>
      </c>
      <c r="GJ467" s="403">
        <f>GJ481</f>
        <v/>
      </c>
      <c r="GK467" s="403">
        <f>GK481</f>
        <v/>
      </c>
      <c r="GL467" s="403">
        <f>GL481</f>
        <v/>
      </c>
      <c r="GM467" s="403">
        <f>GM481</f>
        <v/>
      </c>
      <c r="GN467" s="403">
        <f>GN481</f>
        <v/>
      </c>
      <c r="GO467" s="403">
        <f>GO481</f>
        <v/>
      </c>
      <c r="GP467" s="403">
        <f>GP481</f>
        <v/>
      </c>
      <c r="GQ467" s="403">
        <f>GQ481</f>
        <v/>
      </c>
      <c r="GR467" s="403">
        <f>GR481</f>
        <v/>
      </c>
      <c r="GS467" s="403">
        <f>GS481</f>
        <v/>
      </c>
      <c r="GT467" s="403">
        <f>GT481</f>
        <v/>
      </c>
      <c r="GU467" s="403">
        <f>GU481</f>
        <v/>
      </c>
      <c r="GV467" s="403">
        <f>GV481</f>
        <v/>
      </c>
      <c r="GW467" s="403">
        <f>GW481</f>
        <v/>
      </c>
      <c r="GX467" s="403">
        <f>GX481</f>
        <v/>
      </c>
    </row>
    <row r="468"/>
    <row r="469">
      <c r="A469" t="n">
        <v>17</v>
      </c>
      <c r="B469" t="n">
        <v>0</v>
      </c>
      <c r="C469">
        <f>ROW(SmtRes!A227)</f>
        <v/>
      </c>
      <c r="D469">
        <f>ROW(EtalonRes!A210)</f>
        <v/>
      </c>
      <c r="E469" t="inlineStr">
        <is>
          <t>1</t>
        </is>
      </c>
      <c r="F469" t="inlineStr">
        <is>
          <t>65-5-1</t>
        </is>
      </c>
      <c r="G469" t="inlineStr">
        <is>
          <t>Смена вентилей и клапанов обратных муфтовых диаметром до 20 мм</t>
        </is>
      </c>
      <c r="H469" t="inlineStr">
        <is>
          <t>100 шт.</t>
        </is>
      </c>
      <c r="I469">
        <f>ROUND(ROUND(1/100,4),7)</f>
        <v/>
      </c>
      <c r="J469" t="n">
        <v>0</v>
      </c>
      <c r="K469">
        <f>ROUND(ROUND(1/100,4),7)</f>
        <v/>
      </c>
      <c r="O469">
        <f>ROUND(CP469,0)</f>
        <v/>
      </c>
      <c r="P469">
        <f>ROUND(CQ469*I469,0)</f>
        <v/>
      </c>
      <c r="Q469">
        <f>(ROUND((ROUND(((ET469)*I469),0)*BB469),0)+ROUND((ROUND(((AE469-(EU469))*I469),0)*BS469),0))</f>
        <v/>
      </c>
      <c r="R469">
        <f>(ROUND((ROUND(((EU469)*I469),0)*BS469),0)+ROUND((ROUND(((AE469-(EU469))*I469),0)*BS469),0))</f>
        <v/>
      </c>
      <c r="S469">
        <f>ROUND(CT469*I469,0)</f>
        <v/>
      </c>
      <c r="T469">
        <f>ROUND(CU469*I469,0)</f>
        <v/>
      </c>
      <c r="U469">
        <f>ROUND(CV469*I469,7)</f>
        <v/>
      </c>
      <c r="V469">
        <f>ROUND(CW469*I469,7)</f>
        <v/>
      </c>
      <c r="W469">
        <f>ROUND(CX469*I469,0)</f>
        <v/>
      </c>
      <c r="X469">
        <f>ROUND(CY469,0)</f>
        <v/>
      </c>
      <c r="Y469">
        <f>ROUND(CZ469,0)</f>
        <v/>
      </c>
      <c r="AA469" t="n">
        <v>78869116</v>
      </c>
      <c r="AB469">
        <f>ROUND((AC469+AD469+AF469),2)</f>
        <v/>
      </c>
      <c r="AC469">
        <f>ROUND((ES469),2)</f>
        <v/>
      </c>
      <c r="AD469">
        <f>ROUND((((ET469)-(EU469))+AE469),2)</f>
        <v/>
      </c>
      <c r="AE469">
        <f>ROUND((EU469),2)</f>
        <v/>
      </c>
      <c r="AF469">
        <f>ROUND((EV469),2)</f>
        <v/>
      </c>
      <c r="AG469">
        <f>ROUND((AP469),2)</f>
        <v/>
      </c>
      <c r="AH469">
        <f>(EW469)</f>
        <v/>
      </c>
      <c r="AI469">
        <f>(EX469)</f>
        <v/>
      </c>
      <c r="AJ469">
        <f>(AS469)</f>
        <v/>
      </c>
      <c r="AK469" t="n">
        <v>2979.16</v>
      </c>
      <c r="AL469" t="n">
        <v>2240.13</v>
      </c>
      <c r="AM469" t="n">
        <v>4.36</v>
      </c>
      <c r="AN469" t="n">
        <v>0</v>
      </c>
      <c r="AO469" t="n">
        <v>734.67</v>
      </c>
      <c r="AP469" t="n">
        <v>0</v>
      </c>
      <c r="AQ469" t="n">
        <v>81</v>
      </c>
      <c r="AR469" t="n">
        <v>0</v>
      </c>
      <c r="AS469" t="n">
        <v>0</v>
      </c>
      <c r="AT469" t="n">
        <v>103</v>
      </c>
      <c r="AU469" t="n">
        <v>52</v>
      </c>
      <c r="AV469" t="n">
        <v>1</v>
      </c>
      <c r="AW469" t="n">
        <v>1</v>
      </c>
      <c r="AZ469" t="n">
        <v>1</v>
      </c>
      <c r="BA469" t="n">
        <v>52.25</v>
      </c>
      <c r="BB469" t="n">
        <v>24.98</v>
      </c>
      <c r="BC469" t="n">
        <v>10.16</v>
      </c>
      <c r="BD469" t="inlineStr"/>
      <c r="BE469" t="inlineStr"/>
      <c r="BF469" t="inlineStr"/>
      <c r="BG469" t="inlineStr"/>
      <c r="BH469" t="n">
        <v>0</v>
      </c>
      <c r="BI469" t="n">
        <v>1</v>
      </c>
      <c r="BJ469" t="inlineStr">
        <is>
          <t>ТЕРр Московской обл., 65-5-1, приказ Минстроя России №675/пр от 28.02.2017 № 263/пр</t>
        </is>
      </c>
      <c r="BM469" t="n">
        <v>65007</v>
      </c>
      <c r="BN469" t="n">
        <v>0</v>
      </c>
      <c r="BO469" t="inlineStr">
        <is>
          <t>65-5-1</t>
        </is>
      </c>
      <c r="BP469" t="n">
        <v>1</v>
      </c>
      <c r="BQ469" t="n">
        <v>6</v>
      </c>
      <c r="BR469" t="n">
        <v>0</v>
      </c>
      <c r="BS469" t="n">
        <v>52.25</v>
      </c>
      <c r="BT469" t="n">
        <v>1</v>
      </c>
      <c r="BU469" t="n">
        <v>1</v>
      </c>
      <c r="BV469" t="n">
        <v>1</v>
      </c>
      <c r="BW469" t="n">
        <v>1</v>
      </c>
      <c r="BX469" t="n">
        <v>1</v>
      </c>
      <c r="BY469" t="inlineStr"/>
      <c r="BZ469" t="n">
        <v>103</v>
      </c>
      <c r="CA469" t="n">
        <v>52</v>
      </c>
      <c r="CB469" t="inlineStr"/>
      <c r="CE469" t="n">
        <v>12</v>
      </c>
      <c r="CF469" t="n">
        <v>0</v>
      </c>
      <c r="CG469" t="n">
        <v>0</v>
      </c>
      <c r="CM469" t="n">
        <v>0</v>
      </c>
      <c r="CN469" t="inlineStr"/>
      <c r="CO469" t="n">
        <v>0</v>
      </c>
      <c r="CP469">
        <f>(P469+Q469+S469)</f>
        <v/>
      </c>
      <c r="CQ469">
        <f>AC469*BC469</f>
        <v/>
      </c>
      <c r="CR469">
        <f>(ROUND((ROUND(((ET469)*1),0)*BB469),0)+ROUND((ROUND(((AE469-(EU469))*1),0)*BS469),0))</f>
        <v/>
      </c>
      <c r="CS469">
        <f>(ROUND((ROUND(((EU469)*1),0)*BS469),0)+ROUND((ROUND(((AE469-(EU469))*1),0)*BS469),0))</f>
        <v/>
      </c>
      <c r="CT469">
        <f>AF469*BA469</f>
        <v/>
      </c>
      <c r="CU469">
        <f>AG469</f>
        <v/>
      </c>
      <c r="CV469">
        <f>AH469</f>
        <v/>
      </c>
      <c r="CW469">
        <f>AI469</f>
        <v/>
      </c>
      <c r="CX469">
        <f>AJ469</f>
        <v/>
      </c>
      <c r="CY469">
        <f>(((S469+R469)*AT469)/100)</f>
        <v/>
      </c>
      <c r="CZ469">
        <f>(((S469+R469)*AU469)/100)</f>
        <v/>
      </c>
      <c r="DC469" t="inlineStr"/>
      <c r="DD469" t="inlineStr"/>
      <c r="DE469" t="inlineStr"/>
      <c r="DF469" t="inlineStr"/>
      <c r="DG469" t="inlineStr"/>
      <c r="DH469" t="inlineStr"/>
      <c r="DI469" t="inlineStr"/>
      <c r="DJ469" t="inlineStr"/>
      <c r="DK469" t="inlineStr"/>
      <c r="DL469" t="inlineStr"/>
      <c r="DM469" t="inlineStr"/>
      <c r="DN469" t="n">
        <v>0</v>
      </c>
      <c r="DO469" t="n">
        <v>0</v>
      </c>
      <c r="DP469" t="n">
        <v>1</v>
      </c>
      <c r="DQ469" t="n">
        <v>1</v>
      </c>
      <c r="DU469" t="n">
        <v>1010</v>
      </c>
      <c r="DV469" t="inlineStr">
        <is>
          <t>100 шт.</t>
        </is>
      </c>
      <c r="DW469" t="inlineStr">
        <is>
          <t>100 шт.</t>
        </is>
      </c>
      <c r="DX469" t="n">
        <v>100</v>
      </c>
      <c r="DZ469" t="inlineStr"/>
      <c r="EA469" t="inlineStr"/>
      <c r="EB469" t="inlineStr"/>
      <c r="EC469" t="inlineStr"/>
      <c r="EE469" t="n">
        <v>78726000</v>
      </c>
      <c r="EF469" t="n">
        <v>6</v>
      </c>
      <c r="EG469" t="inlineStr">
        <is>
          <t>Ремонтно-строительные работы</t>
        </is>
      </c>
      <c r="EH469" t="n">
        <v>99</v>
      </c>
      <c r="EI469" t="inlineStr">
        <is>
          <t>Внутренние санитарно-технические работы</t>
        </is>
      </c>
      <c r="EJ469" t="n">
        <v>1</v>
      </c>
      <c r="EK469" t="n">
        <v>65007</v>
      </c>
      <c r="EL469" t="inlineStr">
        <is>
          <t>Внутренние санитарнотехнические работы: смена труб, санприборов, запорной арматуры и другое</t>
        </is>
      </c>
      <c r="EM469" t="inlineStr">
        <is>
          <t>рФЕР-65</t>
        </is>
      </c>
      <c r="EO469" t="inlineStr"/>
      <c r="EQ469" t="n">
        <v>0</v>
      </c>
      <c r="ER469" t="n">
        <v>2979.16</v>
      </c>
      <c r="ES469" t="n">
        <v>2240.13</v>
      </c>
      <c r="ET469" t="n">
        <v>4.36</v>
      </c>
      <c r="EU469" t="n">
        <v>0</v>
      </c>
      <c r="EV469" t="n">
        <v>734.67</v>
      </c>
      <c r="EW469" t="n">
        <v>81</v>
      </c>
      <c r="EX469" t="n">
        <v>0</v>
      </c>
      <c r="EY469" t="n">
        <v>0</v>
      </c>
      <c r="FQ469" t="n">
        <v>0</v>
      </c>
      <c r="FR469" t="n">
        <v>0</v>
      </c>
      <c r="FS469" t="n">
        <v>0</v>
      </c>
      <c r="FX469" t="n">
        <v>103</v>
      </c>
      <c r="FY469" t="n">
        <v>52</v>
      </c>
      <c r="GA469" t="inlineStr"/>
      <c r="GD469" t="n">
        <v>1</v>
      </c>
      <c r="GF469" t="n">
        <v>152852496</v>
      </c>
      <c r="GG469" t="n">
        <v>2</v>
      </c>
      <c r="GH469" t="n">
        <v>1</v>
      </c>
      <c r="GI469" t="n">
        <v>2</v>
      </c>
      <c r="GJ469" t="n">
        <v>0</v>
      </c>
      <c r="GK469" t="n">
        <v>0</v>
      </c>
      <c r="GL469">
        <f>ROUND(IF(AND(BH469=3,BI469=3,FS469&lt;&gt;0),P469,0),0)</f>
        <v/>
      </c>
      <c r="GM469">
        <f>ROUND(O469+X469+Y469,0)+GX469</f>
        <v/>
      </c>
      <c r="GN469">
        <f>IF(OR(BI469=0,BI469=1),GM469-GX469,0)</f>
        <v/>
      </c>
      <c r="GO469">
        <f>IF(BI469=2,GM469-GX469,0)</f>
        <v/>
      </c>
      <c r="GP469">
        <f>IF(BI469=4,GM469-GX469,0)</f>
        <v/>
      </c>
      <c r="GR469" t="n">
        <v>0</v>
      </c>
      <c r="GS469" t="n">
        <v>3</v>
      </c>
      <c r="GT469" t="n">
        <v>0</v>
      </c>
      <c r="GU469" t="inlineStr"/>
      <c r="GV469">
        <f>ROUND((GT469),2)</f>
        <v/>
      </c>
      <c r="GW469" t="n">
        <v>1</v>
      </c>
      <c r="GX469">
        <f>ROUND(HC469*I469,0)</f>
        <v/>
      </c>
      <c r="HA469" t="n">
        <v>0</v>
      </c>
      <c r="HB469" t="n">
        <v>0</v>
      </c>
      <c r="HC469">
        <f>GV469*GW469</f>
        <v/>
      </c>
      <c r="HE469" t="inlineStr"/>
      <c r="HF469" t="inlineStr"/>
      <c r="HM469" t="inlineStr"/>
      <c r="HN469" t="inlineStr">
        <is>
          <t>Пр/812-099.2-1</t>
        </is>
      </c>
      <c r="HO469" t="inlineStr">
        <is>
          <t>Пр/774-099.2</t>
        </is>
      </c>
      <c r="HP469" t="inlineStr">
        <is>
          <t>Внутренние санитарнотехнические работы: смена труб, санприборов, запорной арматуры и другое</t>
        </is>
      </c>
      <c r="HQ469" t="inlineStr">
        <is>
          <t>Внутренние санитарнотехнические работы: смена труб, санприборов, запорной арматуры и другое</t>
        </is>
      </c>
      <c r="HS469" t="n">
        <v>0</v>
      </c>
      <c r="IK469" t="n">
        <v>0</v>
      </c>
    </row>
    <row r="470">
      <c r="A470" t="n">
        <v>18</v>
      </c>
      <c r="B470" t="n">
        <v>0</v>
      </c>
      <c r="C470" t="n">
        <v>227</v>
      </c>
      <c r="E470" t="inlineStr">
        <is>
          <t>1,1</t>
        </is>
      </c>
      <c r="F470" t="inlineStr">
        <is>
          <t>509-9899</t>
        </is>
      </c>
      <c r="G470" t="inlineStr">
        <is>
          <t>Строительный мусор и масса возвратных материалов</t>
        </is>
      </c>
      <c r="H470" t="inlineStr">
        <is>
          <t>т</t>
        </is>
      </c>
      <c r="I470">
        <f>I469*J470</f>
        <v/>
      </c>
      <c r="J470" t="n">
        <v>0.04</v>
      </c>
      <c r="K470" t="n">
        <v>0.04</v>
      </c>
      <c r="O470">
        <f>ROUND(CP470,0)</f>
        <v/>
      </c>
      <c r="P470">
        <f>ROUND(CQ470*I470,0)</f>
        <v/>
      </c>
      <c r="Q470">
        <f>(ROUND((ROUND(((ET470)*I470),0)*BB470),0)+ROUND((ROUND(((AE470-(EU470))*I470),0)*BS470),0))</f>
        <v/>
      </c>
      <c r="R470">
        <f>(ROUND((ROUND(((EU470)*I470),0)*BS470),0)+ROUND((ROUND(((AE470-(EU470))*I470),0)*BS470),0))</f>
        <v/>
      </c>
      <c r="S470">
        <f>ROUND(CT470*I470,0)</f>
        <v/>
      </c>
      <c r="T470">
        <f>ROUND(CU470*I470,0)</f>
        <v/>
      </c>
      <c r="U470">
        <f>ROUND(CV470*I470,7)</f>
        <v/>
      </c>
      <c r="V470">
        <f>ROUND(CW470*I470,7)</f>
        <v/>
      </c>
      <c r="W470">
        <f>ROUND(CX470*I470,0)</f>
        <v/>
      </c>
      <c r="X470">
        <f>ROUND(CY470,0)</f>
        <v/>
      </c>
      <c r="Y470">
        <f>ROUND(CZ470,0)</f>
        <v/>
      </c>
      <c r="AA470" t="n">
        <v>78869116</v>
      </c>
      <c r="AB470">
        <f>ROUND((AC470+AD470+AF470),2)</f>
        <v/>
      </c>
      <c r="AC470">
        <f>ROUND((ES470),2)</f>
        <v/>
      </c>
      <c r="AD470">
        <f>ROUND((((ET470)-(EU470))+AE470),2)</f>
        <v/>
      </c>
      <c r="AE470">
        <f>ROUND((EU470),2)</f>
        <v/>
      </c>
      <c r="AF470">
        <f>ROUND((EV470),2)</f>
        <v/>
      </c>
      <c r="AG470">
        <f>ROUND((AP470),2)</f>
        <v/>
      </c>
      <c r="AH470">
        <f>(EW470)</f>
        <v/>
      </c>
      <c r="AI470">
        <f>(EX470)</f>
        <v/>
      </c>
      <c r="AJ470">
        <f>(AS470)</f>
        <v/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  <c r="AS470" t="n">
        <v>0</v>
      </c>
      <c r="AT470" t="n">
        <v>103</v>
      </c>
      <c r="AU470" t="n">
        <v>52</v>
      </c>
      <c r="AV470" t="n">
        <v>1</v>
      </c>
      <c r="AW470" t="n">
        <v>1</v>
      </c>
      <c r="AZ470" t="n">
        <v>1</v>
      </c>
      <c r="BA470" t="n">
        <v>1</v>
      </c>
      <c r="BB470" t="n">
        <v>1</v>
      </c>
      <c r="BC470" t="n">
        <v>1</v>
      </c>
      <c r="BD470" t="inlineStr"/>
      <c r="BE470" t="inlineStr"/>
      <c r="BF470" t="inlineStr"/>
      <c r="BG470" t="inlineStr"/>
      <c r="BH470" t="n">
        <v>3</v>
      </c>
      <c r="BI470" t="n">
        <v>1</v>
      </c>
      <c r="BJ470" t="inlineStr">
        <is>
          <t>ТССЦ Московской обл., 509-9899, приказ Минстроя России №675/пр от 28.02.2017 № 258/пр</t>
        </is>
      </c>
      <c r="BM470" t="n">
        <v>65007</v>
      </c>
      <c r="BN470" t="n">
        <v>0</v>
      </c>
      <c r="BO470" t="inlineStr"/>
      <c r="BP470" t="n">
        <v>0</v>
      </c>
      <c r="BQ470" t="n">
        <v>6</v>
      </c>
      <c r="BR470" t="n">
        <v>0</v>
      </c>
      <c r="BS470" t="n">
        <v>1</v>
      </c>
      <c r="BT470" t="n">
        <v>1</v>
      </c>
      <c r="BU470" t="n">
        <v>1</v>
      </c>
      <c r="BV470" t="n">
        <v>1</v>
      </c>
      <c r="BW470" t="n">
        <v>1</v>
      </c>
      <c r="BX470" t="n">
        <v>1</v>
      </c>
      <c r="BY470" t="inlineStr"/>
      <c r="BZ470" t="n">
        <v>103</v>
      </c>
      <c r="CA470" t="n">
        <v>52</v>
      </c>
      <c r="CB470" t="inlineStr"/>
      <c r="CE470" t="n">
        <v>12</v>
      </c>
      <c r="CF470" t="n">
        <v>0</v>
      </c>
      <c r="CG470" t="n">
        <v>0</v>
      </c>
      <c r="CM470" t="n">
        <v>0</v>
      </c>
      <c r="CN470" t="inlineStr"/>
      <c r="CO470" t="n">
        <v>0</v>
      </c>
      <c r="CP470">
        <f>(P470+Q470+S470)</f>
        <v/>
      </c>
      <c r="CQ470">
        <f>AC470*BC470</f>
        <v/>
      </c>
      <c r="CR470">
        <f>(ROUND((ROUND(((ET470)*1),0)*BB470),0)+ROUND((ROUND(((AE470-(EU470))*1),0)*BS470),0))</f>
        <v/>
      </c>
      <c r="CS470">
        <f>(ROUND((ROUND(((EU470)*1),0)*BS470),0)+ROUND((ROUND(((AE470-(EU470))*1),0)*BS470),0))</f>
        <v/>
      </c>
      <c r="CT470">
        <f>AF470*BA470</f>
        <v/>
      </c>
      <c r="CU470">
        <f>AG470</f>
        <v/>
      </c>
      <c r="CV470">
        <f>AH470</f>
        <v/>
      </c>
      <c r="CW470">
        <f>AI470</f>
        <v/>
      </c>
      <c r="CX470">
        <f>AJ470</f>
        <v/>
      </c>
      <c r="CY470">
        <f>(((S470+R470)*AT470)/100)</f>
        <v/>
      </c>
      <c r="CZ470">
        <f>(((S470+R470)*AU470)/100)</f>
        <v/>
      </c>
      <c r="DC470" t="inlineStr"/>
      <c r="DD470" t="inlineStr"/>
      <c r="DE470" t="inlineStr"/>
      <c r="DF470" t="inlineStr"/>
      <c r="DG470" t="inlineStr"/>
      <c r="DH470" t="inlineStr"/>
      <c r="DI470" t="inlineStr"/>
      <c r="DJ470" t="inlineStr"/>
      <c r="DK470" t="inlineStr"/>
      <c r="DL470" t="inlineStr"/>
      <c r="DM470" t="inlineStr"/>
      <c r="DN470" t="n">
        <v>0</v>
      </c>
      <c r="DO470" t="n">
        <v>0</v>
      </c>
      <c r="DP470" t="n">
        <v>1</v>
      </c>
      <c r="DQ470" t="n">
        <v>1</v>
      </c>
      <c r="DU470" t="n">
        <v>1009</v>
      </c>
      <c r="DV470" t="inlineStr">
        <is>
          <t>т</t>
        </is>
      </c>
      <c r="DW470" t="inlineStr">
        <is>
          <t>т</t>
        </is>
      </c>
      <c r="DX470" t="n">
        <v>1000</v>
      </c>
      <c r="DZ470" t="inlineStr"/>
      <c r="EA470" t="inlineStr"/>
      <c r="EB470" t="inlineStr"/>
      <c r="EC470" t="inlineStr"/>
      <c r="EE470" t="n">
        <v>78726000</v>
      </c>
      <c r="EF470" t="n">
        <v>6</v>
      </c>
      <c r="EG470" t="inlineStr">
        <is>
          <t>Ремонтно-строительные работы</t>
        </is>
      </c>
      <c r="EH470" t="n">
        <v>99</v>
      </c>
      <c r="EI470" t="inlineStr">
        <is>
          <t>Внутренние санитарно-технические работы</t>
        </is>
      </c>
      <c r="EJ470" t="n">
        <v>1</v>
      </c>
      <c r="EK470" t="n">
        <v>65007</v>
      </c>
      <c r="EL470" t="inlineStr">
        <is>
          <t>Внутренние санитарнотехнические работы: смена труб, санприборов, запорной арматуры и другое</t>
        </is>
      </c>
      <c r="EM470" t="inlineStr">
        <is>
          <t>рФЕР-65</t>
        </is>
      </c>
      <c r="EO470" t="inlineStr"/>
      <c r="EQ470" t="n">
        <v>0</v>
      </c>
      <c r="ER470" t="n">
        <v>0</v>
      </c>
      <c r="ES470" t="n">
        <v>0</v>
      </c>
      <c r="ET470" t="n">
        <v>0</v>
      </c>
      <c r="EU470" t="n">
        <v>0</v>
      </c>
      <c r="EV470" t="n">
        <v>0</v>
      </c>
      <c r="EW470" t="n">
        <v>0</v>
      </c>
      <c r="EX470" t="n">
        <v>0</v>
      </c>
      <c r="FQ470" t="n">
        <v>0</v>
      </c>
      <c r="FR470" t="n">
        <v>0</v>
      </c>
      <c r="FS470" t="n">
        <v>0</v>
      </c>
      <c r="FX470" t="n">
        <v>103</v>
      </c>
      <c r="FY470" t="n">
        <v>52</v>
      </c>
      <c r="GA470" t="inlineStr"/>
      <c r="GD470" t="n">
        <v>1</v>
      </c>
      <c r="GF470" t="n">
        <v>1839160745</v>
      </c>
      <c r="GG470" t="n">
        <v>2</v>
      </c>
      <c r="GH470" t="n">
        <v>1</v>
      </c>
      <c r="GI470" t="n">
        <v>-2</v>
      </c>
      <c r="GJ470" t="n">
        <v>0</v>
      </c>
      <c r="GK470" t="n">
        <v>0</v>
      </c>
      <c r="GL470">
        <f>ROUND(IF(AND(BH470=3,BI470=3,FS470&lt;&gt;0),P470,0),0)</f>
        <v/>
      </c>
      <c r="GM470">
        <f>ROUND(O470+X470+Y470,0)+GX470</f>
        <v/>
      </c>
      <c r="GN470">
        <f>IF(OR(BI470=0,BI470=1),GM470-GX470,0)</f>
        <v/>
      </c>
      <c r="GO470">
        <f>IF(BI470=2,GM470-GX470,0)</f>
        <v/>
      </c>
      <c r="GP470">
        <f>IF(BI470=4,GM470-GX470,0)</f>
        <v/>
      </c>
      <c r="GR470" t="n">
        <v>0</v>
      </c>
      <c r="GS470" t="n">
        <v>3</v>
      </c>
      <c r="GT470" t="n">
        <v>0</v>
      </c>
      <c r="GU470" t="inlineStr"/>
      <c r="GV470">
        <f>ROUND((GT470),2)</f>
        <v/>
      </c>
      <c r="GW470" t="n">
        <v>1</v>
      </c>
      <c r="GX470">
        <f>ROUND(HC470*I470,0)</f>
        <v/>
      </c>
      <c r="HA470" t="n">
        <v>0</v>
      </c>
      <c r="HB470" t="n">
        <v>0</v>
      </c>
      <c r="HC470">
        <f>GV470*GW470</f>
        <v/>
      </c>
      <c r="HE470" t="inlineStr"/>
      <c r="HF470" t="inlineStr"/>
      <c r="HM470" t="inlineStr"/>
      <c r="HN470" t="inlineStr">
        <is>
          <t>Пр/812-099.2-1</t>
        </is>
      </c>
      <c r="HO470" t="inlineStr">
        <is>
          <t>Пр/774-099.2</t>
        </is>
      </c>
      <c r="HP470" t="inlineStr">
        <is>
          <t>Внутренние санитарнотехнические работы: смена труб, санприборов, запорной арматуры и другое</t>
        </is>
      </c>
      <c r="HQ470" t="inlineStr">
        <is>
          <t>Внутренние санитарнотехнические работы: смена труб, санприборов, запорной арматуры и другое</t>
        </is>
      </c>
      <c r="HS470" t="n">
        <v>0</v>
      </c>
      <c r="IK470" t="n">
        <v>0</v>
      </c>
    </row>
    <row r="471">
      <c r="A471" t="n">
        <v>18</v>
      </c>
      <c r="B471" t="n">
        <v>0</v>
      </c>
      <c r="C471" t="n">
        <v>225</v>
      </c>
      <c r="E471" t="inlineStr">
        <is>
          <t>1,2</t>
        </is>
      </c>
      <c r="F471" t="inlineStr">
        <is>
          <t>302-0062</t>
        </is>
      </c>
      <c r="G471" t="inlineStr">
        <is>
          <t>Кран шаровый муфтовый Valtec для воды диаметром 15 мм, тип в/в</t>
        </is>
      </c>
      <c r="H471" t="inlineStr">
        <is>
          <t>шт.</t>
        </is>
      </c>
      <c r="I471">
        <f>I469*J471</f>
        <v/>
      </c>
      <c r="J471" t="n">
        <v>100</v>
      </c>
      <c r="K471" t="n">
        <v>100</v>
      </c>
      <c r="O471">
        <f>ROUND(CP471,0)</f>
        <v/>
      </c>
      <c r="P471">
        <f>ROUND(CQ471*I471,0)</f>
        <v/>
      </c>
      <c r="Q471">
        <f>(ROUND((ROUND(((ET471)*I471),0)*BB471),0)+ROUND((ROUND(((AE471-(EU471))*I471),0)*BS471),0))</f>
        <v/>
      </c>
      <c r="R471">
        <f>(ROUND((ROUND(((EU471)*I471),0)*BS471),0)+ROUND((ROUND(((AE471-(EU471))*I471),0)*BS471),0))</f>
        <v/>
      </c>
      <c r="S471">
        <f>ROUND(CT471*I471,0)</f>
        <v/>
      </c>
      <c r="T471">
        <f>ROUND(CU471*I471,0)</f>
        <v/>
      </c>
      <c r="U471">
        <f>ROUND(CV471*I471,7)</f>
        <v/>
      </c>
      <c r="V471">
        <f>ROUND(CW471*I471,7)</f>
        <v/>
      </c>
      <c r="W471">
        <f>ROUND(CX471*I471,0)</f>
        <v/>
      </c>
      <c r="X471">
        <f>ROUND(CY471,0)</f>
        <v/>
      </c>
      <c r="Y471">
        <f>ROUND(CZ471,0)</f>
        <v/>
      </c>
      <c r="AA471" t="n">
        <v>78869116</v>
      </c>
      <c r="AB471">
        <f>ROUND((AC471+AD471+AF471),2)</f>
        <v/>
      </c>
      <c r="AC471">
        <f>ROUND((ES471),2)</f>
        <v/>
      </c>
      <c r="AD471">
        <f>ROUND((((ET471)-(EU471))+AE471),2)</f>
        <v/>
      </c>
      <c r="AE471">
        <f>ROUND((EU471),2)</f>
        <v/>
      </c>
      <c r="AF471">
        <f>ROUND((EV471),2)</f>
        <v/>
      </c>
      <c r="AG471">
        <f>ROUND((AP471),2)</f>
        <v/>
      </c>
      <c r="AH471">
        <f>(EW471)</f>
        <v/>
      </c>
      <c r="AI471">
        <f>(EX471)</f>
        <v/>
      </c>
      <c r="AJ471">
        <f>(AS471)</f>
        <v/>
      </c>
      <c r="AK471" t="n">
        <v>28.53</v>
      </c>
      <c r="AL471" t="n">
        <v>28.53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  <c r="AS471" t="n">
        <v>0.01</v>
      </c>
      <c r="AT471" t="n">
        <v>103</v>
      </c>
      <c r="AU471" t="n">
        <v>52</v>
      </c>
      <c r="AV471" t="n">
        <v>1</v>
      </c>
      <c r="AW471" t="n">
        <v>1</v>
      </c>
      <c r="AZ471" t="n">
        <v>1</v>
      </c>
      <c r="BA471" t="n">
        <v>1</v>
      </c>
      <c r="BB471" t="n">
        <v>1</v>
      </c>
      <c r="BC471" t="n">
        <v>13.47</v>
      </c>
      <c r="BD471" t="inlineStr"/>
      <c r="BE471" t="inlineStr"/>
      <c r="BF471" t="inlineStr"/>
      <c r="BG471" t="inlineStr"/>
      <c r="BH471" t="n">
        <v>3</v>
      </c>
      <c r="BI471" t="n">
        <v>1</v>
      </c>
      <c r="BJ471" t="inlineStr">
        <is>
          <t>ТССЦ Московской обл., 302-0062, приказ Минстроя России №675/пр от 28.02.2017 № 256/пр</t>
        </is>
      </c>
      <c r="BM471" t="n">
        <v>65007</v>
      </c>
      <c r="BN471" t="n">
        <v>0</v>
      </c>
      <c r="BO471" t="inlineStr">
        <is>
          <t>302-0062</t>
        </is>
      </c>
      <c r="BP471" t="n">
        <v>1</v>
      </c>
      <c r="BQ471" t="n">
        <v>6</v>
      </c>
      <c r="BR471" t="n">
        <v>0</v>
      </c>
      <c r="BS471" t="n">
        <v>1</v>
      </c>
      <c r="BT471" t="n">
        <v>1</v>
      </c>
      <c r="BU471" t="n">
        <v>1</v>
      </c>
      <c r="BV471" t="n">
        <v>1</v>
      </c>
      <c r="BW471" t="n">
        <v>1</v>
      </c>
      <c r="BX471" t="n">
        <v>1</v>
      </c>
      <c r="BY471" t="inlineStr"/>
      <c r="BZ471" t="n">
        <v>103</v>
      </c>
      <c r="CA471" t="n">
        <v>52</v>
      </c>
      <c r="CB471" t="inlineStr"/>
      <c r="CE471" t="n">
        <v>12</v>
      </c>
      <c r="CF471" t="n">
        <v>0</v>
      </c>
      <c r="CG471" t="n">
        <v>0</v>
      </c>
      <c r="CM471" t="n">
        <v>0</v>
      </c>
      <c r="CN471" t="inlineStr"/>
      <c r="CO471" t="n">
        <v>0</v>
      </c>
      <c r="CP471">
        <f>(P471+Q471+S471)</f>
        <v/>
      </c>
      <c r="CQ471">
        <f>AC471*BC471</f>
        <v/>
      </c>
      <c r="CR471">
        <f>(ROUND((ROUND(((ET471)*1),0)*BB471),0)+ROUND((ROUND(((AE471-(EU471))*1),0)*BS471),0))</f>
        <v/>
      </c>
      <c r="CS471">
        <f>(ROUND((ROUND(((EU471)*1),0)*BS471),0)+ROUND((ROUND(((AE471-(EU471))*1),0)*BS471),0))</f>
        <v/>
      </c>
      <c r="CT471">
        <f>AF471*BA471</f>
        <v/>
      </c>
      <c r="CU471">
        <f>AG471</f>
        <v/>
      </c>
      <c r="CV471">
        <f>AH471</f>
        <v/>
      </c>
      <c r="CW471">
        <f>AI471</f>
        <v/>
      </c>
      <c r="CX471">
        <f>AJ471</f>
        <v/>
      </c>
      <c r="CY471">
        <f>(((S471+R471)*AT471)/100)</f>
        <v/>
      </c>
      <c r="CZ471">
        <f>(((S471+R471)*AU471)/100)</f>
        <v/>
      </c>
      <c r="DC471" t="inlineStr"/>
      <c r="DD471" t="inlineStr"/>
      <c r="DE471" t="inlineStr"/>
      <c r="DF471" t="inlineStr"/>
      <c r="DG471" t="inlineStr"/>
      <c r="DH471" t="inlineStr"/>
      <c r="DI471" t="inlineStr"/>
      <c r="DJ471" t="inlineStr"/>
      <c r="DK471" t="inlineStr"/>
      <c r="DL471" t="inlineStr"/>
      <c r="DM471" t="inlineStr"/>
      <c r="DN471" t="n">
        <v>0</v>
      </c>
      <c r="DO471" t="n">
        <v>0</v>
      </c>
      <c r="DP471" t="n">
        <v>1</v>
      </c>
      <c r="DQ471" t="n">
        <v>1</v>
      </c>
      <c r="DU471" t="n">
        <v>1010</v>
      </c>
      <c r="DV471" t="inlineStr">
        <is>
          <t>шт.</t>
        </is>
      </c>
      <c r="DW471" t="inlineStr">
        <is>
          <t>шт.</t>
        </is>
      </c>
      <c r="DX471" t="n">
        <v>1</v>
      </c>
      <c r="DZ471" t="inlineStr"/>
      <c r="EA471" t="inlineStr"/>
      <c r="EB471" t="inlineStr"/>
      <c r="EC471" t="inlineStr"/>
      <c r="EE471" t="n">
        <v>78726000</v>
      </c>
      <c r="EF471" t="n">
        <v>6</v>
      </c>
      <c r="EG471" t="inlineStr">
        <is>
          <t>Ремонтно-строительные работы</t>
        </is>
      </c>
      <c r="EH471" t="n">
        <v>99</v>
      </c>
      <c r="EI471" t="inlineStr">
        <is>
          <t>Внутренние санитарно-технические работы</t>
        </is>
      </c>
      <c r="EJ471" t="n">
        <v>1</v>
      </c>
      <c r="EK471" t="n">
        <v>65007</v>
      </c>
      <c r="EL471" t="inlineStr">
        <is>
          <t>Внутренние санитарнотехнические работы: смена труб, санприборов, запорной арматуры и другое</t>
        </is>
      </c>
      <c r="EM471" t="inlineStr">
        <is>
          <t>рФЕР-65</t>
        </is>
      </c>
      <c r="EO471" t="inlineStr"/>
      <c r="EQ471" t="n">
        <v>0</v>
      </c>
      <c r="ER471" t="n">
        <v>28.53</v>
      </c>
      <c r="ES471" t="n">
        <v>28.53</v>
      </c>
      <c r="ET471" t="n">
        <v>0</v>
      </c>
      <c r="EU471" t="n">
        <v>0</v>
      </c>
      <c r="EV471" t="n">
        <v>0</v>
      </c>
      <c r="EW471" t="n">
        <v>0</v>
      </c>
      <c r="EX471" t="n">
        <v>0</v>
      </c>
      <c r="FQ471" t="n">
        <v>0</v>
      </c>
      <c r="FR471" t="n">
        <v>0</v>
      </c>
      <c r="FS471" t="n">
        <v>0</v>
      </c>
      <c r="FX471" t="n">
        <v>103</v>
      </c>
      <c r="FY471" t="n">
        <v>52</v>
      </c>
      <c r="GA471" t="inlineStr"/>
      <c r="GD471" t="n">
        <v>1</v>
      </c>
      <c r="GF471" t="n">
        <v>-1687406522</v>
      </c>
      <c r="GG471" t="n">
        <v>2</v>
      </c>
      <c r="GH471" t="n">
        <v>1</v>
      </c>
      <c r="GI471" t="n">
        <v>2</v>
      </c>
      <c r="GJ471" t="n">
        <v>0</v>
      </c>
      <c r="GK471" t="n">
        <v>0</v>
      </c>
      <c r="GL471">
        <f>ROUND(IF(AND(BH471=3,BI471=3,FS471&lt;&gt;0),P471,0),0)</f>
        <v/>
      </c>
      <c r="GM471">
        <f>ROUND(O471+X471+Y471,0)+GX471</f>
        <v/>
      </c>
      <c r="GN471">
        <f>IF(OR(BI471=0,BI471=1),GM471-GX471,0)</f>
        <v/>
      </c>
      <c r="GO471">
        <f>IF(BI471=2,GM471-GX471,0)</f>
        <v/>
      </c>
      <c r="GP471">
        <f>IF(BI471=4,GM471-GX471,0)</f>
        <v/>
      </c>
      <c r="GR471" t="n">
        <v>0</v>
      </c>
      <c r="GS471" t="n">
        <v>3</v>
      </c>
      <c r="GT471" t="n">
        <v>0</v>
      </c>
      <c r="GU471" t="inlineStr"/>
      <c r="GV471">
        <f>ROUND((GT471),2)</f>
        <v/>
      </c>
      <c r="GW471" t="n">
        <v>1</v>
      </c>
      <c r="GX471">
        <f>ROUND(HC471*I471,0)</f>
        <v/>
      </c>
      <c r="HA471" t="n">
        <v>0</v>
      </c>
      <c r="HB471" t="n">
        <v>0</v>
      </c>
      <c r="HC471">
        <f>GV471*GW471</f>
        <v/>
      </c>
      <c r="HE471" t="inlineStr"/>
      <c r="HF471" t="inlineStr"/>
      <c r="HM471" t="inlineStr"/>
      <c r="HN471" t="inlineStr">
        <is>
          <t>Пр/812-099.2-1</t>
        </is>
      </c>
      <c r="HO471" t="inlineStr">
        <is>
          <t>Пр/774-099.2</t>
        </is>
      </c>
      <c r="HP471" t="inlineStr">
        <is>
          <t>Внутренние санитарнотехнические работы: смена труб, санприборов, запорной арматуры и другое</t>
        </is>
      </c>
      <c r="HQ471" t="inlineStr">
        <is>
          <t>Внутренние санитарнотехнические работы: смена труб, санприборов, запорной арматуры и другое</t>
        </is>
      </c>
      <c r="HS471" t="n">
        <v>0</v>
      </c>
      <c r="IK471" t="n">
        <v>0</v>
      </c>
    </row>
    <row r="472">
      <c r="A472" t="n">
        <v>17</v>
      </c>
      <c r="B472" t="n">
        <v>0</v>
      </c>
      <c r="C472">
        <f>ROW(SmtRes!A233)</f>
        <v/>
      </c>
      <c r="D472">
        <f>ROW(EtalonRes!A216)</f>
        <v/>
      </c>
      <c r="E472" t="inlineStr">
        <is>
          <t>2</t>
        </is>
      </c>
      <c r="F472" t="inlineStr">
        <is>
          <t>16-07-005-1</t>
        </is>
      </c>
      <c r="G4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72" t="inlineStr">
        <is>
          <t>100 м трубопровода</t>
        </is>
      </c>
      <c r="I472">
        <f>ROUND(ROUND(60/100,4),7)</f>
        <v/>
      </c>
      <c r="J472" t="n">
        <v>0</v>
      </c>
      <c r="K472">
        <f>ROUND(ROUND(60/100,4),7)</f>
        <v/>
      </c>
      <c r="O472">
        <f>ROUND(CP472,0)</f>
        <v/>
      </c>
      <c r="P472">
        <f>ROUND(CQ472*I472,0)</f>
        <v/>
      </c>
      <c r="Q472">
        <f>(ROUND((ROUND((((ET472*ROUND(8,7)))*I472),0)*BB472),0)+ROUND((ROUND(((AE472-((EU472*ROUND(8,7))))*I472),0)*BS472),0))</f>
        <v/>
      </c>
      <c r="R472">
        <f>(ROUND((ROUND((((EU472*ROUND(8,7)))*I472),0)*BS472),0)+ROUND((ROUND(((AE472-((EU472*ROUND(8,7))))*I472),0)*BS472),0))</f>
        <v/>
      </c>
      <c r="S472">
        <f>ROUND(CT472*I472,0)</f>
        <v/>
      </c>
      <c r="T472">
        <f>ROUND(CU472*I472,0)</f>
        <v/>
      </c>
      <c r="U472">
        <f>ROUND(CV472*I472,7)</f>
        <v/>
      </c>
      <c r="V472">
        <f>ROUND(CW472*I472,7)</f>
        <v/>
      </c>
      <c r="W472">
        <f>ROUND(CX472*I472,0)</f>
        <v/>
      </c>
      <c r="X472">
        <f>ROUND(CY472,0)</f>
        <v/>
      </c>
      <c r="Y472">
        <f>ROUND(CZ472,0)</f>
        <v/>
      </c>
      <c r="AA472" t="n">
        <v>78869116</v>
      </c>
      <c r="AB472">
        <f>ROUND((AC472+AD472+AF472),2)</f>
        <v/>
      </c>
      <c r="AC472">
        <f>ROUND(((ES472*ROUND(8,7))),2)</f>
        <v/>
      </c>
      <c r="AD472">
        <f>ROUND(((((ET472*ROUND(8,7)))-((EU472*ROUND(8,7))))+AE472),2)</f>
        <v/>
      </c>
      <c r="AE472">
        <f>ROUND(((EU472*ROUND(8,7))),2)</f>
        <v/>
      </c>
      <c r="AF472">
        <f>ROUND(((EV472*ROUND(8,7))),2)</f>
        <v/>
      </c>
      <c r="AG472">
        <f>ROUND((AP472),2)</f>
        <v/>
      </c>
      <c r="AH472">
        <f>((EW472*ROUND(8,7)))</f>
        <v/>
      </c>
      <c r="AI472">
        <f>((EX472*ROUND(8,7)))</f>
        <v/>
      </c>
      <c r="AJ472">
        <f>(AS472)</f>
        <v/>
      </c>
      <c r="AK472" t="n">
        <v>107.11</v>
      </c>
      <c r="AL472" t="n">
        <v>4.28</v>
      </c>
      <c r="AM472" t="n">
        <v>44.51</v>
      </c>
      <c r="AN472" t="n">
        <v>0</v>
      </c>
      <c r="AO472" t="n">
        <v>58.32</v>
      </c>
      <c r="AP472" t="n">
        <v>0</v>
      </c>
      <c r="AQ472" t="n">
        <v>5.01</v>
      </c>
      <c r="AR472" t="n">
        <v>0</v>
      </c>
      <c r="AS472" t="n">
        <v>0</v>
      </c>
      <c r="AT472" t="n">
        <v>121</v>
      </c>
      <c r="AU472" t="n">
        <v>72</v>
      </c>
      <c r="AV472" t="n">
        <v>1</v>
      </c>
      <c r="AW472" t="n">
        <v>1</v>
      </c>
      <c r="AZ472" t="n">
        <v>1</v>
      </c>
      <c r="BA472" t="n">
        <v>52.25</v>
      </c>
      <c r="BB472" t="n">
        <v>5.97</v>
      </c>
      <c r="BC472" t="n">
        <v>11.38</v>
      </c>
      <c r="BD472" t="inlineStr"/>
      <c r="BE472" t="inlineStr"/>
      <c r="BF472" t="inlineStr"/>
      <c r="BG472" t="inlineStr"/>
      <c r="BH472" t="n">
        <v>0</v>
      </c>
      <c r="BI472" t="n">
        <v>1</v>
      </c>
      <c r="BJ472" t="inlineStr">
        <is>
          <t>ТЕР Московской обл., 16-07-005-1, приказ Минстроя России №675/пр от 28.02.2017 № 260/пр</t>
        </is>
      </c>
      <c r="BM472" t="n">
        <v>16001</v>
      </c>
      <c r="BN472" t="n">
        <v>0</v>
      </c>
      <c r="BO472" t="inlineStr">
        <is>
          <t>16-07-005-1</t>
        </is>
      </c>
      <c r="BP472" t="n">
        <v>1</v>
      </c>
      <c r="BQ472" t="n">
        <v>2</v>
      </c>
      <c r="BR472" t="n">
        <v>0</v>
      </c>
      <c r="BS472" t="n">
        <v>52.25</v>
      </c>
      <c r="BT472" t="n">
        <v>1</v>
      </c>
      <c r="BU472" t="n">
        <v>1</v>
      </c>
      <c r="BV472" t="n">
        <v>1</v>
      </c>
      <c r="BW472" t="n">
        <v>1</v>
      </c>
      <c r="BX472" t="n">
        <v>1</v>
      </c>
      <c r="BY472" t="inlineStr"/>
      <c r="BZ472" t="n">
        <v>121</v>
      </c>
      <c r="CA472" t="n">
        <v>72</v>
      </c>
      <c r="CB472" t="inlineStr"/>
      <c r="CE472" t="n">
        <v>12</v>
      </c>
      <c r="CF472" t="n">
        <v>0</v>
      </c>
      <c r="CG472" t="n">
        <v>0</v>
      </c>
      <c r="CM472" t="n">
        <v>0</v>
      </c>
      <c r="CN472" t="inlineStr"/>
      <c r="CO472" t="n">
        <v>0</v>
      </c>
      <c r="CP472">
        <f>(P472+Q472+S472)</f>
        <v/>
      </c>
      <c r="CQ472">
        <f>AC472*BC472</f>
        <v/>
      </c>
      <c r="CR472">
        <f>(ROUND((ROUND((((ET472*ROUND(8,7)))*1),0)*BB472),0)+ROUND((ROUND(((AE472-((EU472*ROUND(8,7))))*1),0)*BS472),0))</f>
        <v/>
      </c>
      <c r="CS472">
        <f>(ROUND((ROUND((((EU472*ROUND(8,7)))*1),0)*BS472),0)+ROUND((ROUND(((AE472-((EU472*ROUND(8,7))))*1),0)*BS472),0))</f>
        <v/>
      </c>
      <c r="CT472">
        <f>AF472*BA472</f>
        <v/>
      </c>
      <c r="CU472">
        <f>AG472</f>
        <v/>
      </c>
      <c r="CV472">
        <f>AH472</f>
        <v/>
      </c>
      <c r="CW472">
        <f>AI472</f>
        <v/>
      </c>
      <c r="CX472">
        <f>AJ472</f>
        <v/>
      </c>
      <c r="CY472">
        <f>(((S472+R472)*AT472)/100)</f>
        <v/>
      </c>
      <c r="CZ472">
        <f>(((S472+R472)*AU472)/100)</f>
        <v/>
      </c>
      <c r="DC472" t="inlineStr"/>
      <c r="DD472" t="inlineStr">
        <is>
          <t>)*8</t>
        </is>
      </c>
      <c r="DE472" t="inlineStr">
        <is>
          <t>)*8</t>
        </is>
      </c>
      <c r="DF472" t="inlineStr">
        <is>
          <t>)*8</t>
        </is>
      </c>
      <c r="DG472" t="inlineStr">
        <is>
          <t>)*8</t>
        </is>
      </c>
      <c r="DH472" t="inlineStr"/>
      <c r="DI472" t="inlineStr">
        <is>
          <t>)*8</t>
        </is>
      </c>
      <c r="DJ472" t="inlineStr">
        <is>
          <t>)*8</t>
        </is>
      </c>
      <c r="DK472" t="inlineStr"/>
      <c r="DL472" t="inlineStr"/>
      <c r="DM472" t="inlineStr"/>
      <c r="DN472" t="n">
        <v>0</v>
      </c>
      <c r="DO472" t="n">
        <v>0</v>
      </c>
      <c r="DP472" t="n">
        <v>1</v>
      </c>
      <c r="DQ472" t="n">
        <v>1</v>
      </c>
      <c r="DU472" t="n">
        <v>1013</v>
      </c>
      <c r="DV472" t="inlineStr">
        <is>
          <t>100 м трубопровода</t>
        </is>
      </c>
      <c r="DW472" t="inlineStr">
        <is>
          <t>100 м трубопровода</t>
        </is>
      </c>
      <c r="DX472" t="n">
        <v>1</v>
      </c>
      <c r="DZ472" t="inlineStr"/>
      <c r="EA472" t="inlineStr"/>
      <c r="EB472" t="inlineStr"/>
      <c r="EC472" t="inlineStr"/>
      <c r="EE472" t="n">
        <v>78725882</v>
      </c>
      <c r="EF472" t="n">
        <v>2</v>
      </c>
      <c r="EG472" t="inlineStr">
        <is>
          <t>Общестроительные работы</t>
        </is>
      </c>
      <c r="EH472" t="n">
        <v>16</v>
      </c>
      <c r="EI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72" t="n">
        <v>1</v>
      </c>
      <c r="EK472" t="n">
        <v>16001</v>
      </c>
      <c r="EL472" t="inlineStr">
        <is>
          <t>Трубопроводы внутренние</t>
        </is>
      </c>
      <c r="EM472" t="inlineStr">
        <is>
          <t>ФЕР-16</t>
        </is>
      </c>
      <c r="EO472" t="inlineStr"/>
      <c r="EQ472" t="n">
        <v>0</v>
      </c>
      <c r="ER472" t="n">
        <v>107.11</v>
      </c>
      <c r="ES472" t="n">
        <v>4.28</v>
      </c>
      <c r="ET472" t="n">
        <v>44.51</v>
      </c>
      <c r="EU472" t="n">
        <v>0</v>
      </c>
      <c r="EV472" t="n">
        <v>58.32</v>
      </c>
      <c r="EW472" t="n">
        <v>5.01</v>
      </c>
      <c r="EX472" t="n">
        <v>0</v>
      </c>
      <c r="EY472" t="n">
        <v>0</v>
      </c>
      <c r="FQ472" t="n">
        <v>0</v>
      </c>
      <c r="FR472" t="n">
        <v>0</v>
      </c>
      <c r="FS472" t="n">
        <v>0</v>
      </c>
      <c r="FX472" t="n">
        <v>121</v>
      </c>
      <c r="FY472" t="n">
        <v>72</v>
      </c>
      <c r="GA472" t="inlineStr"/>
      <c r="GD472" t="n">
        <v>1</v>
      </c>
      <c r="GF472" t="n">
        <v>635989612</v>
      </c>
      <c r="GG472" t="n">
        <v>2</v>
      </c>
      <c r="GH472" t="n">
        <v>1</v>
      </c>
      <c r="GI472" t="n">
        <v>2</v>
      </c>
      <c r="GJ472" t="n">
        <v>0</v>
      </c>
      <c r="GK472" t="n">
        <v>0</v>
      </c>
      <c r="GL472">
        <f>ROUND(IF(AND(BH472=3,BI472=3,FS472&lt;&gt;0),P472,0),0)</f>
        <v/>
      </c>
      <c r="GM472">
        <f>ROUND(O472+X472+Y472,0)+GX472</f>
        <v/>
      </c>
      <c r="GN472">
        <f>IF(OR(BI472=0,BI472=1),GM472-GX472,0)</f>
        <v/>
      </c>
      <c r="GO472">
        <f>IF(BI472=2,GM472-GX472,0)</f>
        <v/>
      </c>
      <c r="GP472">
        <f>IF(BI472=4,GM472-GX472,0)</f>
        <v/>
      </c>
      <c r="GR472" t="n">
        <v>0</v>
      </c>
      <c r="GS472" t="n">
        <v>3</v>
      </c>
      <c r="GT472" t="n">
        <v>0</v>
      </c>
      <c r="GU472" t="inlineStr"/>
      <c r="GV472">
        <f>ROUND((GT472),2)</f>
        <v/>
      </c>
      <c r="GW472" t="n">
        <v>1</v>
      </c>
      <c r="GX472">
        <f>ROUND(HC472*I472,0)</f>
        <v/>
      </c>
      <c r="HA472" t="n">
        <v>0</v>
      </c>
      <c r="HB472" t="n">
        <v>0</v>
      </c>
      <c r="HC472">
        <f>GV472*GW472</f>
        <v/>
      </c>
      <c r="HE472" t="inlineStr"/>
      <c r="HF472" t="inlineStr"/>
      <c r="HM472" t="inlineStr"/>
      <c r="HN472" t="inlineStr">
        <is>
          <t>Пр/812-016.0-1</t>
        </is>
      </c>
      <c r="HO472" t="inlineStr">
        <is>
          <t>Пр/774-016.0</t>
        </is>
      </c>
      <c r="HP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72" t="n">
        <v>0</v>
      </c>
      <c r="IK472" t="n">
        <v>0</v>
      </c>
    </row>
    <row r="473">
      <c r="A473" t="n">
        <v>17</v>
      </c>
      <c r="B473" t="n">
        <v>0</v>
      </c>
      <c r="C473">
        <f>ROW(SmtRes!A238)</f>
        <v/>
      </c>
      <c r="D473">
        <f>ROW(EtalonRes!A221)</f>
        <v/>
      </c>
      <c r="E473" t="inlineStr">
        <is>
          <t>3</t>
        </is>
      </c>
      <c r="F473" t="inlineStr">
        <is>
          <t>65-10-1</t>
        </is>
      </c>
      <c r="G473" t="inlineStr">
        <is>
          <t>Очистка канализационной сети внутренней</t>
        </is>
      </c>
      <c r="H473" t="inlineStr">
        <is>
          <t>100 м трубопровода</t>
        </is>
      </c>
      <c r="I473">
        <f>ROUND(ROUND(60/100,4),7)</f>
        <v/>
      </c>
      <c r="J473" t="n">
        <v>0</v>
      </c>
      <c r="K473">
        <f>ROUND(ROUND(60/100,4),7)</f>
        <v/>
      </c>
      <c r="O473">
        <f>ROUND(CP473,0)</f>
        <v/>
      </c>
      <c r="P473">
        <f>ROUND(CQ473*I473,0)</f>
        <v/>
      </c>
      <c r="Q473">
        <f>(ROUND((ROUND(((ET473)*I473),0)*BB473),0)+ROUND((ROUND(((AE473-(EU473))*I473),0)*BS473),0))</f>
        <v/>
      </c>
      <c r="R473">
        <f>(ROUND((ROUND(((EU473)*I473),0)*BS473),0)+ROUND((ROUND(((AE473-(EU473))*I473),0)*BS473),0))</f>
        <v/>
      </c>
      <c r="S473">
        <f>ROUND(CT473*I473,0)</f>
        <v/>
      </c>
      <c r="T473">
        <f>ROUND(CU473*I473,0)</f>
        <v/>
      </c>
      <c r="U473">
        <f>ROUND(CV473*I473,7)</f>
        <v/>
      </c>
      <c r="V473">
        <f>ROUND(CW473*I473,7)</f>
        <v/>
      </c>
      <c r="W473">
        <f>ROUND(CX473*I473,0)</f>
        <v/>
      </c>
      <c r="X473">
        <f>ROUND(CY473,0)</f>
        <v/>
      </c>
      <c r="Y473">
        <f>ROUND(CZ473,0)</f>
        <v/>
      </c>
      <c r="AA473" t="n">
        <v>78869116</v>
      </c>
      <c r="AB473">
        <f>ROUND((AC473+AD473+AF473),2)</f>
        <v/>
      </c>
      <c r="AC473">
        <f>ROUND((ES473),2)</f>
        <v/>
      </c>
      <c r="AD473">
        <f>ROUND((((ET473)-(EU473))+AE473),2)</f>
        <v/>
      </c>
      <c r="AE473">
        <f>ROUND((EU473),2)</f>
        <v/>
      </c>
      <c r="AF473">
        <f>ROUND((EV473),2)</f>
        <v/>
      </c>
      <c r="AG473">
        <f>ROUND((AP473),2)</f>
        <v/>
      </c>
      <c r="AH473">
        <f>(EW473)</f>
        <v/>
      </c>
      <c r="AI473">
        <f>(EX473)</f>
        <v/>
      </c>
      <c r="AJ473">
        <f>(AS473)</f>
        <v/>
      </c>
      <c r="AK473" t="n">
        <v>403.3</v>
      </c>
      <c r="AL473" t="n">
        <v>139.36</v>
      </c>
      <c r="AM473" t="n">
        <v>0.87</v>
      </c>
      <c r="AN473" t="n">
        <v>0</v>
      </c>
      <c r="AO473" t="n">
        <v>263.07</v>
      </c>
      <c r="AP473" t="n">
        <v>0</v>
      </c>
      <c r="AQ473" t="n">
        <v>32.2</v>
      </c>
      <c r="AR473" t="n">
        <v>0</v>
      </c>
      <c r="AS473" t="n">
        <v>0</v>
      </c>
      <c r="AT473" t="n">
        <v>103</v>
      </c>
      <c r="AU473" t="n">
        <v>52</v>
      </c>
      <c r="AV473" t="n">
        <v>1</v>
      </c>
      <c r="AW473" t="n">
        <v>1</v>
      </c>
      <c r="AZ473" t="n">
        <v>1</v>
      </c>
      <c r="BA473" t="n">
        <v>52.25</v>
      </c>
      <c r="BB473" t="n">
        <v>25.03</v>
      </c>
      <c r="BC473" t="n">
        <v>11.85</v>
      </c>
      <c r="BD473" t="inlineStr"/>
      <c r="BE473" t="inlineStr"/>
      <c r="BF473" t="inlineStr"/>
      <c r="BG473" t="inlineStr"/>
      <c r="BH473" t="n">
        <v>0</v>
      </c>
      <c r="BI473" t="n">
        <v>1</v>
      </c>
      <c r="BJ473" t="inlineStr">
        <is>
          <t>ТЕРр Московской обл., 65-10-1, приказ Минстроя России №675/пр от 28.02.2017 № 263/пр</t>
        </is>
      </c>
      <c r="BM473" t="n">
        <v>65007</v>
      </c>
      <c r="BN473" t="n">
        <v>0</v>
      </c>
      <c r="BO473" t="inlineStr">
        <is>
          <t>65-10-1</t>
        </is>
      </c>
      <c r="BP473" t="n">
        <v>1</v>
      </c>
      <c r="BQ473" t="n">
        <v>6</v>
      </c>
      <c r="BR473" t="n">
        <v>0</v>
      </c>
      <c r="BS473" t="n">
        <v>52.25</v>
      </c>
      <c r="BT473" t="n">
        <v>1</v>
      </c>
      <c r="BU473" t="n">
        <v>1</v>
      </c>
      <c r="BV473" t="n">
        <v>1</v>
      </c>
      <c r="BW473" t="n">
        <v>1</v>
      </c>
      <c r="BX473" t="n">
        <v>1</v>
      </c>
      <c r="BY473" t="inlineStr"/>
      <c r="BZ473" t="n">
        <v>103</v>
      </c>
      <c r="CA473" t="n">
        <v>52</v>
      </c>
      <c r="CB473" t="inlineStr"/>
      <c r="CE473" t="n">
        <v>12</v>
      </c>
      <c r="CF473" t="n">
        <v>0</v>
      </c>
      <c r="CG473" t="n">
        <v>0</v>
      </c>
      <c r="CM473" t="n">
        <v>0</v>
      </c>
      <c r="CN473" t="inlineStr"/>
      <c r="CO473" t="n">
        <v>0</v>
      </c>
      <c r="CP473">
        <f>(P473+Q473+S473)</f>
        <v/>
      </c>
      <c r="CQ473">
        <f>AC473*BC473</f>
        <v/>
      </c>
      <c r="CR473">
        <f>(ROUND((ROUND(((ET473)*1),0)*BB473),0)+ROUND((ROUND(((AE473-(EU473))*1),0)*BS473),0))</f>
        <v/>
      </c>
      <c r="CS473">
        <f>(ROUND((ROUND(((EU473)*1),0)*BS473),0)+ROUND((ROUND(((AE473-(EU473))*1),0)*BS473),0))</f>
        <v/>
      </c>
      <c r="CT473">
        <f>AF473*BA473</f>
        <v/>
      </c>
      <c r="CU473">
        <f>AG473</f>
        <v/>
      </c>
      <c r="CV473">
        <f>AH473</f>
        <v/>
      </c>
      <c r="CW473">
        <f>AI473</f>
        <v/>
      </c>
      <c r="CX473">
        <f>AJ473</f>
        <v/>
      </c>
      <c r="CY473">
        <f>(((S473+R473)*AT473)/100)</f>
        <v/>
      </c>
      <c r="CZ473">
        <f>(((S473+R473)*AU473)/100)</f>
        <v/>
      </c>
      <c r="DC473" t="inlineStr"/>
      <c r="DD473" t="inlineStr"/>
      <c r="DE473" t="inlineStr"/>
      <c r="DF473" t="inlineStr"/>
      <c r="DG473" t="inlineStr"/>
      <c r="DH473" t="inlineStr"/>
      <c r="DI473" t="inlineStr"/>
      <c r="DJ473" t="inlineStr"/>
      <c r="DK473" t="inlineStr"/>
      <c r="DL473" t="inlineStr"/>
      <c r="DM473" t="inlineStr"/>
      <c r="DN473" t="n">
        <v>0</v>
      </c>
      <c r="DO473" t="n">
        <v>0</v>
      </c>
      <c r="DP473" t="n">
        <v>1</v>
      </c>
      <c r="DQ473" t="n">
        <v>1</v>
      </c>
      <c r="DU473" t="n">
        <v>1013</v>
      </c>
      <c r="DV473" t="inlineStr">
        <is>
          <t>100 м трубопровода</t>
        </is>
      </c>
      <c r="DW473" t="inlineStr">
        <is>
          <t>100 м трубопровода</t>
        </is>
      </c>
      <c r="DX473" t="n">
        <v>1</v>
      </c>
      <c r="DZ473" t="inlineStr"/>
      <c r="EA473" t="inlineStr"/>
      <c r="EB473" t="inlineStr"/>
      <c r="EC473" t="inlineStr"/>
      <c r="EE473" t="n">
        <v>78726000</v>
      </c>
      <c r="EF473" t="n">
        <v>6</v>
      </c>
      <c r="EG473" t="inlineStr">
        <is>
          <t>Ремонтно-строительные работы</t>
        </is>
      </c>
      <c r="EH473" t="n">
        <v>99</v>
      </c>
      <c r="EI473" t="inlineStr">
        <is>
          <t>Внутренние санитарно-технические работы</t>
        </is>
      </c>
      <c r="EJ473" t="n">
        <v>1</v>
      </c>
      <c r="EK473" t="n">
        <v>65007</v>
      </c>
      <c r="EL473" t="inlineStr">
        <is>
          <t>Внутренние санитарнотехнические работы: смена труб, санприборов, запорной арматуры и другое</t>
        </is>
      </c>
      <c r="EM473" t="inlineStr">
        <is>
          <t>рФЕР-65</t>
        </is>
      </c>
      <c r="EO473" t="inlineStr"/>
      <c r="EQ473" t="n">
        <v>0</v>
      </c>
      <c r="ER473" t="n">
        <v>403.3</v>
      </c>
      <c r="ES473" t="n">
        <v>139.36</v>
      </c>
      <c r="ET473" t="n">
        <v>0.87</v>
      </c>
      <c r="EU473" t="n">
        <v>0</v>
      </c>
      <c r="EV473" t="n">
        <v>263.07</v>
      </c>
      <c r="EW473" t="n">
        <v>32.2</v>
      </c>
      <c r="EX473" t="n">
        <v>0</v>
      </c>
      <c r="EY473" t="n">
        <v>0</v>
      </c>
      <c r="FQ473" t="n">
        <v>0</v>
      </c>
      <c r="FR473" t="n">
        <v>0</v>
      </c>
      <c r="FS473" t="n">
        <v>0</v>
      </c>
      <c r="FX473" t="n">
        <v>103</v>
      </c>
      <c r="FY473" t="n">
        <v>52</v>
      </c>
      <c r="GA473" t="inlineStr"/>
      <c r="GD473" t="n">
        <v>1</v>
      </c>
      <c r="GF473" t="n">
        <v>-66904957</v>
      </c>
      <c r="GG473" t="n">
        <v>2</v>
      </c>
      <c r="GH473" t="n">
        <v>1</v>
      </c>
      <c r="GI473" t="n">
        <v>2</v>
      </c>
      <c r="GJ473" t="n">
        <v>0</v>
      </c>
      <c r="GK473" t="n">
        <v>0</v>
      </c>
      <c r="GL473">
        <f>ROUND(IF(AND(BH473=3,BI473=3,FS473&lt;&gt;0),P473,0),0)</f>
        <v/>
      </c>
      <c r="GM473">
        <f>ROUND(O473+X473+Y473,0)+GX473</f>
        <v/>
      </c>
      <c r="GN473">
        <f>IF(OR(BI473=0,BI473=1),GM473-GX473,0)</f>
        <v/>
      </c>
      <c r="GO473">
        <f>IF(BI473=2,GM473-GX473,0)</f>
        <v/>
      </c>
      <c r="GP473">
        <f>IF(BI473=4,GM473-GX473,0)</f>
        <v/>
      </c>
      <c r="GR473" t="n">
        <v>0</v>
      </c>
      <c r="GS473" t="n">
        <v>3</v>
      </c>
      <c r="GT473" t="n">
        <v>0</v>
      </c>
      <c r="GU473" t="inlineStr"/>
      <c r="GV473">
        <f>ROUND((GT473),2)</f>
        <v/>
      </c>
      <c r="GW473" t="n">
        <v>1</v>
      </c>
      <c r="GX473">
        <f>ROUND(HC473*I473,0)</f>
        <v/>
      </c>
      <c r="HA473" t="n">
        <v>0</v>
      </c>
      <c r="HB473" t="n">
        <v>0</v>
      </c>
      <c r="HC473">
        <f>GV473*GW473</f>
        <v/>
      </c>
      <c r="HE473" t="inlineStr"/>
      <c r="HF473" t="inlineStr"/>
      <c r="HM473" t="inlineStr"/>
      <c r="HN473" t="inlineStr">
        <is>
          <t>Пр/812-099.2-1</t>
        </is>
      </c>
      <c r="HO473" t="inlineStr">
        <is>
          <t>Пр/774-099.2</t>
        </is>
      </c>
      <c r="HP473" t="inlineStr">
        <is>
          <t>Внутренние санитарнотехнические работы: смена труб, санприборов, запорной арматуры и другое</t>
        </is>
      </c>
      <c r="HQ473" t="inlineStr">
        <is>
          <t>Внутренние санитарнотехнические работы: смена труб, санприборов, запорной арматуры и другое</t>
        </is>
      </c>
      <c r="HS473" t="n">
        <v>0</v>
      </c>
      <c r="IK473" t="n">
        <v>0</v>
      </c>
    </row>
    <row r="474">
      <c r="A474" t="n">
        <v>17</v>
      </c>
      <c r="B474" t="n">
        <v>0</v>
      </c>
      <c r="C474">
        <f>ROW(SmtRes!A241)</f>
        <v/>
      </c>
      <c r="D474">
        <f>ROW(EtalonRes!A223)</f>
        <v/>
      </c>
      <c r="E474" t="inlineStr">
        <is>
          <t>4</t>
        </is>
      </c>
      <c r="F474" t="inlineStr">
        <is>
          <t>67-5-2</t>
        </is>
      </c>
      <c r="G474" t="inlineStr">
        <is>
          <t>Смена ламп люминесцентных</t>
        </is>
      </c>
      <c r="H474" t="inlineStr">
        <is>
          <t>100 шт.</t>
        </is>
      </c>
      <c r="I474">
        <f>ROUND(ROUND(7/100,4),7)</f>
        <v/>
      </c>
      <c r="J474" t="n">
        <v>0</v>
      </c>
      <c r="K474">
        <f>ROUND(ROUND(7/100,4),7)</f>
        <v/>
      </c>
      <c r="O474">
        <f>ROUND(CP474,0)</f>
        <v/>
      </c>
      <c r="P474">
        <f>ROUND(CQ474*I474,0)</f>
        <v/>
      </c>
      <c r="Q474">
        <f>(ROUND((ROUND(((ET474)*I474),0)*BB474),0)+ROUND((ROUND(((AE474-(EU474))*I474),0)*BS474),0))</f>
        <v/>
      </c>
      <c r="R474">
        <f>(ROUND((ROUND(((EU474)*I474),0)*BS474),0)+ROUND((ROUND(((AE474-(EU474))*I474),0)*BS474),0))</f>
        <v/>
      </c>
      <c r="S474">
        <f>ROUND(CT474*I474,0)</f>
        <v/>
      </c>
      <c r="T474">
        <f>ROUND(CU474*I474,0)</f>
        <v/>
      </c>
      <c r="U474">
        <f>ROUND(CV474*I474,7)</f>
        <v/>
      </c>
      <c r="V474">
        <f>ROUND(CW474*I474,7)</f>
        <v/>
      </c>
      <c r="W474">
        <f>ROUND(CX474*I474,0)</f>
        <v/>
      </c>
      <c r="X474">
        <f>ROUND(CY474,0)</f>
        <v/>
      </c>
      <c r="Y474">
        <f>ROUND(CZ474,0)</f>
        <v/>
      </c>
      <c r="AA474" t="n">
        <v>78869116</v>
      </c>
      <c r="AB474">
        <f>ROUND((AC474+AD474+AF474),2)</f>
        <v/>
      </c>
      <c r="AC474">
        <f>ROUND((ES474),2)</f>
        <v/>
      </c>
      <c r="AD474">
        <f>ROUND((((ET474)-(EU474))+AE474),2)</f>
        <v/>
      </c>
      <c r="AE474">
        <f>ROUND((EU474),2)</f>
        <v/>
      </c>
      <c r="AF474">
        <f>ROUND((EV474),2)</f>
        <v/>
      </c>
      <c r="AG474">
        <f>ROUND((AP474),2)</f>
        <v/>
      </c>
      <c r="AH474">
        <f>(EW474)</f>
        <v/>
      </c>
      <c r="AI474">
        <f>(EX474)</f>
        <v/>
      </c>
      <c r="AJ474">
        <f>(AS474)</f>
        <v/>
      </c>
      <c r="AK474" t="n">
        <v>970.5700000000001</v>
      </c>
      <c r="AL474" t="n">
        <v>852</v>
      </c>
      <c r="AM474" t="n">
        <v>0</v>
      </c>
      <c r="AN474" t="n">
        <v>0</v>
      </c>
      <c r="AO474" t="n">
        <v>118.57</v>
      </c>
      <c r="AP474" t="n">
        <v>0</v>
      </c>
      <c r="AQ474" t="n">
        <v>13.9</v>
      </c>
      <c r="AR474" t="n">
        <v>0</v>
      </c>
      <c r="AS474" t="n">
        <v>0</v>
      </c>
      <c r="AT474" t="n">
        <v>91</v>
      </c>
      <c r="AU474" t="n">
        <v>48</v>
      </c>
      <c r="AV474" t="n">
        <v>1</v>
      </c>
      <c r="AW474" t="n">
        <v>1</v>
      </c>
      <c r="AZ474" t="n">
        <v>1</v>
      </c>
      <c r="BA474" t="n">
        <v>52.25</v>
      </c>
      <c r="BB474" t="n">
        <v>1</v>
      </c>
      <c r="BC474" t="n">
        <v>4.14</v>
      </c>
      <c r="BD474" t="inlineStr"/>
      <c r="BE474" t="inlineStr"/>
      <c r="BF474" t="inlineStr"/>
      <c r="BG474" t="inlineStr"/>
      <c r="BH474" t="n">
        <v>0</v>
      </c>
      <c r="BI474" t="n">
        <v>1</v>
      </c>
      <c r="BJ474" t="inlineStr">
        <is>
          <t>ТЕРр Московской обл., 67-5-2, приказ Минстроя России №675/пр от 28.02.2017 № 263/пр</t>
        </is>
      </c>
      <c r="BM474" t="n">
        <v>67001</v>
      </c>
      <c r="BN474" t="n">
        <v>0</v>
      </c>
      <c r="BO474" t="inlineStr">
        <is>
          <t>67-5-2</t>
        </is>
      </c>
      <c r="BP474" t="n">
        <v>1</v>
      </c>
      <c r="BQ474" t="n">
        <v>6</v>
      </c>
      <c r="BR474" t="n">
        <v>0</v>
      </c>
      <c r="BS474" t="n">
        <v>52.25</v>
      </c>
      <c r="BT474" t="n">
        <v>1</v>
      </c>
      <c r="BU474" t="n">
        <v>1</v>
      </c>
      <c r="BV474" t="n">
        <v>1</v>
      </c>
      <c r="BW474" t="n">
        <v>1</v>
      </c>
      <c r="BX474" t="n">
        <v>1</v>
      </c>
      <c r="BY474" t="inlineStr"/>
      <c r="BZ474" t="n">
        <v>91</v>
      </c>
      <c r="CA474" t="n">
        <v>48</v>
      </c>
      <c r="CB474" t="inlineStr"/>
      <c r="CE474" t="n">
        <v>12</v>
      </c>
      <c r="CF474" t="n">
        <v>0</v>
      </c>
      <c r="CG474" t="n">
        <v>0</v>
      </c>
      <c r="CM474" t="n">
        <v>0</v>
      </c>
      <c r="CN474" t="inlineStr"/>
      <c r="CO474" t="n">
        <v>0</v>
      </c>
      <c r="CP474">
        <f>(P474+Q474+S474)</f>
        <v/>
      </c>
      <c r="CQ474">
        <f>AC474*BC474</f>
        <v/>
      </c>
      <c r="CR474">
        <f>(ROUND((ROUND(((ET474)*1),0)*BB474),0)+ROUND((ROUND(((AE474-(EU474))*1),0)*BS474),0))</f>
        <v/>
      </c>
      <c r="CS474">
        <f>(ROUND((ROUND(((EU474)*1),0)*BS474),0)+ROUND((ROUND(((AE474-(EU474))*1),0)*BS474),0))</f>
        <v/>
      </c>
      <c r="CT474">
        <f>AF474*BA474</f>
        <v/>
      </c>
      <c r="CU474">
        <f>AG474</f>
        <v/>
      </c>
      <c r="CV474">
        <f>AH474</f>
        <v/>
      </c>
      <c r="CW474">
        <f>AI474</f>
        <v/>
      </c>
      <c r="CX474">
        <f>AJ474</f>
        <v/>
      </c>
      <c r="CY474">
        <f>(((S474+R474)*AT474)/100)</f>
        <v/>
      </c>
      <c r="CZ474">
        <f>(((S474+R474)*AU474)/100)</f>
        <v/>
      </c>
      <c r="DC474" t="inlineStr"/>
      <c r="DD474" t="inlineStr"/>
      <c r="DE474" t="inlineStr"/>
      <c r="DF474" t="inlineStr"/>
      <c r="DG474" t="inlineStr"/>
      <c r="DH474" t="inlineStr"/>
      <c r="DI474" t="inlineStr"/>
      <c r="DJ474" t="inlineStr"/>
      <c r="DK474" t="inlineStr"/>
      <c r="DL474" t="inlineStr"/>
      <c r="DM474" t="inlineStr"/>
      <c r="DN474" t="n">
        <v>0</v>
      </c>
      <c r="DO474" t="n">
        <v>0</v>
      </c>
      <c r="DP474" t="n">
        <v>1</v>
      </c>
      <c r="DQ474" t="n">
        <v>1</v>
      </c>
      <c r="DU474" t="n">
        <v>1010</v>
      </c>
      <c r="DV474" t="inlineStr">
        <is>
          <t>100 шт.</t>
        </is>
      </c>
      <c r="DW474" t="inlineStr">
        <is>
          <t>100 шт.</t>
        </is>
      </c>
      <c r="DX474" t="n">
        <v>100</v>
      </c>
      <c r="DZ474" t="inlineStr"/>
      <c r="EA474" t="inlineStr"/>
      <c r="EB474" t="inlineStr"/>
      <c r="EC474" t="inlineStr"/>
      <c r="EE474" t="n">
        <v>78726030</v>
      </c>
      <c r="EF474" t="n">
        <v>6</v>
      </c>
      <c r="EG474" t="inlineStr">
        <is>
          <t>Ремонтно-строительные работы</t>
        </is>
      </c>
      <c r="EH474" t="n">
        <v>101</v>
      </c>
      <c r="EI474" t="inlineStr">
        <is>
          <t>Электромонтажные работы</t>
        </is>
      </c>
      <c r="EJ474" t="n">
        <v>1</v>
      </c>
      <c r="EK474" t="n">
        <v>67001</v>
      </c>
      <c r="EL474" t="inlineStr">
        <is>
          <t>Электромонтажные работы</t>
        </is>
      </c>
      <c r="EM474" t="inlineStr">
        <is>
          <t>рФЕР-67</t>
        </is>
      </c>
      <c r="EO474" t="inlineStr"/>
      <c r="EQ474" t="n">
        <v>0</v>
      </c>
      <c r="ER474" t="n">
        <v>970.5700000000001</v>
      </c>
      <c r="ES474" t="n">
        <v>852</v>
      </c>
      <c r="ET474" t="n">
        <v>0</v>
      </c>
      <c r="EU474" t="n">
        <v>0</v>
      </c>
      <c r="EV474" t="n">
        <v>118.57</v>
      </c>
      <c r="EW474" t="n">
        <v>13.9</v>
      </c>
      <c r="EX474" t="n">
        <v>0</v>
      </c>
      <c r="EY474" t="n">
        <v>0</v>
      </c>
      <c r="FQ474" t="n">
        <v>0</v>
      </c>
      <c r="FR474" t="n">
        <v>0</v>
      </c>
      <c r="FS474" t="n">
        <v>0</v>
      </c>
      <c r="FX474" t="n">
        <v>91</v>
      </c>
      <c r="FY474" t="n">
        <v>48</v>
      </c>
      <c r="GA474" t="inlineStr"/>
      <c r="GD474" t="n">
        <v>1</v>
      </c>
      <c r="GF474" t="n">
        <v>1400342257</v>
      </c>
      <c r="GG474" t="n">
        <v>2</v>
      </c>
      <c r="GH474" t="n">
        <v>1</v>
      </c>
      <c r="GI474" t="n">
        <v>2</v>
      </c>
      <c r="GJ474" t="n">
        <v>0</v>
      </c>
      <c r="GK474" t="n">
        <v>0</v>
      </c>
      <c r="GL474">
        <f>ROUND(IF(AND(BH474=3,BI474=3,FS474&lt;&gt;0),P474,0),0)</f>
        <v/>
      </c>
      <c r="GM474">
        <f>ROUND(O474+X474+Y474,0)+GX474</f>
        <v/>
      </c>
      <c r="GN474">
        <f>IF(OR(BI474=0,BI474=1),GM474-GX474,0)</f>
        <v/>
      </c>
      <c r="GO474">
        <f>IF(BI474=2,GM474-GX474,0)</f>
        <v/>
      </c>
      <c r="GP474">
        <f>IF(BI474=4,GM474-GX474,0)</f>
        <v/>
      </c>
      <c r="GR474" t="n">
        <v>0</v>
      </c>
      <c r="GS474" t="n">
        <v>3</v>
      </c>
      <c r="GT474" t="n">
        <v>0</v>
      </c>
      <c r="GU474" t="inlineStr"/>
      <c r="GV474">
        <f>ROUND((GT474),2)</f>
        <v/>
      </c>
      <c r="GW474" t="n">
        <v>1</v>
      </c>
      <c r="GX474">
        <f>ROUND(HC474*I474,0)</f>
        <v/>
      </c>
      <c r="HA474" t="n">
        <v>0</v>
      </c>
      <c r="HB474" t="n">
        <v>0</v>
      </c>
      <c r="HC474">
        <f>GV474*GW474</f>
        <v/>
      </c>
      <c r="HE474" t="inlineStr"/>
      <c r="HF474" t="inlineStr"/>
      <c r="HM474" t="inlineStr"/>
      <c r="HN474" t="inlineStr">
        <is>
          <t>Пр/812-101.0-1</t>
        </is>
      </c>
      <c r="HO474" t="inlineStr">
        <is>
          <t>Пр/774-101.0</t>
        </is>
      </c>
      <c r="HP474" t="inlineStr">
        <is>
          <t>Электромонтажные работы</t>
        </is>
      </c>
      <c r="HQ474" t="inlineStr">
        <is>
          <t>Электромонтажные работы</t>
        </is>
      </c>
      <c r="HS474" t="n">
        <v>0</v>
      </c>
      <c r="IK474" t="n">
        <v>0</v>
      </c>
    </row>
    <row r="475">
      <c r="A475" t="n">
        <v>18</v>
      </c>
      <c r="B475" t="n">
        <v>0</v>
      </c>
      <c r="C475" t="n">
        <v>241</v>
      </c>
      <c r="E475" t="inlineStr">
        <is>
          <t>4,1</t>
        </is>
      </c>
      <c r="F475" t="inlineStr">
        <is>
          <t>509-6744</t>
        </is>
      </c>
      <c r="G475" t="inlineStr">
        <is>
          <t>Лампы люминесцентные компактные энергосберегающие с цоколем Е27 мощностью 55 Вт</t>
        </is>
      </c>
      <c r="H475" t="inlineStr">
        <is>
          <t>шт.</t>
        </is>
      </c>
      <c r="I475">
        <f>I474*J475</f>
        <v/>
      </c>
      <c r="J475" t="n">
        <v>99.99999999999999</v>
      </c>
      <c r="K475" t="n">
        <v>100</v>
      </c>
      <c r="O475">
        <f>ROUND(CP475,0)</f>
        <v/>
      </c>
      <c r="P475">
        <f>ROUND(CQ475*I475,0)</f>
        <v/>
      </c>
      <c r="Q475">
        <f>(ROUND((ROUND(((ET475)*I475),0)*BB475),0)+ROUND((ROUND(((AE475-(EU475))*I475),0)*BS475),0))</f>
        <v/>
      </c>
      <c r="R475">
        <f>(ROUND((ROUND(((EU475)*I475),0)*BS475),0)+ROUND((ROUND(((AE475-(EU475))*I475),0)*BS475),0))</f>
        <v/>
      </c>
      <c r="S475">
        <f>ROUND(CT475*I475,0)</f>
        <v/>
      </c>
      <c r="T475">
        <f>ROUND(CU475*I475,0)</f>
        <v/>
      </c>
      <c r="U475">
        <f>ROUND(CV475*I475,7)</f>
        <v/>
      </c>
      <c r="V475">
        <f>ROUND(CW475*I475,7)</f>
        <v/>
      </c>
      <c r="W475">
        <f>ROUND(CX475*I475,0)</f>
        <v/>
      </c>
      <c r="X475">
        <f>ROUND(CY475,0)</f>
        <v/>
      </c>
      <c r="Y475">
        <f>ROUND(CZ475,0)</f>
        <v/>
      </c>
      <c r="AA475" t="n">
        <v>78869116</v>
      </c>
      <c r="AB475">
        <f>ROUND((AC475+AD475+AF475),2)</f>
        <v/>
      </c>
      <c r="AC475">
        <f>ROUND((ES475),2)</f>
        <v/>
      </c>
      <c r="AD475">
        <f>ROUND((((ET475)-(EU475))+AE475),2)</f>
        <v/>
      </c>
      <c r="AE475">
        <f>ROUND((EU475),2)</f>
        <v/>
      </c>
      <c r="AF475">
        <f>ROUND((EV475),2)</f>
        <v/>
      </c>
      <c r="AG475">
        <f>ROUND((AP475),2)</f>
        <v/>
      </c>
      <c r="AH475">
        <f>(EW475)</f>
        <v/>
      </c>
      <c r="AI475">
        <f>(EX475)</f>
        <v/>
      </c>
      <c r="AJ475">
        <f>(AS475)</f>
        <v/>
      </c>
      <c r="AK475" t="n">
        <v>140.69</v>
      </c>
      <c r="AL475" t="n">
        <v>140.69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  <c r="AS475" t="n">
        <v>0.02</v>
      </c>
      <c r="AT475" t="n">
        <v>91</v>
      </c>
      <c r="AU475" t="n">
        <v>48</v>
      </c>
      <c r="AV475" t="n">
        <v>1</v>
      </c>
      <c r="AW475" t="n">
        <v>1</v>
      </c>
      <c r="AZ475" t="n">
        <v>1</v>
      </c>
      <c r="BA475" t="n">
        <v>1</v>
      </c>
      <c r="BB475" t="n">
        <v>1</v>
      </c>
      <c r="BC475" t="n">
        <v>1.69</v>
      </c>
      <c r="BD475" t="inlineStr"/>
      <c r="BE475" t="inlineStr"/>
      <c r="BF475" t="inlineStr"/>
      <c r="BG475" t="inlineStr"/>
      <c r="BH475" t="n">
        <v>3</v>
      </c>
      <c r="BI475" t="n">
        <v>1</v>
      </c>
      <c r="BJ475" t="inlineStr">
        <is>
          <t>ТССЦ Московской обл., 509-6744, приказ Минстроя России №675/пр от 28.02.2017 № 258/пр</t>
        </is>
      </c>
      <c r="BM475" t="n">
        <v>67001</v>
      </c>
      <c r="BN475" t="n">
        <v>0</v>
      </c>
      <c r="BO475" t="inlineStr">
        <is>
          <t>509-6744</t>
        </is>
      </c>
      <c r="BP475" t="n">
        <v>1</v>
      </c>
      <c r="BQ475" t="n">
        <v>6</v>
      </c>
      <c r="BR475" t="n">
        <v>0</v>
      </c>
      <c r="BS475" t="n">
        <v>1</v>
      </c>
      <c r="BT475" t="n">
        <v>1</v>
      </c>
      <c r="BU475" t="n">
        <v>1</v>
      </c>
      <c r="BV475" t="n">
        <v>1</v>
      </c>
      <c r="BW475" t="n">
        <v>1</v>
      </c>
      <c r="BX475" t="n">
        <v>1</v>
      </c>
      <c r="BY475" t="inlineStr"/>
      <c r="BZ475" t="n">
        <v>91</v>
      </c>
      <c r="CA475" t="n">
        <v>48</v>
      </c>
      <c r="CB475" t="inlineStr"/>
      <c r="CE475" t="n">
        <v>12</v>
      </c>
      <c r="CF475" t="n">
        <v>0</v>
      </c>
      <c r="CG475" t="n">
        <v>0</v>
      </c>
      <c r="CM475" t="n">
        <v>0</v>
      </c>
      <c r="CN475" t="inlineStr"/>
      <c r="CO475" t="n">
        <v>0</v>
      </c>
      <c r="CP475">
        <f>(P475+Q475+S475)</f>
        <v/>
      </c>
      <c r="CQ475">
        <f>AC475*BC475</f>
        <v/>
      </c>
      <c r="CR475">
        <f>(ROUND((ROUND(((ET475)*1),0)*BB475),0)+ROUND((ROUND(((AE475-(EU475))*1),0)*BS475),0))</f>
        <v/>
      </c>
      <c r="CS475">
        <f>(ROUND((ROUND(((EU475)*1),0)*BS475),0)+ROUND((ROUND(((AE475-(EU475))*1),0)*BS475),0))</f>
        <v/>
      </c>
      <c r="CT475">
        <f>AF475*BA475</f>
        <v/>
      </c>
      <c r="CU475">
        <f>AG475</f>
        <v/>
      </c>
      <c r="CV475">
        <f>AH475</f>
        <v/>
      </c>
      <c r="CW475">
        <f>AI475</f>
        <v/>
      </c>
      <c r="CX475">
        <f>AJ475</f>
        <v/>
      </c>
      <c r="CY475">
        <f>(((S475+R475)*AT475)/100)</f>
        <v/>
      </c>
      <c r="CZ475">
        <f>(((S475+R475)*AU475)/100)</f>
        <v/>
      </c>
      <c r="DC475" t="inlineStr"/>
      <c r="DD475" t="inlineStr"/>
      <c r="DE475" t="inlineStr"/>
      <c r="DF475" t="inlineStr"/>
      <c r="DG475" t="inlineStr"/>
      <c r="DH475" t="inlineStr"/>
      <c r="DI475" t="inlineStr"/>
      <c r="DJ475" t="inlineStr"/>
      <c r="DK475" t="inlineStr"/>
      <c r="DL475" t="inlineStr"/>
      <c r="DM475" t="inlineStr"/>
      <c r="DN475" t="n">
        <v>0</v>
      </c>
      <c r="DO475" t="n">
        <v>0</v>
      </c>
      <c r="DP475" t="n">
        <v>1</v>
      </c>
      <c r="DQ475" t="n">
        <v>1</v>
      </c>
      <c r="DU475" t="n">
        <v>1010</v>
      </c>
      <c r="DV475" t="inlineStr">
        <is>
          <t>шт.</t>
        </is>
      </c>
      <c r="DW475" t="inlineStr">
        <is>
          <t>шт.</t>
        </is>
      </c>
      <c r="DX475" t="n">
        <v>1</v>
      </c>
      <c r="DZ475" t="inlineStr"/>
      <c r="EA475" t="inlineStr"/>
      <c r="EB475" t="inlineStr"/>
      <c r="EC475" t="inlineStr"/>
      <c r="EE475" t="n">
        <v>78726030</v>
      </c>
      <c r="EF475" t="n">
        <v>6</v>
      </c>
      <c r="EG475" t="inlineStr">
        <is>
          <t>Ремонтно-строительные работы</t>
        </is>
      </c>
      <c r="EH475" t="n">
        <v>101</v>
      </c>
      <c r="EI475" t="inlineStr">
        <is>
          <t>Электромонтажные работы</t>
        </is>
      </c>
      <c r="EJ475" t="n">
        <v>1</v>
      </c>
      <c r="EK475" t="n">
        <v>67001</v>
      </c>
      <c r="EL475" t="inlineStr">
        <is>
          <t>Электромонтажные работы</t>
        </is>
      </c>
      <c r="EM475" t="inlineStr">
        <is>
          <t>рФЕР-67</t>
        </is>
      </c>
      <c r="EO475" t="inlineStr"/>
      <c r="EQ475" t="n">
        <v>0</v>
      </c>
      <c r="ER475" t="n">
        <v>140.69</v>
      </c>
      <c r="ES475" t="n">
        <v>140.69</v>
      </c>
      <c r="ET475" t="n">
        <v>0</v>
      </c>
      <c r="EU475" t="n">
        <v>0</v>
      </c>
      <c r="EV475" t="n">
        <v>0</v>
      </c>
      <c r="EW475" t="n">
        <v>0</v>
      </c>
      <c r="EX475" t="n">
        <v>0</v>
      </c>
      <c r="FQ475" t="n">
        <v>0</v>
      </c>
      <c r="FR475" t="n">
        <v>0</v>
      </c>
      <c r="FS475" t="n">
        <v>0</v>
      </c>
      <c r="FX475" t="n">
        <v>91</v>
      </c>
      <c r="FY475" t="n">
        <v>48</v>
      </c>
      <c r="GA475" t="inlineStr"/>
      <c r="GD475" t="n">
        <v>1</v>
      </c>
      <c r="GF475" t="n">
        <v>-228955380</v>
      </c>
      <c r="GG475" t="n">
        <v>2</v>
      </c>
      <c r="GH475" t="n">
        <v>1</v>
      </c>
      <c r="GI475" t="n">
        <v>2</v>
      </c>
      <c r="GJ475" t="n">
        <v>0</v>
      </c>
      <c r="GK475" t="n">
        <v>0</v>
      </c>
      <c r="GL475">
        <f>ROUND(IF(AND(BH475=3,BI475=3,FS475&lt;&gt;0),P475,0),0)</f>
        <v/>
      </c>
      <c r="GM475">
        <f>ROUND(O475+X475+Y475,0)+GX475</f>
        <v/>
      </c>
      <c r="GN475">
        <f>IF(OR(BI475=0,BI475=1),GM475-GX475,0)</f>
        <v/>
      </c>
      <c r="GO475">
        <f>IF(BI475=2,GM475-GX475,0)</f>
        <v/>
      </c>
      <c r="GP475">
        <f>IF(BI475=4,GM475-GX475,0)</f>
        <v/>
      </c>
      <c r="GR475" t="n">
        <v>0</v>
      </c>
      <c r="GS475" t="n">
        <v>3</v>
      </c>
      <c r="GT475" t="n">
        <v>0</v>
      </c>
      <c r="GU475" t="inlineStr"/>
      <c r="GV475">
        <f>ROUND((GT475),2)</f>
        <v/>
      </c>
      <c r="GW475" t="n">
        <v>1</v>
      </c>
      <c r="GX475">
        <f>ROUND(HC475*I475,0)</f>
        <v/>
      </c>
      <c r="HA475" t="n">
        <v>0</v>
      </c>
      <c r="HB475" t="n">
        <v>0</v>
      </c>
      <c r="HC475">
        <f>GV475*GW475</f>
        <v/>
      </c>
      <c r="HE475" t="inlineStr"/>
      <c r="HF475" t="inlineStr"/>
      <c r="HM475" t="inlineStr"/>
      <c r="HN475" t="inlineStr">
        <is>
          <t>Пр/812-101.0-1</t>
        </is>
      </c>
      <c r="HO475" t="inlineStr">
        <is>
          <t>Пр/774-101.0</t>
        </is>
      </c>
      <c r="HP475" t="inlineStr">
        <is>
          <t>Электромонтажные работы</t>
        </is>
      </c>
      <c r="HQ475" t="inlineStr">
        <is>
          <t>Электромонтажные работы</t>
        </is>
      </c>
      <c r="HS475" t="n">
        <v>0</v>
      </c>
      <c r="IK475" t="n">
        <v>0</v>
      </c>
    </row>
    <row r="476">
      <c r="A476" t="n">
        <v>17</v>
      </c>
      <c r="B476" t="n">
        <v>0</v>
      </c>
      <c r="C476">
        <f>ROW(SmtRes!A252)</f>
        <v/>
      </c>
      <c r="D476">
        <f>ROW(EtalonRes!A231)</f>
        <v/>
      </c>
      <c r="E476" t="inlineStr">
        <is>
          <t>5</t>
        </is>
      </c>
      <c r="F476" t="inlineStr">
        <is>
          <t>м08-02-403-3</t>
        </is>
      </c>
      <c r="G476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476" t="inlineStr">
        <is>
          <t>100 м</t>
        </is>
      </c>
      <c r="I476">
        <f>ROUND(ROUND(8/100,4),7)</f>
        <v/>
      </c>
      <c r="J476" t="n">
        <v>0</v>
      </c>
      <c r="K476">
        <f>ROUND(ROUND(8/100,4),7)</f>
        <v/>
      </c>
      <c r="O476">
        <f>ROUND(CP476,0)</f>
        <v/>
      </c>
      <c r="P476">
        <f>ROUND(CQ476*I476,0)</f>
        <v/>
      </c>
      <c r="Q476">
        <f>(ROUND((ROUND(((ET476)*I476),0)*BB476),0)+ROUND((ROUND(((AE476-(EU476))*I476),0)*BS476),0))</f>
        <v/>
      </c>
      <c r="R476">
        <f>(ROUND((ROUND(((EU476)*I476),0)*BS476),0)+ROUND((ROUND(((AE476-(EU476))*I476),0)*BS476),0))</f>
        <v/>
      </c>
      <c r="S476">
        <f>ROUND(CT476*I476,0)</f>
        <v/>
      </c>
      <c r="T476">
        <f>ROUND(CU476*I476,0)</f>
        <v/>
      </c>
      <c r="U476">
        <f>ROUND(CV476*I476,7)</f>
        <v/>
      </c>
      <c r="V476">
        <f>ROUND(CW476*I476,7)</f>
        <v/>
      </c>
      <c r="W476">
        <f>ROUND(CX476*I476,0)</f>
        <v/>
      </c>
      <c r="X476">
        <f>ROUND(CY476,0)</f>
        <v/>
      </c>
      <c r="Y476">
        <f>ROUND(CZ476,0)</f>
        <v/>
      </c>
      <c r="AA476" t="n">
        <v>78869116</v>
      </c>
      <c r="AB476">
        <f>ROUND((AC476+AD476+AF476),2)</f>
        <v/>
      </c>
      <c r="AC476">
        <f>ROUND((ES476),2)</f>
        <v/>
      </c>
      <c r="AD476">
        <f>ROUND((((ET476)-(EU476))+AE476),2)</f>
        <v/>
      </c>
      <c r="AE476">
        <f>ROUND((EU476),2)</f>
        <v/>
      </c>
      <c r="AF476">
        <f>ROUND((EV476),2)</f>
        <v/>
      </c>
      <c r="AG476">
        <f>ROUND((AP476),2)</f>
        <v/>
      </c>
      <c r="AH476">
        <f>(EW476)</f>
        <v/>
      </c>
      <c r="AI476">
        <f>(EX476)</f>
        <v/>
      </c>
      <c r="AJ476">
        <f>(AS476)</f>
        <v/>
      </c>
      <c r="AK476" t="n">
        <v>200.71</v>
      </c>
      <c r="AL476" t="n">
        <v>41.17</v>
      </c>
      <c r="AM476" t="n">
        <v>4.44</v>
      </c>
      <c r="AN476" t="n">
        <v>0.27</v>
      </c>
      <c r="AO476" t="n">
        <v>155.1</v>
      </c>
      <c r="AP476" t="n">
        <v>0</v>
      </c>
      <c r="AQ476" t="n">
        <v>16.5</v>
      </c>
      <c r="AR476" t="n">
        <v>0.02</v>
      </c>
      <c r="AS476" t="n">
        <v>0</v>
      </c>
      <c r="AT476" t="n">
        <v>97</v>
      </c>
      <c r="AU476" t="n">
        <v>51</v>
      </c>
      <c r="AV476" t="n">
        <v>1</v>
      </c>
      <c r="AW476" t="n">
        <v>1</v>
      </c>
      <c r="AZ476" t="n">
        <v>1</v>
      </c>
      <c r="BA476" t="n">
        <v>52.25</v>
      </c>
      <c r="BB476" t="n">
        <v>16.59</v>
      </c>
      <c r="BC476" t="n">
        <v>8.44</v>
      </c>
      <c r="BD476" t="inlineStr"/>
      <c r="BE476" t="inlineStr"/>
      <c r="BF476" t="inlineStr"/>
      <c r="BG476" t="inlineStr"/>
      <c r="BH476" t="n">
        <v>0</v>
      </c>
      <c r="BI476" t="n">
        <v>2</v>
      </c>
      <c r="BJ476" t="inlineStr">
        <is>
          <t>ТЕРм Московской обл., м08-02-403-3, приказ Минстроя России №675/пр от 28.02.2017 № 259/пр</t>
        </is>
      </c>
      <c r="BM476" t="n">
        <v>108001</v>
      </c>
      <c r="BN476" t="n">
        <v>0</v>
      </c>
      <c r="BO476" t="inlineStr">
        <is>
          <t>м08-02-403-3</t>
        </is>
      </c>
      <c r="BP476" t="n">
        <v>1</v>
      </c>
      <c r="BQ476" t="n">
        <v>3</v>
      </c>
      <c r="BR476" t="n">
        <v>0</v>
      </c>
      <c r="BS476" t="n">
        <v>52.25</v>
      </c>
      <c r="BT476" t="n">
        <v>1</v>
      </c>
      <c r="BU476" t="n">
        <v>1</v>
      </c>
      <c r="BV476" t="n">
        <v>1</v>
      </c>
      <c r="BW476" t="n">
        <v>1</v>
      </c>
      <c r="BX476" t="n">
        <v>1</v>
      </c>
      <c r="BY476" t="inlineStr"/>
      <c r="BZ476" t="n">
        <v>97</v>
      </c>
      <c r="CA476" t="n">
        <v>51</v>
      </c>
      <c r="CB476" t="inlineStr"/>
      <c r="CE476" t="n">
        <v>12</v>
      </c>
      <c r="CF476" t="n">
        <v>0</v>
      </c>
      <c r="CG476" t="n">
        <v>0</v>
      </c>
      <c r="CM476" t="n">
        <v>0</v>
      </c>
      <c r="CN476" t="inlineStr"/>
      <c r="CO476" t="n">
        <v>0</v>
      </c>
      <c r="CP476">
        <f>(P476+Q476+S476)</f>
        <v/>
      </c>
      <c r="CQ476">
        <f>AC476*BC476</f>
        <v/>
      </c>
      <c r="CR476">
        <f>(ROUND((ROUND(((ET476)*1),0)*BB476),0)+ROUND((ROUND(((AE476-(EU476))*1),0)*BS476),0))</f>
        <v/>
      </c>
      <c r="CS476">
        <f>(ROUND((ROUND(((EU476)*1),0)*BS476),0)+ROUND((ROUND(((AE476-(EU476))*1),0)*BS476),0))</f>
        <v/>
      </c>
      <c r="CT476">
        <f>AF476*BA476</f>
        <v/>
      </c>
      <c r="CU476">
        <f>AG476</f>
        <v/>
      </c>
      <c r="CV476">
        <f>AH476</f>
        <v/>
      </c>
      <c r="CW476">
        <f>AI476</f>
        <v/>
      </c>
      <c r="CX476">
        <f>AJ476</f>
        <v/>
      </c>
      <c r="CY476">
        <f>(((S476+R476)*AT476)/100)</f>
        <v/>
      </c>
      <c r="CZ476">
        <f>(((S476+R476)*AU476)/100)</f>
        <v/>
      </c>
      <c r="DC476" t="inlineStr"/>
      <c r="DD476" t="inlineStr"/>
      <c r="DE476" t="inlineStr"/>
      <c r="DF476" t="inlineStr"/>
      <c r="DG476" t="inlineStr"/>
      <c r="DH476" t="inlineStr"/>
      <c r="DI476" t="inlineStr"/>
      <c r="DJ476" t="inlineStr"/>
      <c r="DK476" t="inlineStr"/>
      <c r="DL476" t="inlineStr"/>
      <c r="DM476" t="inlineStr"/>
      <c r="DN476" t="n">
        <v>0</v>
      </c>
      <c r="DO476" t="n">
        <v>0</v>
      </c>
      <c r="DP476" t="n">
        <v>1</v>
      </c>
      <c r="DQ476" t="n">
        <v>1</v>
      </c>
      <c r="DU476" t="n">
        <v>1003</v>
      </c>
      <c r="DV476" t="inlineStr">
        <is>
          <t>100 м</t>
        </is>
      </c>
      <c r="DW476" t="inlineStr">
        <is>
          <t>100 м</t>
        </is>
      </c>
      <c r="DX476" t="n">
        <v>100</v>
      </c>
      <c r="DZ476" t="inlineStr"/>
      <c r="EA476" t="inlineStr"/>
      <c r="EB476" t="inlineStr"/>
      <c r="EC476" t="inlineStr"/>
      <c r="EE476" t="n">
        <v>78725665</v>
      </c>
      <c r="EF476" t="n">
        <v>3</v>
      </c>
      <c r="EG476" t="inlineStr">
        <is>
          <t>Монтажные работы</t>
        </is>
      </c>
      <c r="EH476" t="n">
        <v>0</v>
      </c>
      <c r="EI476" t="inlineStr"/>
      <c r="EJ476" t="n">
        <v>2</v>
      </c>
      <c r="EK476" t="n">
        <v>108001</v>
      </c>
      <c r="EL476" t="inlineStr">
        <is>
          <t>Электротехнические установки: на других объектах</t>
        </is>
      </c>
      <c r="EM476" t="inlineStr">
        <is>
          <t>мФЕР-08</t>
        </is>
      </c>
      <c r="EO476" t="inlineStr"/>
      <c r="EQ476" t="n">
        <v>0</v>
      </c>
      <c r="ER476" t="n">
        <v>200.71</v>
      </c>
      <c r="ES476" t="n">
        <v>41.17</v>
      </c>
      <c r="ET476" t="n">
        <v>4.44</v>
      </c>
      <c r="EU476" t="n">
        <v>0.27</v>
      </c>
      <c r="EV476" t="n">
        <v>155.1</v>
      </c>
      <c r="EW476" t="n">
        <v>16.5</v>
      </c>
      <c r="EX476" t="n">
        <v>0.02</v>
      </c>
      <c r="EY476" t="n">
        <v>0</v>
      </c>
      <c r="FQ476" t="n">
        <v>0</v>
      </c>
      <c r="FR476" t="n">
        <v>0</v>
      </c>
      <c r="FS476" t="n">
        <v>0</v>
      </c>
      <c r="FX476" t="n">
        <v>97</v>
      </c>
      <c r="FY476" t="n">
        <v>51</v>
      </c>
      <c r="GA476" t="inlineStr"/>
      <c r="GD476" t="n">
        <v>1</v>
      </c>
      <c r="GF476" t="n">
        <v>-134942991</v>
      </c>
      <c r="GG476" t="n">
        <v>2</v>
      </c>
      <c r="GH476" t="n">
        <v>1</v>
      </c>
      <c r="GI476" t="n">
        <v>2</v>
      </c>
      <c r="GJ476" t="n">
        <v>0</v>
      </c>
      <c r="GK476" t="n">
        <v>0</v>
      </c>
      <c r="GL476">
        <f>ROUND(IF(AND(BH476=3,BI476=3,FS476&lt;&gt;0),P476,0),0)</f>
        <v/>
      </c>
      <c r="GM476">
        <f>ROUND(O476+X476+Y476,0)+GX476</f>
        <v/>
      </c>
      <c r="GN476">
        <f>IF(OR(BI476=0,BI476=1),GM476-GX476,0)</f>
        <v/>
      </c>
      <c r="GO476">
        <f>IF(BI476=2,GM476-GX476,0)</f>
        <v/>
      </c>
      <c r="GP476">
        <f>IF(BI476=4,GM476-GX476,0)</f>
        <v/>
      </c>
      <c r="GR476" t="n">
        <v>0</v>
      </c>
      <c r="GS476" t="n">
        <v>3</v>
      </c>
      <c r="GT476" t="n">
        <v>0</v>
      </c>
      <c r="GU476" t="inlineStr"/>
      <c r="GV476">
        <f>ROUND((GT476),2)</f>
        <v/>
      </c>
      <c r="GW476" t="n">
        <v>1</v>
      </c>
      <c r="GX476">
        <f>ROUND(HC476*I476,0)</f>
        <v/>
      </c>
      <c r="HA476" t="n">
        <v>0</v>
      </c>
      <c r="HB476" t="n">
        <v>0</v>
      </c>
      <c r="HC476">
        <f>GV476*GW476</f>
        <v/>
      </c>
      <c r="HE476" t="inlineStr"/>
      <c r="HF476" t="inlineStr"/>
      <c r="HM476" t="inlineStr"/>
      <c r="HN476" t="inlineStr">
        <is>
          <t>Пр/812-049.3-1</t>
        </is>
      </c>
      <c r="HO476" t="inlineStr">
        <is>
          <t>Пр/774-049.3</t>
        </is>
      </c>
      <c r="HP476" t="inlineStr">
        <is>
          <t>Электротехнические установки: на других объектах</t>
        </is>
      </c>
      <c r="HQ476" t="inlineStr">
        <is>
          <t>Электротехнические установки: на других объектах</t>
        </is>
      </c>
      <c r="HS476" t="n">
        <v>0</v>
      </c>
      <c r="IK476" t="n">
        <v>0</v>
      </c>
    </row>
    <row r="477">
      <c r="A477" t="n">
        <v>18</v>
      </c>
      <c r="B477" t="n">
        <v>0</v>
      </c>
      <c r="C477" t="n">
        <v>248</v>
      </c>
      <c r="E477" t="inlineStr">
        <is>
          <t>5,1</t>
        </is>
      </c>
      <c r="F477" t="inlineStr">
        <is>
          <t>501-8647</t>
        </is>
      </c>
      <c r="G47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477" t="inlineStr">
        <is>
          <t>1000 м</t>
        </is>
      </c>
      <c r="I477">
        <f>I476*J477</f>
        <v/>
      </c>
      <c r="J477" t="n">
        <v>0.1</v>
      </c>
      <c r="K477" t="n">
        <v>0.1</v>
      </c>
      <c r="O477">
        <f>ROUND(CP477,0)</f>
        <v/>
      </c>
      <c r="P477">
        <f>ROUND(CQ477*I477,0)</f>
        <v/>
      </c>
      <c r="Q477">
        <f>(ROUND((ROUND(((ET477)*I477),0)*BB477),0)+ROUND((ROUND(((AE477-(EU477))*I477),0)*BS477),0))</f>
        <v/>
      </c>
      <c r="R477">
        <f>(ROUND((ROUND(((EU477)*I477),0)*BS477),0)+ROUND((ROUND(((AE477-(EU477))*I477),0)*BS477),0))</f>
        <v/>
      </c>
      <c r="S477">
        <f>ROUND(CT477*I477,0)</f>
        <v/>
      </c>
      <c r="T477">
        <f>ROUND(CU477*I477,0)</f>
        <v/>
      </c>
      <c r="U477">
        <f>ROUND(CV477*I477,7)</f>
        <v/>
      </c>
      <c r="V477">
        <f>ROUND(CW477*I477,7)</f>
        <v/>
      </c>
      <c r="W477">
        <f>ROUND(CX477*I477,0)</f>
        <v/>
      </c>
      <c r="X477">
        <f>ROUND(CY477,0)</f>
        <v/>
      </c>
      <c r="Y477">
        <f>ROUND(CZ477,0)</f>
        <v/>
      </c>
      <c r="AA477" t="n">
        <v>78869116</v>
      </c>
      <c r="AB477">
        <f>ROUND((AC477+AD477+AF477),2)</f>
        <v/>
      </c>
      <c r="AC477">
        <f>ROUND((ES477),2)</f>
        <v/>
      </c>
      <c r="AD477">
        <f>ROUND((((ET477)-(EU477))+AE477),2)</f>
        <v/>
      </c>
      <c r="AE477">
        <f>ROUND((EU477),2)</f>
        <v/>
      </c>
      <c r="AF477">
        <f>ROUND((EV477),2)</f>
        <v/>
      </c>
      <c r="AG477">
        <f>ROUND((AP477),2)</f>
        <v/>
      </c>
      <c r="AH477">
        <f>(EW477)</f>
        <v/>
      </c>
      <c r="AI477">
        <f>(EX477)</f>
        <v/>
      </c>
      <c r="AJ477">
        <f>(AS477)</f>
        <v/>
      </c>
      <c r="AK477" t="n">
        <v>3379.32</v>
      </c>
      <c r="AL477" t="n">
        <v>3379.32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  <c r="AS477" t="n">
        <v>6.04</v>
      </c>
      <c r="AT477" t="n">
        <v>97</v>
      </c>
      <c r="AU477" t="n">
        <v>51</v>
      </c>
      <c r="AV477" t="n">
        <v>1</v>
      </c>
      <c r="AW477" t="n">
        <v>1</v>
      </c>
      <c r="AZ477" t="n">
        <v>1</v>
      </c>
      <c r="BA477" t="n">
        <v>1</v>
      </c>
      <c r="BB477" t="n">
        <v>1</v>
      </c>
      <c r="BC477" t="n">
        <v>15.94</v>
      </c>
      <c r="BD477" t="inlineStr"/>
      <c r="BE477" t="inlineStr"/>
      <c r="BF477" t="inlineStr"/>
      <c r="BG477" t="inlineStr"/>
      <c r="BH477" t="n">
        <v>3</v>
      </c>
      <c r="BI477" t="n">
        <v>2</v>
      </c>
      <c r="BJ477" t="inlineStr">
        <is>
          <t>ТССЦ Московской обл., 501-8647, приказ Минстроя России №675/пр от 28.02.2017 № 258/пр</t>
        </is>
      </c>
      <c r="BM477" t="n">
        <v>108001</v>
      </c>
      <c r="BN477" t="n">
        <v>0</v>
      </c>
      <c r="BO477" t="inlineStr">
        <is>
          <t>501-8647</t>
        </is>
      </c>
      <c r="BP477" t="n">
        <v>1</v>
      </c>
      <c r="BQ477" t="n">
        <v>3</v>
      </c>
      <c r="BR477" t="n">
        <v>0</v>
      </c>
      <c r="BS477" t="n">
        <v>1</v>
      </c>
      <c r="BT477" t="n">
        <v>1</v>
      </c>
      <c r="BU477" t="n">
        <v>1</v>
      </c>
      <c r="BV477" t="n">
        <v>1</v>
      </c>
      <c r="BW477" t="n">
        <v>1</v>
      </c>
      <c r="BX477" t="n">
        <v>1</v>
      </c>
      <c r="BY477" t="inlineStr"/>
      <c r="BZ477" t="n">
        <v>97</v>
      </c>
      <c r="CA477" t="n">
        <v>51</v>
      </c>
      <c r="CB477" t="inlineStr"/>
      <c r="CE477" t="n">
        <v>12</v>
      </c>
      <c r="CF477" t="n">
        <v>0</v>
      </c>
      <c r="CG477" t="n">
        <v>0</v>
      </c>
      <c r="CM477" t="n">
        <v>0</v>
      </c>
      <c r="CN477" t="inlineStr"/>
      <c r="CO477" t="n">
        <v>0</v>
      </c>
      <c r="CP477">
        <f>(P477+Q477+S477)</f>
        <v/>
      </c>
      <c r="CQ477">
        <f>AC477*BC477</f>
        <v/>
      </c>
      <c r="CR477">
        <f>(ROUND((ROUND(((ET477)*1),0)*BB477),0)+ROUND((ROUND(((AE477-(EU477))*1),0)*BS477),0))</f>
        <v/>
      </c>
      <c r="CS477">
        <f>(ROUND((ROUND(((EU477)*1),0)*BS477),0)+ROUND((ROUND(((AE477-(EU477))*1),0)*BS477),0))</f>
        <v/>
      </c>
      <c r="CT477">
        <f>AF477*BA477</f>
        <v/>
      </c>
      <c r="CU477">
        <f>AG477</f>
        <v/>
      </c>
      <c r="CV477">
        <f>AH477</f>
        <v/>
      </c>
      <c r="CW477">
        <f>AI477</f>
        <v/>
      </c>
      <c r="CX477">
        <f>AJ477</f>
        <v/>
      </c>
      <c r="CY477">
        <f>(((S477+R477)*AT477)/100)</f>
        <v/>
      </c>
      <c r="CZ477">
        <f>(((S477+R477)*AU477)/100)</f>
        <v/>
      </c>
      <c r="DC477" t="inlineStr"/>
      <c r="DD477" t="inlineStr"/>
      <c r="DE477" t="inlineStr"/>
      <c r="DF477" t="inlineStr"/>
      <c r="DG477" t="inlineStr"/>
      <c r="DH477" t="inlineStr"/>
      <c r="DI477" t="inlineStr"/>
      <c r="DJ477" t="inlineStr"/>
      <c r="DK477" t="inlineStr"/>
      <c r="DL477" t="inlineStr"/>
      <c r="DM477" t="inlineStr"/>
      <c r="DN477" t="n">
        <v>0</v>
      </c>
      <c r="DO477" t="n">
        <v>0</v>
      </c>
      <c r="DP477" t="n">
        <v>1</v>
      </c>
      <c r="DQ477" t="n">
        <v>1</v>
      </c>
      <c r="DU477" t="n">
        <v>1013</v>
      </c>
      <c r="DV477" t="inlineStr">
        <is>
          <t>1000 м</t>
        </is>
      </c>
      <c r="DW477" t="inlineStr">
        <is>
          <t>1000 М</t>
        </is>
      </c>
      <c r="DX477" t="n">
        <v>1</v>
      </c>
      <c r="DZ477" t="inlineStr"/>
      <c r="EA477" t="inlineStr"/>
      <c r="EB477" t="inlineStr"/>
      <c r="EC477" t="inlineStr"/>
      <c r="EE477" t="n">
        <v>78725665</v>
      </c>
      <c r="EF477" t="n">
        <v>3</v>
      </c>
      <c r="EG477" t="inlineStr">
        <is>
          <t>Монтажные работы</t>
        </is>
      </c>
      <c r="EH477" t="n">
        <v>0</v>
      </c>
      <c r="EI477" t="inlineStr"/>
      <c r="EJ477" t="n">
        <v>2</v>
      </c>
      <c r="EK477" t="n">
        <v>108001</v>
      </c>
      <c r="EL477" t="inlineStr">
        <is>
          <t>Электротехнические установки: на других объектах</t>
        </is>
      </c>
      <c r="EM477" t="inlineStr">
        <is>
          <t>мФЕР-08</t>
        </is>
      </c>
      <c r="EO477" t="inlineStr"/>
      <c r="EQ477" t="n">
        <v>0</v>
      </c>
      <c r="ER477" t="n">
        <v>3379.32</v>
      </c>
      <c r="ES477" t="n">
        <v>3379.32</v>
      </c>
      <c r="ET477" t="n">
        <v>0</v>
      </c>
      <c r="EU477" t="n">
        <v>0</v>
      </c>
      <c r="EV477" t="n">
        <v>0</v>
      </c>
      <c r="EW477" t="n">
        <v>0</v>
      </c>
      <c r="EX477" t="n">
        <v>0</v>
      </c>
      <c r="FQ477" t="n">
        <v>0</v>
      </c>
      <c r="FR477" t="n">
        <v>0</v>
      </c>
      <c r="FS477" t="n">
        <v>0</v>
      </c>
      <c r="FX477" t="n">
        <v>97</v>
      </c>
      <c r="FY477" t="n">
        <v>51</v>
      </c>
      <c r="GA477" t="inlineStr"/>
      <c r="GD477" t="n">
        <v>1</v>
      </c>
      <c r="GF477" t="n">
        <v>1820439132</v>
      </c>
      <c r="GG477" t="n">
        <v>2</v>
      </c>
      <c r="GH477" t="n">
        <v>1</v>
      </c>
      <c r="GI477" t="n">
        <v>2</v>
      </c>
      <c r="GJ477" t="n">
        <v>0</v>
      </c>
      <c r="GK477" t="n">
        <v>0</v>
      </c>
      <c r="GL477">
        <f>ROUND(IF(AND(BH477=3,BI477=3,FS477&lt;&gt;0),P477,0),0)</f>
        <v/>
      </c>
      <c r="GM477">
        <f>ROUND(O477+X477+Y477,0)+GX477</f>
        <v/>
      </c>
      <c r="GN477">
        <f>IF(OR(BI477=0,BI477=1),GM477-GX477,0)</f>
        <v/>
      </c>
      <c r="GO477">
        <f>IF(BI477=2,GM477-GX477,0)</f>
        <v/>
      </c>
      <c r="GP477">
        <f>IF(BI477=4,GM477-GX477,0)</f>
        <v/>
      </c>
      <c r="GR477" t="n">
        <v>0</v>
      </c>
      <c r="GS477" t="n">
        <v>3</v>
      </c>
      <c r="GT477" t="n">
        <v>0</v>
      </c>
      <c r="GU477" t="inlineStr"/>
      <c r="GV477">
        <f>ROUND((GT477),2)</f>
        <v/>
      </c>
      <c r="GW477" t="n">
        <v>1</v>
      </c>
      <c r="GX477">
        <f>ROUND(HC477*I477,0)</f>
        <v/>
      </c>
      <c r="HA477" t="n">
        <v>0</v>
      </c>
      <c r="HB477" t="n">
        <v>0</v>
      </c>
      <c r="HC477">
        <f>GV477*GW477</f>
        <v/>
      </c>
      <c r="HE477" t="inlineStr"/>
      <c r="HF477" t="inlineStr"/>
      <c r="HM477" t="inlineStr"/>
      <c r="HN477" t="inlineStr">
        <is>
          <t>Пр/812-049.3-1</t>
        </is>
      </c>
      <c r="HO477" t="inlineStr">
        <is>
          <t>Пр/774-049.3</t>
        </is>
      </c>
      <c r="HP477" t="inlineStr">
        <is>
          <t>Электротехнические установки: на других объектах</t>
        </is>
      </c>
      <c r="HQ477" t="inlineStr">
        <is>
          <t>Электротехнические установки: на других объектах</t>
        </is>
      </c>
      <c r="HS477" t="n">
        <v>0</v>
      </c>
      <c r="IK477" t="n">
        <v>0</v>
      </c>
    </row>
    <row r="478">
      <c r="A478" t="n">
        <v>18</v>
      </c>
      <c r="B478" t="n">
        <v>0</v>
      </c>
      <c r="C478" t="n">
        <v>251</v>
      </c>
      <c r="E478" t="inlineStr">
        <is>
          <t>5,2</t>
        </is>
      </c>
      <c r="F478" t="inlineStr">
        <is>
          <t>509-8001</t>
        </is>
      </c>
      <c r="G478" t="inlineStr">
        <is>
          <t>Патроны потолочные</t>
        </is>
      </c>
      <c r="H478" t="inlineStr">
        <is>
          <t>шт.</t>
        </is>
      </c>
      <c r="I478">
        <f>I476*J478</f>
        <v/>
      </c>
      <c r="J478" t="n">
        <v>37.5</v>
      </c>
      <c r="K478" t="n">
        <v>37.5</v>
      </c>
      <c r="O478">
        <f>ROUND(CP478,0)</f>
        <v/>
      </c>
      <c r="P478">
        <f>ROUND(CQ478*I478,0)</f>
        <v/>
      </c>
      <c r="Q478">
        <f>(ROUND((ROUND(((ET478)*I478),0)*BB478),0)+ROUND((ROUND(((AE478-(EU478))*I478),0)*BS478),0))</f>
        <v/>
      </c>
      <c r="R478">
        <f>(ROUND((ROUND(((EU478)*I478),0)*BS478),0)+ROUND((ROUND(((AE478-(EU478))*I478),0)*BS478),0))</f>
        <v/>
      </c>
      <c r="S478">
        <f>ROUND(CT478*I478,0)</f>
        <v/>
      </c>
      <c r="T478">
        <f>ROUND(CU478*I478,0)</f>
        <v/>
      </c>
      <c r="U478">
        <f>ROUND(CV478*I478,7)</f>
        <v/>
      </c>
      <c r="V478">
        <f>ROUND(CW478*I478,7)</f>
        <v/>
      </c>
      <c r="W478">
        <f>ROUND(CX478*I478,0)</f>
        <v/>
      </c>
      <c r="X478">
        <f>ROUND(CY478,0)</f>
        <v/>
      </c>
      <c r="Y478">
        <f>ROUND(CZ478,0)</f>
        <v/>
      </c>
      <c r="AA478" t="n">
        <v>78869116</v>
      </c>
      <c r="AB478">
        <f>ROUND((AC478+AD478+AF478),2)</f>
        <v/>
      </c>
      <c r="AC478">
        <f>ROUND((ES478),2)</f>
        <v/>
      </c>
      <c r="AD478">
        <f>ROUND((((ET478)-(EU478))+AE478),2)</f>
        <v/>
      </c>
      <c r="AE478">
        <f>ROUND((EU478),2)</f>
        <v/>
      </c>
      <c r="AF478">
        <f>ROUND((EV478),2)</f>
        <v/>
      </c>
      <c r="AG478">
        <f>ROUND((AP478),2)</f>
        <v/>
      </c>
      <c r="AH478">
        <f>(EW478)</f>
        <v/>
      </c>
      <c r="AI478">
        <f>(EX478)</f>
        <v/>
      </c>
      <c r="AJ478">
        <f>(AS478)</f>
        <v/>
      </c>
      <c r="AK478" t="n">
        <v>5.25</v>
      </c>
      <c r="AL478" t="n">
        <v>5.25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  <c r="AS478" t="n">
        <v>0.01</v>
      </c>
      <c r="AT478" t="n">
        <v>97</v>
      </c>
      <c r="AU478" t="n">
        <v>51</v>
      </c>
      <c r="AV478" t="n">
        <v>1</v>
      </c>
      <c r="AW478" t="n">
        <v>1</v>
      </c>
      <c r="AZ478" t="n">
        <v>1</v>
      </c>
      <c r="BA478" t="n">
        <v>1</v>
      </c>
      <c r="BB478" t="n">
        <v>1</v>
      </c>
      <c r="BC478" t="n">
        <v>4.53</v>
      </c>
      <c r="BD478" t="inlineStr"/>
      <c r="BE478" t="inlineStr"/>
      <c r="BF478" t="inlineStr"/>
      <c r="BG478" t="inlineStr"/>
      <c r="BH478" t="n">
        <v>3</v>
      </c>
      <c r="BI478" t="n">
        <v>2</v>
      </c>
      <c r="BJ478" t="inlineStr">
        <is>
          <t>ТССЦ Московской обл., 509-8001, приказ Минстроя России №675/пр от 28.02.2017 № 258/пр</t>
        </is>
      </c>
      <c r="BM478" t="n">
        <v>108001</v>
      </c>
      <c r="BN478" t="n">
        <v>0</v>
      </c>
      <c r="BO478" t="inlineStr">
        <is>
          <t>509-8001</t>
        </is>
      </c>
      <c r="BP478" t="n">
        <v>1</v>
      </c>
      <c r="BQ478" t="n">
        <v>3</v>
      </c>
      <c r="BR478" t="n">
        <v>0</v>
      </c>
      <c r="BS478" t="n">
        <v>1</v>
      </c>
      <c r="BT478" t="n">
        <v>1</v>
      </c>
      <c r="BU478" t="n">
        <v>1</v>
      </c>
      <c r="BV478" t="n">
        <v>1</v>
      </c>
      <c r="BW478" t="n">
        <v>1</v>
      </c>
      <c r="BX478" t="n">
        <v>1</v>
      </c>
      <c r="BY478" t="inlineStr"/>
      <c r="BZ478" t="n">
        <v>97</v>
      </c>
      <c r="CA478" t="n">
        <v>51</v>
      </c>
      <c r="CB478" t="inlineStr"/>
      <c r="CE478" t="n">
        <v>12</v>
      </c>
      <c r="CF478" t="n">
        <v>0</v>
      </c>
      <c r="CG478" t="n">
        <v>0</v>
      </c>
      <c r="CM478" t="n">
        <v>0</v>
      </c>
      <c r="CN478" t="inlineStr"/>
      <c r="CO478" t="n">
        <v>0</v>
      </c>
      <c r="CP478">
        <f>(P478+Q478+S478)</f>
        <v/>
      </c>
      <c r="CQ478">
        <f>AC478*BC478</f>
        <v/>
      </c>
      <c r="CR478">
        <f>(ROUND((ROUND(((ET478)*1),0)*BB478),0)+ROUND((ROUND(((AE478-(EU478))*1),0)*BS478),0))</f>
        <v/>
      </c>
      <c r="CS478">
        <f>(ROUND((ROUND(((EU478)*1),0)*BS478),0)+ROUND((ROUND(((AE478-(EU478))*1),0)*BS478),0))</f>
        <v/>
      </c>
      <c r="CT478">
        <f>AF478*BA478</f>
        <v/>
      </c>
      <c r="CU478">
        <f>AG478</f>
        <v/>
      </c>
      <c r="CV478">
        <f>AH478</f>
        <v/>
      </c>
      <c r="CW478">
        <f>AI478</f>
        <v/>
      </c>
      <c r="CX478">
        <f>AJ478</f>
        <v/>
      </c>
      <c r="CY478">
        <f>(((S478+R478)*AT478)/100)</f>
        <v/>
      </c>
      <c r="CZ478">
        <f>(((S478+R478)*AU478)/100)</f>
        <v/>
      </c>
      <c r="DC478" t="inlineStr"/>
      <c r="DD478" t="inlineStr"/>
      <c r="DE478" t="inlineStr"/>
      <c r="DF478" t="inlineStr"/>
      <c r="DG478" t="inlineStr"/>
      <c r="DH478" t="inlineStr"/>
      <c r="DI478" t="inlineStr"/>
      <c r="DJ478" t="inlineStr"/>
      <c r="DK478" t="inlineStr"/>
      <c r="DL478" t="inlineStr"/>
      <c r="DM478" t="inlineStr"/>
      <c r="DN478" t="n">
        <v>0</v>
      </c>
      <c r="DO478" t="n">
        <v>0</v>
      </c>
      <c r="DP478" t="n">
        <v>1</v>
      </c>
      <c r="DQ478" t="n">
        <v>1</v>
      </c>
      <c r="DU478" t="n">
        <v>1010</v>
      </c>
      <c r="DV478" t="inlineStr">
        <is>
          <t>шт.</t>
        </is>
      </c>
      <c r="DW478" t="inlineStr">
        <is>
          <t>шт.</t>
        </is>
      </c>
      <c r="DX478" t="n">
        <v>1</v>
      </c>
      <c r="DZ478" t="inlineStr"/>
      <c r="EA478" t="inlineStr"/>
      <c r="EB478" t="inlineStr"/>
      <c r="EC478" t="inlineStr"/>
      <c r="EE478" t="n">
        <v>78725665</v>
      </c>
      <c r="EF478" t="n">
        <v>3</v>
      </c>
      <c r="EG478" t="inlineStr">
        <is>
          <t>Монтажные работы</t>
        </is>
      </c>
      <c r="EH478" t="n">
        <v>0</v>
      </c>
      <c r="EI478" t="inlineStr"/>
      <c r="EJ478" t="n">
        <v>2</v>
      </c>
      <c r="EK478" t="n">
        <v>108001</v>
      </c>
      <c r="EL478" t="inlineStr">
        <is>
          <t>Электротехнические установки: на других объектах</t>
        </is>
      </c>
      <c r="EM478" t="inlineStr">
        <is>
          <t>мФЕР-08</t>
        </is>
      </c>
      <c r="EO478" t="inlineStr"/>
      <c r="EQ478" t="n">
        <v>0</v>
      </c>
      <c r="ER478" t="n">
        <v>5.25</v>
      </c>
      <c r="ES478" t="n">
        <v>5.25</v>
      </c>
      <c r="ET478" t="n">
        <v>0</v>
      </c>
      <c r="EU478" t="n">
        <v>0</v>
      </c>
      <c r="EV478" t="n">
        <v>0</v>
      </c>
      <c r="EW478" t="n">
        <v>0</v>
      </c>
      <c r="EX478" t="n">
        <v>0</v>
      </c>
      <c r="FQ478" t="n">
        <v>0</v>
      </c>
      <c r="FR478" t="n">
        <v>0</v>
      </c>
      <c r="FS478" t="n">
        <v>0</v>
      </c>
      <c r="FX478" t="n">
        <v>97</v>
      </c>
      <c r="FY478" t="n">
        <v>51</v>
      </c>
      <c r="GA478" t="inlineStr"/>
      <c r="GD478" t="n">
        <v>1</v>
      </c>
      <c r="GF478" t="n">
        <v>46131977</v>
      </c>
      <c r="GG478" t="n">
        <v>2</v>
      </c>
      <c r="GH478" t="n">
        <v>1</v>
      </c>
      <c r="GI478" t="n">
        <v>2</v>
      </c>
      <c r="GJ478" t="n">
        <v>0</v>
      </c>
      <c r="GK478" t="n">
        <v>0</v>
      </c>
      <c r="GL478">
        <f>ROUND(IF(AND(BH478=3,BI478=3,FS478&lt;&gt;0),P478,0),0)</f>
        <v/>
      </c>
      <c r="GM478">
        <f>ROUND(O478+X478+Y478,0)+GX478</f>
        <v/>
      </c>
      <c r="GN478">
        <f>IF(OR(BI478=0,BI478=1),GM478-GX478,0)</f>
        <v/>
      </c>
      <c r="GO478">
        <f>IF(BI478=2,GM478-GX478,0)</f>
        <v/>
      </c>
      <c r="GP478">
        <f>IF(BI478=4,GM478-GX478,0)</f>
        <v/>
      </c>
      <c r="GR478" t="n">
        <v>0</v>
      </c>
      <c r="GS478" t="n">
        <v>3</v>
      </c>
      <c r="GT478" t="n">
        <v>0</v>
      </c>
      <c r="GU478" t="inlineStr"/>
      <c r="GV478">
        <f>ROUND((GT478),2)</f>
        <v/>
      </c>
      <c r="GW478" t="n">
        <v>1</v>
      </c>
      <c r="GX478">
        <f>ROUND(HC478*I478,0)</f>
        <v/>
      </c>
      <c r="HA478" t="n">
        <v>0</v>
      </c>
      <c r="HB478" t="n">
        <v>0</v>
      </c>
      <c r="HC478">
        <f>GV478*GW478</f>
        <v/>
      </c>
      <c r="HE478" t="inlineStr"/>
      <c r="HF478" t="inlineStr"/>
      <c r="HM478" t="inlineStr"/>
      <c r="HN478" t="inlineStr">
        <is>
          <t>Пр/812-049.3-1</t>
        </is>
      </c>
      <c r="HO478" t="inlineStr">
        <is>
          <t>Пр/774-049.3</t>
        </is>
      </c>
      <c r="HP478" t="inlineStr">
        <is>
          <t>Электротехнические установки: на других объектах</t>
        </is>
      </c>
      <c r="HQ478" t="inlineStr">
        <is>
          <t>Электротехнические установки: на других объектах</t>
        </is>
      </c>
      <c r="HS478" t="n">
        <v>0</v>
      </c>
      <c r="IK478" t="n">
        <v>0</v>
      </c>
    </row>
    <row r="479">
      <c r="A479" t="n">
        <v>18</v>
      </c>
      <c r="B479" t="n">
        <v>0</v>
      </c>
      <c r="C479" t="n">
        <v>250</v>
      </c>
      <c r="E479" t="inlineStr">
        <is>
          <t>5,3</t>
        </is>
      </c>
      <c r="F479" t="inlineStr">
        <is>
          <t>509-2900</t>
        </is>
      </c>
      <c r="G479" t="inlineStr">
        <is>
          <t>Стяжка кабельная (бандаж) 3,6х200 мм</t>
        </is>
      </c>
      <c r="H479" t="inlineStr">
        <is>
          <t>100 шт.</t>
        </is>
      </c>
      <c r="I479">
        <f>I476*J479</f>
        <v/>
      </c>
      <c r="J479" t="n">
        <v>375</v>
      </c>
      <c r="K479" t="n">
        <v>375</v>
      </c>
      <c r="O479">
        <f>ROUND(CP479,0)</f>
        <v/>
      </c>
      <c r="P479">
        <f>ROUND(CQ479*I479,0)</f>
        <v/>
      </c>
      <c r="Q479">
        <f>(ROUND((ROUND(((ET479)*I479),0)*BB479),0)+ROUND((ROUND(((AE479-(EU479))*I479),0)*BS479),0))</f>
        <v/>
      </c>
      <c r="R479">
        <f>(ROUND((ROUND(((EU479)*I479),0)*BS479),0)+ROUND((ROUND(((AE479-(EU479))*I479),0)*BS479),0))</f>
        <v/>
      </c>
      <c r="S479">
        <f>ROUND(CT479*I479,0)</f>
        <v/>
      </c>
      <c r="T479">
        <f>ROUND(CU479*I479,0)</f>
        <v/>
      </c>
      <c r="U479">
        <f>ROUND(CV479*I479,7)</f>
        <v/>
      </c>
      <c r="V479">
        <f>ROUND(CW479*I479,7)</f>
        <v/>
      </c>
      <c r="W479">
        <f>ROUND(CX479*I479,0)</f>
        <v/>
      </c>
      <c r="X479">
        <f>ROUND(CY479,0)</f>
        <v/>
      </c>
      <c r="Y479">
        <f>ROUND(CZ479,0)</f>
        <v/>
      </c>
      <c r="AA479" t="n">
        <v>78869116</v>
      </c>
      <c r="AB479">
        <f>ROUND((AC479+AD479+AF479),2)</f>
        <v/>
      </c>
      <c r="AC479">
        <f>ROUND((ES479),2)</f>
        <v/>
      </c>
      <c r="AD479">
        <f>ROUND((((ET479)-(EU479))+AE479),2)</f>
        <v/>
      </c>
      <c r="AE479">
        <f>ROUND((EU479),2)</f>
        <v/>
      </c>
      <c r="AF479">
        <f>ROUND((EV479),2)</f>
        <v/>
      </c>
      <c r="AG479">
        <f>ROUND((AP479),2)</f>
        <v/>
      </c>
      <c r="AH479">
        <f>(EW479)</f>
        <v/>
      </c>
      <c r="AI479">
        <f>(EX479)</f>
        <v/>
      </c>
      <c r="AJ479">
        <f>(AS479)</f>
        <v/>
      </c>
      <c r="AK479" t="n">
        <v>5.83</v>
      </c>
      <c r="AL479" t="n">
        <v>5.83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  <c r="AS479" t="n">
        <v>0.01</v>
      </c>
      <c r="AT479" t="n">
        <v>97</v>
      </c>
      <c r="AU479" t="n">
        <v>51</v>
      </c>
      <c r="AV479" t="n">
        <v>1</v>
      </c>
      <c r="AW479" t="n">
        <v>1</v>
      </c>
      <c r="AZ479" t="n">
        <v>1</v>
      </c>
      <c r="BA479" t="n">
        <v>1</v>
      </c>
      <c r="BB479" t="n">
        <v>1</v>
      </c>
      <c r="BC479" t="n">
        <v>18.36</v>
      </c>
      <c r="BD479" t="inlineStr"/>
      <c r="BE479" t="inlineStr"/>
      <c r="BF479" t="inlineStr"/>
      <c r="BG479" t="inlineStr"/>
      <c r="BH479" t="n">
        <v>3</v>
      </c>
      <c r="BI479" t="n">
        <v>2</v>
      </c>
      <c r="BJ479" t="inlineStr">
        <is>
          <t>ТССЦ Московской обл., 509-2900, приказ Минстроя России №675/пр от 28.02.2017 № 258/пр</t>
        </is>
      </c>
      <c r="BM479" t="n">
        <v>108001</v>
      </c>
      <c r="BN479" t="n">
        <v>0</v>
      </c>
      <c r="BO479" t="inlineStr">
        <is>
          <t>509-2900</t>
        </is>
      </c>
      <c r="BP479" t="n">
        <v>1</v>
      </c>
      <c r="BQ479" t="n">
        <v>3</v>
      </c>
      <c r="BR479" t="n">
        <v>0</v>
      </c>
      <c r="BS479" t="n">
        <v>1</v>
      </c>
      <c r="BT479" t="n">
        <v>1</v>
      </c>
      <c r="BU479" t="n">
        <v>1</v>
      </c>
      <c r="BV479" t="n">
        <v>1</v>
      </c>
      <c r="BW479" t="n">
        <v>1</v>
      </c>
      <c r="BX479" t="n">
        <v>1</v>
      </c>
      <c r="BY479" t="inlineStr"/>
      <c r="BZ479" t="n">
        <v>97</v>
      </c>
      <c r="CA479" t="n">
        <v>51</v>
      </c>
      <c r="CB479" t="inlineStr"/>
      <c r="CE479" t="n">
        <v>12</v>
      </c>
      <c r="CF479" t="n">
        <v>0</v>
      </c>
      <c r="CG479" t="n">
        <v>0</v>
      </c>
      <c r="CM479" t="n">
        <v>0</v>
      </c>
      <c r="CN479" t="inlineStr"/>
      <c r="CO479" t="n">
        <v>0</v>
      </c>
      <c r="CP479">
        <f>(P479+Q479+S479)</f>
        <v/>
      </c>
      <c r="CQ479">
        <f>AC479*BC479</f>
        <v/>
      </c>
      <c r="CR479">
        <f>(ROUND((ROUND(((ET479)*1),0)*BB479),0)+ROUND((ROUND(((AE479-(EU479))*1),0)*BS479),0))</f>
        <v/>
      </c>
      <c r="CS479">
        <f>(ROUND((ROUND(((EU479)*1),0)*BS479),0)+ROUND((ROUND(((AE479-(EU479))*1),0)*BS479),0))</f>
        <v/>
      </c>
      <c r="CT479">
        <f>AF479*BA479</f>
        <v/>
      </c>
      <c r="CU479">
        <f>AG479</f>
        <v/>
      </c>
      <c r="CV479">
        <f>AH479</f>
        <v/>
      </c>
      <c r="CW479">
        <f>AI479</f>
        <v/>
      </c>
      <c r="CX479">
        <f>AJ479</f>
        <v/>
      </c>
      <c r="CY479">
        <f>(((S479+R479)*AT479)/100)</f>
        <v/>
      </c>
      <c r="CZ479">
        <f>(((S479+R479)*AU479)/100)</f>
        <v/>
      </c>
      <c r="DC479" t="inlineStr"/>
      <c r="DD479" t="inlineStr"/>
      <c r="DE479" t="inlineStr"/>
      <c r="DF479" t="inlineStr"/>
      <c r="DG479" t="inlineStr"/>
      <c r="DH479" t="inlineStr"/>
      <c r="DI479" t="inlineStr"/>
      <c r="DJ479" t="inlineStr"/>
      <c r="DK479" t="inlineStr"/>
      <c r="DL479" t="inlineStr"/>
      <c r="DM479" t="inlineStr"/>
      <c r="DN479" t="n">
        <v>0</v>
      </c>
      <c r="DO479" t="n">
        <v>0</v>
      </c>
      <c r="DP479" t="n">
        <v>1</v>
      </c>
      <c r="DQ479" t="n">
        <v>1</v>
      </c>
      <c r="DU479" t="n">
        <v>1010</v>
      </c>
      <c r="DV479" t="inlineStr">
        <is>
          <t>100 шт.</t>
        </is>
      </c>
      <c r="DW479" t="inlineStr">
        <is>
          <t>100 шт.</t>
        </is>
      </c>
      <c r="DX479" t="n">
        <v>100</v>
      </c>
      <c r="DZ479" t="inlineStr"/>
      <c r="EA479" t="inlineStr"/>
      <c r="EB479" t="inlineStr"/>
      <c r="EC479" t="inlineStr"/>
      <c r="EE479" t="n">
        <v>78725665</v>
      </c>
      <c r="EF479" t="n">
        <v>3</v>
      </c>
      <c r="EG479" t="inlineStr">
        <is>
          <t>Монтажные работы</t>
        </is>
      </c>
      <c r="EH479" t="n">
        <v>0</v>
      </c>
      <c r="EI479" t="inlineStr"/>
      <c r="EJ479" t="n">
        <v>2</v>
      </c>
      <c r="EK479" t="n">
        <v>108001</v>
      </c>
      <c r="EL479" t="inlineStr">
        <is>
          <t>Электротехнические установки: на других объектах</t>
        </is>
      </c>
      <c r="EM479" t="inlineStr">
        <is>
          <t>мФЕР-08</t>
        </is>
      </c>
      <c r="EO479" t="inlineStr"/>
      <c r="EQ479" t="n">
        <v>0</v>
      </c>
      <c r="ER479" t="n">
        <v>5.83</v>
      </c>
      <c r="ES479" t="n">
        <v>5.83</v>
      </c>
      <c r="ET479" t="n">
        <v>0</v>
      </c>
      <c r="EU479" t="n">
        <v>0</v>
      </c>
      <c r="EV479" t="n">
        <v>0</v>
      </c>
      <c r="EW479" t="n">
        <v>0</v>
      </c>
      <c r="EX479" t="n">
        <v>0</v>
      </c>
      <c r="FQ479" t="n">
        <v>0</v>
      </c>
      <c r="FR479" t="n">
        <v>0</v>
      </c>
      <c r="FS479" t="n">
        <v>0</v>
      </c>
      <c r="FX479" t="n">
        <v>97</v>
      </c>
      <c r="FY479" t="n">
        <v>51</v>
      </c>
      <c r="GA479" t="inlineStr"/>
      <c r="GD479" t="n">
        <v>1</v>
      </c>
      <c r="GF479" t="n">
        <v>1730274290</v>
      </c>
      <c r="GG479" t="n">
        <v>2</v>
      </c>
      <c r="GH479" t="n">
        <v>1</v>
      </c>
      <c r="GI479" t="n">
        <v>2</v>
      </c>
      <c r="GJ479" t="n">
        <v>0</v>
      </c>
      <c r="GK479" t="n">
        <v>0</v>
      </c>
      <c r="GL479">
        <f>ROUND(IF(AND(BH479=3,BI479=3,FS479&lt;&gt;0),P479,0),0)</f>
        <v/>
      </c>
      <c r="GM479">
        <f>ROUND(O479+X479+Y479,0)+GX479</f>
        <v/>
      </c>
      <c r="GN479">
        <f>IF(OR(BI479=0,BI479=1),GM479-GX479,0)</f>
        <v/>
      </c>
      <c r="GO479">
        <f>IF(BI479=2,GM479-GX479,0)</f>
        <v/>
      </c>
      <c r="GP479">
        <f>IF(BI479=4,GM479-GX479,0)</f>
        <v/>
      </c>
      <c r="GR479" t="n">
        <v>0</v>
      </c>
      <c r="GS479" t="n">
        <v>3</v>
      </c>
      <c r="GT479" t="n">
        <v>0</v>
      </c>
      <c r="GU479" t="inlineStr"/>
      <c r="GV479">
        <f>ROUND((GT479),2)</f>
        <v/>
      </c>
      <c r="GW479" t="n">
        <v>1</v>
      </c>
      <c r="GX479">
        <f>ROUND(HC479*I479,0)</f>
        <v/>
      </c>
      <c r="HA479" t="n">
        <v>0</v>
      </c>
      <c r="HB479" t="n">
        <v>0</v>
      </c>
      <c r="HC479">
        <f>GV479*GW479</f>
        <v/>
      </c>
      <c r="HE479" t="inlineStr"/>
      <c r="HF479" t="inlineStr"/>
      <c r="HM479" t="inlineStr"/>
      <c r="HN479" t="inlineStr">
        <is>
          <t>Пр/812-049.3-1</t>
        </is>
      </c>
      <c r="HO479" t="inlineStr">
        <is>
          <t>Пр/774-049.3</t>
        </is>
      </c>
      <c r="HP479" t="inlineStr">
        <is>
          <t>Электротехнические установки: на других объектах</t>
        </is>
      </c>
      <c r="HQ479" t="inlineStr">
        <is>
          <t>Электротехнические установки: на других объектах</t>
        </is>
      </c>
      <c r="HS479" t="n">
        <v>0</v>
      </c>
      <c r="IK479" t="n">
        <v>0</v>
      </c>
    </row>
    <row r="480"/>
    <row r="481">
      <c r="A481" s="402" t="n">
        <v>51</v>
      </c>
      <c r="B481" s="402">
        <f>B465</f>
        <v/>
      </c>
      <c r="C481" s="402">
        <f>A465</f>
        <v/>
      </c>
      <c r="D481" s="402">
        <f>ROW(A465)</f>
        <v/>
      </c>
      <c r="E481" s="402" t="n"/>
      <c r="F481" s="402">
        <f>IF(F465&lt;&gt;"",F465,"")</f>
        <v/>
      </c>
      <c r="G481" s="402">
        <f>IF(G465&lt;&gt;"",G465,"")</f>
        <v/>
      </c>
      <c r="H481" s="402" t="n">
        <v>0</v>
      </c>
      <c r="I481" s="402" t="n"/>
      <c r="J481" s="402" t="n"/>
      <c r="K481" s="402" t="n"/>
      <c r="L481" s="402" t="n"/>
      <c r="M481" s="402" t="n"/>
      <c r="N481" s="402" t="n"/>
      <c r="O481" s="402" t="n">
        <v>0</v>
      </c>
      <c r="P481" s="402" t="n">
        <v>0</v>
      </c>
      <c r="Q481" s="402" t="n">
        <v>0</v>
      </c>
      <c r="R481" s="402" t="n">
        <v>0</v>
      </c>
      <c r="S481" s="402" t="n">
        <v>0</v>
      </c>
      <c r="T481" s="402" t="n">
        <v>0</v>
      </c>
      <c r="U481" s="402" t="n">
        <v>0</v>
      </c>
      <c r="V481" s="402" t="n">
        <v>0</v>
      </c>
      <c r="W481" s="402" t="n">
        <v>0</v>
      </c>
      <c r="X481" s="402" t="n">
        <v>0</v>
      </c>
      <c r="Y481" s="402" t="n">
        <v>0</v>
      </c>
      <c r="Z481" s="402" t="n"/>
      <c r="AA481" s="402" t="n"/>
      <c r="AB481" s="402" t="n"/>
      <c r="AC481" s="402" t="n"/>
      <c r="AD481" s="402" t="n"/>
      <c r="AE481" s="402" t="n"/>
      <c r="AF481" s="402" t="n"/>
      <c r="AG481" s="402" t="n"/>
      <c r="AH481" s="402" t="n"/>
      <c r="AI481" s="402" t="n"/>
      <c r="AJ481" s="402" t="n"/>
      <c r="AK481" s="402" t="n"/>
      <c r="AL481" s="402" t="n"/>
      <c r="AM481" s="402" t="n"/>
      <c r="AN481" s="402" t="n"/>
      <c r="AO481" s="402">
        <f>ROUND(BX481,0)</f>
        <v/>
      </c>
      <c r="AP481" s="402">
        <f>ROUND(BY481,0)</f>
        <v/>
      </c>
      <c r="AQ481" s="402">
        <f>ROUND(BZ481,0)</f>
        <v/>
      </c>
      <c r="AR481" s="402">
        <f>ROUND(CA481,0)</f>
        <v/>
      </c>
      <c r="AS481" s="402">
        <f>ROUND(CB481,0)</f>
        <v/>
      </c>
      <c r="AT481" s="402">
        <f>ROUND(CC481,0)</f>
        <v/>
      </c>
      <c r="AU481" s="402">
        <f>ROUND(CD481,0)</f>
        <v/>
      </c>
      <c r="AV481" s="402">
        <f>ROUND(CE481,0)</f>
        <v/>
      </c>
      <c r="AW481" s="402">
        <f>ROUND(CF481,0)</f>
        <v/>
      </c>
      <c r="AX481" s="402">
        <f>ROUND(CG481,0)</f>
        <v/>
      </c>
      <c r="AY481" s="402">
        <f>ROUND(CH481,0)</f>
        <v/>
      </c>
      <c r="AZ481" s="402">
        <f>ROUND(CI481,0)</f>
        <v/>
      </c>
      <c r="BA481" s="402">
        <f>ROUND(CJ481,0)</f>
        <v/>
      </c>
      <c r="BB481" s="402">
        <f>ROUND(CK481,0)</f>
        <v/>
      </c>
      <c r="BC481" s="402">
        <f>ROUND(CL481,0)</f>
        <v/>
      </c>
      <c r="BD481" s="402">
        <f>ROUND(CM481,0)</f>
        <v/>
      </c>
      <c r="BE481" s="402" t="n"/>
      <c r="BF481" s="402" t="n"/>
      <c r="BG481" s="402" t="n"/>
      <c r="BH481" s="402" t="n"/>
      <c r="BI481" s="402" t="n"/>
      <c r="BJ481" s="402" t="n"/>
      <c r="BK481" s="402" t="n"/>
      <c r="BL481" s="402" t="n"/>
      <c r="BM481" s="402" t="n"/>
      <c r="BN481" s="402" t="n"/>
      <c r="BO481" s="402" t="n"/>
      <c r="BP481" s="402" t="n"/>
      <c r="BQ481" s="402" t="n"/>
      <c r="BR481" s="402" t="n"/>
      <c r="BS481" s="402" t="n"/>
      <c r="BT481" s="402" t="n"/>
      <c r="BU481" s="402" t="n"/>
      <c r="BV481" s="402" t="n"/>
      <c r="BW481" s="402" t="n"/>
      <c r="BX481" s="402" t="n"/>
      <c r="BY481" s="402" t="n"/>
      <c r="BZ481" s="402" t="n"/>
      <c r="CA481" s="402" t="n"/>
      <c r="CB481" s="402" t="n"/>
      <c r="CC481" s="402" t="n"/>
      <c r="CD481" s="402" t="n"/>
      <c r="CE481" s="402" t="n"/>
      <c r="CF481" s="402" t="n"/>
      <c r="CG481" s="402" t="n"/>
      <c r="CH481" s="402" t="n"/>
      <c r="CI481" s="402" t="n"/>
      <c r="CJ481" s="402" t="n"/>
      <c r="CK481" s="402" t="n"/>
      <c r="CL481" s="402" t="n"/>
      <c r="CM481" s="402" t="n"/>
      <c r="CN481" s="402" t="n"/>
      <c r="CO481" s="402" t="n"/>
      <c r="CP481" s="402" t="n"/>
      <c r="CQ481" s="402" t="n"/>
      <c r="CR481" s="402" t="n"/>
      <c r="CS481" s="402" t="n"/>
      <c r="CT481" s="402" t="n"/>
      <c r="CU481" s="402" t="n"/>
      <c r="CV481" s="402" t="n"/>
      <c r="CW481" s="402" t="n"/>
      <c r="CX481" s="402" t="n"/>
      <c r="CY481" s="402" t="n"/>
      <c r="CZ481" s="402" t="n"/>
      <c r="DA481" s="402" t="n"/>
      <c r="DB481" s="402" t="n"/>
      <c r="DC481" s="402" t="n"/>
      <c r="DD481" s="402" t="n"/>
      <c r="DE481" s="402" t="n"/>
      <c r="DF481" s="402" t="n"/>
      <c r="DG481" s="403" t="n"/>
      <c r="DH481" s="403" t="n"/>
      <c r="DI481" s="403" t="n"/>
      <c r="DJ481" s="403" t="n"/>
      <c r="DK481" s="403" t="n"/>
      <c r="DL481" s="403" t="n"/>
      <c r="DM481" s="403" t="n"/>
      <c r="DN481" s="403" t="n"/>
      <c r="DO481" s="403" t="n"/>
      <c r="DP481" s="403" t="n"/>
      <c r="DQ481" s="403" t="n"/>
      <c r="DR481" s="403" t="n"/>
      <c r="DS481" s="403" t="n"/>
      <c r="DT481" s="403" t="n"/>
      <c r="DU481" s="403" t="n"/>
      <c r="DV481" s="403" t="n"/>
      <c r="DW481" s="403" t="n"/>
      <c r="DX481" s="403" t="n"/>
      <c r="DY481" s="403" t="n"/>
      <c r="DZ481" s="403" t="n"/>
      <c r="EA481" s="403" t="n"/>
      <c r="EB481" s="403" t="n"/>
      <c r="EC481" s="403" t="n"/>
      <c r="ED481" s="403" t="n"/>
      <c r="EE481" s="403" t="n"/>
      <c r="EF481" s="403" t="n"/>
      <c r="EG481" s="403" t="n"/>
      <c r="EH481" s="403" t="n"/>
      <c r="EI481" s="403" t="n"/>
      <c r="EJ481" s="403" t="n"/>
      <c r="EK481" s="403" t="n"/>
      <c r="EL481" s="403" t="n"/>
      <c r="EM481" s="403" t="n"/>
      <c r="EN481" s="403" t="n"/>
      <c r="EO481" s="403" t="n"/>
      <c r="EP481" s="403" t="n"/>
      <c r="EQ481" s="403" t="n"/>
      <c r="ER481" s="403" t="n"/>
      <c r="ES481" s="403" t="n"/>
      <c r="ET481" s="403" t="n"/>
      <c r="EU481" s="403" t="n"/>
      <c r="EV481" s="403" t="n"/>
      <c r="EW481" s="403" t="n"/>
      <c r="EX481" s="403" t="n"/>
      <c r="EY481" s="403" t="n"/>
      <c r="EZ481" s="403" t="n"/>
      <c r="FA481" s="403" t="n"/>
      <c r="FB481" s="403" t="n"/>
      <c r="FC481" s="403" t="n"/>
      <c r="FD481" s="403" t="n"/>
      <c r="FE481" s="403" t="n"/>
      <c r="FF481" s="403" t="n"/>
      <c r="FG481" s="403" t="n"/>
      <c r="FH481" s="403" t="n"/>
      <c r="FI481" s="403" t="n"/>
      <c r="FJ481" s="403" t="n"/>
      <c r="FK481" s="403" t="n"/>
      <c r="FL481" s="403" t="n"/>
      <c r="FM481" s="403" t="n"/>
      <c r="FN481" s="403" t="n"/>
      <c r="FO481" s="403" t="n"/>
      <c r="FP481" s="403" t="n"/>
      <c r="FQ481" s="403" t="n"/>
      <c r="FR481" s="403" t="n"/>
      <c r="FS481" s="403" t="n"/>
      <c r="FT481" s="403" t="n"/>
      <c r="FU481" s="403" t="n"/>
      <c r="FV481" s="403" t="n"/>
      <c r="FW481" s="403" t="n"/>
      <c r="FX481" s="403" t="n"/>
      <c r="FY481" s="403" t="n"/>
      <c r="FZ481" s="403" t="n"/>
      <c r="GA481" s="403" t="n"/>
      <c r="GB481" s="403" t="n"/>
      <c r="GC481" s="403" t="n"/>
      <c r="GD481" s="403" t="n"/>
      <c r="GE481" s="403" t="n"/>
      <c r="GF481" s="403" t="n"/>
      <c r="GG481" s="403" t="n"/>
      <c r="GH481" s="403" t="n"/>
      <c r="GI481" s="403" t="n"/>
      <c r="GJ481" s="403" t="n"/>
      <c r="GK481" s="403" t="n"/>
      <c r="GL481" s="403" t="n"/>
      <c r="GM481" s="403" t="n"/>
      <c r="GN481" s="403" t="n"/>
      <c r="GO481" s="403" t="n"/>
      <c r="GP481" s="403" t="n"/>
      <c r="GQ481" s="403" t="n"/>
      <c r="GR481" s="403" t="n"/>
      <c r="GS481" s="403" t="n"/>
      <c r="GT481" s="403" t="n"/>
      <c r="GU481" s="403" t="n"/>
      <c r="GV481" s="403" t="n"/>
      <c r="GW481" s="403" t="n"/>
      <c r="GX481" s="403" t="n">
        <v>0</v>
      </c>
    </row>
    <row r="482"/>
    <row r="483">
      <c r="A483" s="404" t="n">
        <v>50</v>
      </c>
      <c r="B483" s="404" t="n">
        <v>0</v>
      </c>
      <c r="C483" s="404" t="n">
        <v>0</v>
      </c>
      <c r="D483" s="404" t="n">
        <v>1</v>
      </c>
      <c r="E483" s="404" t="n">
        <v>201</v>
      </c>
      <c r="F483" s="404">
        <f>ROUND(Source!O481,O483)</f>
        <v/>
      </c>
      <c r="G483" s="404" t="inlineStr">
        <is>
          <t>ПЗ</t>
        </is>
      </c>
      <c r="H483" s="404" t="inlineStr">
        <is>
          <t>Прямые затраты</t>
        </is>
      </c>
      <c r="I483" s="404" t="n"/>
      <c r="J483" s="404" t="n"/>
      <c r="K483" s="404" t="n">
        <v>201</v>
      </c>
      <c r="L483" s="404" t="n">
        <v>1</v>
      </c>
      <c r="M483" s="404" t="n">
        <v>3</v>
      </c>
      <c r="N483" s="404" t="inlineStr"/>
      <c r="O483" s="404" t="n">
        <v>0</v>
      </c>
      <c r="P483" s="404" t="n"/>
      <c r="Q483" s="404" t="n"/>
      <c r="R483" s="404" t="n"/>
      <c r="S483" s="404" t="n"/>
      <c r="T483" s="404" t="n"/>
      <c r="U483" s="404" t="n"/>
      <c r="V483" s="404" t="n"/>
      <c r="W483" s="404" t="n">
        <v>0</v>
      </c>
      <c r="X483" s="404" t="n">
        <v>1</v>
      </c>
      <c r="Y483" s="404" t="n">
        <v>0</v>
      </c>
      <c r="Z483" s="404" t="n"/>
      <c r="AA483" s="404" t="n"/>
      <c r="AB483" s="404" t="n"/>
    </row>
    <row r="484">
      <c r="A484" s="404" t="n">
        <v>50</v>
      </c>
      <c r="B484" s="404" t="n">
        <v>0</v>
      </c>
      <c r="C484" s="404" t="n">
        <v>0</v>
      </c>
      <c r="D484" s="404" t="n">
        <v>1</v>
      </c>
      <c r="E484" s="404" t="n">
        <v>202</v>
      </c>
      <c r="F484" s="404">
        <f>ROUND(Source!P481,O484)</f>
        <v/>
      </c>
      <c r="G484" s="404" t="inlineStr">
        <is>
          <t>СтМатОб</t>
        </is>
      </c>
      <c r="H484" s="404" t="inlineStr">
        <is>
          <t>Стоимость материальных ресурсов (всего)</t>
        </is>
      </c>
      <c r="I484" s="404" t="n"/>
      <c r="J484" s="404" t="n"/>
      <c r="K484" s="404" t="n">
        <v>202</v>
      </c>
      <c r="L484" s="404" t="n">
        <v>2</v>
      </c>
      <c r="M484" s="404" t="n">
        <v>3</v>
      </c>
      <c r="N484" s="404" t="inlineStr"/>
      <c r="O484" s="404" t="n">
        <v>0</v>
      </c>
      <c r="P484" s="404" t="n"/>
      <c r="Q484" s="404" t="n"/>
      <c r="R484" s="404" t="n"/>
      <c r="S484" s="404" t="n"/>
      <c r="T484" s="404" t="n"/>
      <c r="U484" s="404" t="n"/>
      <c r="V484" s="404" t="n"/>
      <c r="W484" s="404" t="n">
        <v>0</v>
      </c>
      <c r="X484" s="404" t="n">
        <v>1</v>
      </c>
      <c r="Y484" s="404" t="n">
        <v>0</v>
      </c>
      <c r="Z484" s="404" t="n"/>
      <c r="AA484" s="404" t="n"/>
      <c r="AB484" s="404" t="n"/>
    </row>
    <row r="485">
      <c r="A485" s="404" t="n">
        <v>50</v>
      </c>
      <c r="B485" s="404" t="n">
        <v>0</v>
      </c>
      <c r="C485" s="404" t="n">
        <v>0</v>
      </c>
      <c r="D485" s="404" t="n">
        <v>1</v>
      </c>
      <c r="E485" s="404" t="n">
        <v>222</v>
      </c>
      <c r="F485" s="404">
        <f>ROUND(Source!AO481,O485)</f>
        <v/>
      </c>
      <c r="G485" s="404" t="inlineStr">
        <is>
          <t>СтМатОбЗак</t>
        </is>
      </c>
      <c r="H485" s="404" t="inlineStr">
        <is>
          <t>Стоимость материалов и оборудования заказчика</t>
        </is>
      </c>
      <c r="I485" s="404" t="n"/>
      <c r="J485" s="404" t="n"/>
      <c r="K485" s="404" t="n">
        <v>222</v>
      </c>
      <c r="L485" s="404" t="n">
        <v>3</v>
      </c>
      <c r="M485" s="404" t="n">
        <v>3</v>
      </c>
      <c r="N485" s="404" t="inlineStr"/>
      <c r="O485" s="404" t="n">
        <v>0</v>
      </c>
      <c r="P485" s="404" t="n"/>
      <c r="Q485" s="404" t="n"/>
      <c r="R485" s="404" t="n"/>
      <c r="S485" s="404" t="n"/>
      <c r="T485" s="404" t="n"/>
      <c r="U485" s="404" t="n"/>
      <c r="V485" s="404" t="n"/>
      <c r="W485" s="404" t="n">
        <v>0</v>
      </c>
      <c r="X485" s="404" t="n">
        <v>1</v>
      </c>
      <c r="Y485" s="404" t="n">
        <v>0</v>
      </c>
      <c r="Z485" s="404" t="n"/>
      <c r="AA485" s="404" t="n"/>
      <c r="AB485" s="404" t="n"/>
    </row>
    <row r="486">
      <c r="A486" s="404" t="n">
        <v>50</v>
      </c>
      <c r="B486" s="404" t="n">
        <v>0</v>
      </c>
      <c r="C486" s="404" t="n">
        <v>0</v>
      </c>
      <c r="D486" s="404" t="n">
        <v>1</v>
      </c>
      <c r="E486" s="404" t="n">
        <v>225</v>
      </c>
      <c r="F486" s="404">
        <f>ROUND(Source!AV481,O486)</f>
        <v/>
      </c>
      <c r="G486" s="404" t="inlineStr">
        <is>
          <t>СтМатОбПод</t>
        </is>
      </c>
      <c r="H486" s="404" t="inlineStr">
        <is>
          <t>Стоимость материалов и оборудования подрядчика</t>
        </is>
      </c>
      <c r="I486" s="404" t="n"/>
      <c r="J486" s="404" t="n"/>
      <c r="K486" s="404" t="n">
        <v>225</v>
      </c>
      <c r="L486" s="404" t="n">
        <v>4</v>
      </c>
      <c r="M486" s="404" t="n">
        <v>3</v>
      </c>
      <c r="N486" s="404" t="inlineStr"/>
      <c r="O486" s="404" t="n">
        <v>0</v>
      </c>
      <c r="P486" s="404" t="n"/>
      <c r="Q486" s="404" t="n"/>
      <c r="R486" s="404" t="n"/>
      <c r="S486" s="404" t="n"/>
      <c r="T486" s="404" t="n"/>
      <c r="U486" s="404" t="n"/>
      <c r="V486" s="404" t="n"/>
      <c r="W486" s="404" t="n">
        <v>0</v>
      </c>
      <c r="X486" s="404" t="n">
        <v>1</v>
      </c>
      <c r="Y486" s="404" t="n">
        <v>0</v>
      </c>
      <c r="Z486" s="404" t="n"/>
      <c r="AA486" s="404" t="n"/>
      <c r="AB486" s="404" t="n"/>
    </row>
    <row r="487">
      <c r="A487" s="404" t="n">
        <v>50</v>
      </c>
      <c r="B487" s="404" t="n">
        <v>0</v>
      </c>
      <c r="C487" s="404" t="n">
        <v>0</v>
      </c>
      <c r="D487" s="404" t="n">
        <v>1</v>
      </c>
      <c r="E487" s="404" t="n">
        <v>226</v>
      </c>
      <c r="F487" s="404">
        <f>ROUND(Source!AW481,O487)</f>
        <v/>
      </c>
      <c r="G487" s="404" t="inlineStr">
        <is>
          <t>СтМат</t>
        </is>
      </c>
      <c r="H487" s="404" t="inlineStr">
        <is>
          <t>Стоимость материалов (всего)</t>
        </is>
      </c>
      <c r="I487" s="404" t="n"/>
      <c r="J487" s="404" t="n"/>
      <c r="K487" s="404" t="n">
        <v>226</v>
      </c>
      <c r="L487" s="404" t="n">
        <v>5</v>
      </c>
      <c r="M487" s="404" t="n">
        <v>3</v>
      </c>
      <c r="N487" s="404" t="inlineStr"/>
      <c r="O487" s="404" t="n">
        <v>0</v>
      </c>
      <c r="P487" s="404" t="n"/>
      <c r="Q487" s="404" t="n"/>
      <c r="R487" s="404" t="n"/>
      <c r="S487" s="404" t="n"/>
      <c r="T487" s="404" t="n"/>
      <c r="U487" s="404" t="n"/>
      <c r="V487" s="404" t="n"/>
      <c r="W487" s="404" t="n">
        <v>0</v>
      </c>
      <c r="X487" s="404" t="n">
        <v>1</v>
      </c>
      <c r="Y487" s="404" t="n">
        <v>0</v>
      </c>
      <c r="Z487" s="404" t="n"/>
      <c r="AA487" s="404" t="n"/>
      <c r="AB487" s="404" t="n"/>
    </row>
    <row r="488">
      <c r="A488" s="404" t="n">
        <v>50</v>
      </c>
      <c r="B488" s="404" t="n">
        <v>0</v>
      </c>
      <c r="C488" s="404" t="n">
        <v>0</v>
      </c>
      <c r="D488" s="404" t="n">
        <v>1</v>
      </c>
      <c r="E488" s="404" t="n">
        <v>227</v>
      </c>
      <c r="F488" s="404">
        <f>ROUND(Source!AX481,O488)</f>
        <v/>
      </c>
      <c r="G488" s="404" t="inlineStr">
        <is>
          <t>СтМатЗак</t>
        </is>
      </c>
      <c r="H488" s="404" t="inlineStr">
        <is>
          <t>Стоимость материалов заказчика</t>
        </is>
      </c>
      <c r="I488" s="404" t="n"/>
      <c r="J488" s="404" t="n"/>
      <c r="K488" s="404" t="n">
        <v>227</v>
      </c>
      <c r="L488" s="404" t="n">
        <v>6</v>
      </c>
      <c r="M488" s="404" t="n">
        <v>3</v>
      </c>
      <c r="N488" s="404" t="inlineStr"/>
      <c r="O488" s="404" t="n">
        <v>0</v>
      </c>
      <c r="P488" s="404" t="n"/>
      <c r="Q488" s="404" t="n"/>
      <c r="R488" s="404" t="n"/>
      <c r="S488" s="404" t="n"/>
      <c r="T488" s="404" t="n"/>
      <c r="U488" s="404" t="n"/>
      <c r="V488" s="404" t="n"/>
      <c r="W488" s="404" t="n">
        <v>0</v>
      </c>
      <c r="X488" s="404" t="n">
        <v>1</v>
      </c>
      <c r="Y488" s="404" t="n">
        <v>0</v>
      </c>
      <c r="Z488" s="404" t="n"/>
      <c r="AA488" s="404" t="n"/>
      <c r="AB488" s="404" t="n"/>
    </row>
    <row r="489">
      <c r="A489" s="404" t="n">
        <v>50</v>
      </c>
      <c r="B489" s="404" t="n">
        <v>0</v>
      </c>
      <c r="C489" s="404" t="n">
        <v>0</v>
      </c>
      <c r="D489" s="404" t="n">
        <v>1</v>
      </c>
      <c r="E489" s="404" t="n">
        <v>228</v>
      </c>
      <c r="F489" s="404">
        <f>ROUND(Source!AY481,O489)</f>
        <v/>
      </c>
      <c r="G489" s="404" t="inlineStr">
        <is>
          <t>СтМатПод</t>
        </is>
      </c>
      <c r="H489" s="404" t="inlineStr">
        <is>
          <t>Стоимость материалов подрядчика</t>
        </is>
      </c>
      <c r="I489" s="404" t="n"/>
      <c r="J489" s="404" t="n"/>
      <c r="K489" s="404" t="n">
        <v>228</v>
      </c>
      <c r="L489" s="404" t="n">
        <v>7</v>
      </c>
      <c r="M489" s="404" t="n">
        <v>3</v>
      </c>
      <c r="N489" s="404" t="inlineStr"/>
      <c r="O489" s="404" t="n">
        <v>0</v>
      </c>
      <c r="P489" s="404" t="n"/>
      <c r="Q489" s="404" t="n"/>
      <c r="R489" s="404" t="n"/>
      <c r="S489" s="404" t="n"/>
      <c r="T489" s="404" t="n"/>
      <c r="U489" s="404" t="n"/>
      <c r="V489" s="404" t="n"/>
      <c r="W489" s="404" t="n">
        <v>0</v>
      </c>
      <c r="X489" s="404" t="n">
        <v>1</v>
      </c>
      <c r="Y489" s="404" t="n">
        <v>0</v>
      </c>
      <c r="Z489" s="404" t="n"/>
      <c r="AA489" s="404" t="n"/>
      <c r="AB489" s="404" t="n"/>
    </row>
    <row r="490">
      <c r="A490" s="404" t="n">
        <v>50</v>
      </c>
      <c r="B490" s="404" t="n">
        <v>0</v>
      </c>
      <c r="C490" s="404" t="n">
        <v>0</v>
      </c>
      <c r="D490" s="404" t="n">
        <v>1</v>
      </c>
      <c r="E490" s="404" t="n">
        <v>216</v>
      </c>
      <c r="F490" s="404">
        <f>ROUND(Source!AP481,O490)</f>
        <v/>
      </c>
      <c r="G490" s="404" t="inlineStr">
        <is>
          <t>Оборуд</t>
        </is>
      </c>
      <c r="H490" s="404" t="inlineStr">
        <is>
          <t>Стоимость оборудования (всего)</t>
        </is>
      </c>
      <c r="I490" s="404" t="n"/>
      <c r="J490" s="404" t="n"/>
      <c r="K490" s="404" t="n">
        <v>216</v>
      </c>
      <c r="L490" s="404" t="n">
        <v>8</v>
      </c>
      <c r="M490" s="404" t="n">
        <v>3</v>
      </c>
      <c r="N490" s="404" t="inlineStr"/>
      <c r="O490" s="404" t="n">
        <v>0</v>
      </c>
      <c r="P490" s="404" t="n"/>
      <c r="Q490" s="404" t="n"/>
      <c r="R490" s="404" t="n"/>
      <c r="S490" s="404" t="n"/>
      <c r="T490" s="404" t="n"/>
      <c r="U490" s="404" t="n"/>
      <c r="V490" s="404" t="n"/>
      <c r="W490" s="404" t="n">
        <v>0</v>
      </c>
      <c r="X490" s="404" t="n">
        <v>1</v>
      </c>
      <c r="Y490" s="404" t="n">
        <v>0</v>
      </c>
      <c r="Z490" s="404" t="n"/>
      <c r="AA490" s="404" t="n"/>
      <c r="AB490" s="404" t="n"/>
    </row>
    <row r="491">
      <c r="A491" s="404" t="n">
        <v>50</v>
      </c>
      <c r="B491" s="404" t="n">
        <v>0</v>
      </c>
      <c r="C491" s="404" t="n">
        <v>0</v>
      </c>
      <c r="D491" s="404" t="n">
        <v>1</v>
      </c>
      <c r="E491" s="404" t="n">
        <v>223</v>
      </c>
      <c r="F491" s="404">
        <f>ROUND(Source!AQ481,O491)</f>
        <v/>
      </c>
      <c r="G491" s="404" t="inlineStr">
        <is>
          <t>ОборудЗак</t>
        </is>
      </c>
      <c r="H491" s="404" t="inlineStr">
        <is>
          <t>Стоимость оборудования заказчика</t>
        </is>
      </c>
      <c r="I491" s="404" t="n"/>
      <c r="J491" s="404" t="n"/>
      <c r="K491" s="404" t="n">
        <v>223</v>
      </c>
      <c r="L491" s="404" t="n">
        <v>9</v>
      </c>
      <c r="M491" s="404" t="n">
        <v>3</v>
      </c>
      <c r="N491" s="404" t="inlineStr"/>
      <c r="O491" s="404" t="n">
        <v>0</v>
      </c>
      <c r="P491" s="404" t="n"/>
      <c r="Q491" s="404" t="n"/>
      <c r="R491" s="404" t="n"/>
      <c r="S491" s="404" t="n"/>
      <c r="T491" s="404" t="n"/>
      <c r="U491" s="404" t="n"/>
      <c r="V491" s="404" t="n"/>
      <c r="W491" s="404" t="n">
        <v>0</v>
      </c>
      <c r="X491" s="404" t="n">
        <v>1</v>
      </c>
      <c r="Y491" s="404" t="n">
        <v>0</v>
      </c>
      <c r="Z491" s="404" t="n"/>
      <c r="AA491" s="404" t="n"/>
      <c r="AB491" s="404" t="n"/>
    </row>
    <row r="492">
      <c r="A492" s="404" t="n">
        <v>50</v>
      </c>
      <c r="B492" s="404" t="n">
        <v>0</v>
      </c>
      <c r="C492" s="404" t="n">
        <v>0</v>
      </c>
      <c r="D492" s="404" t="n">
        <v>1</v>
      </c>
      <c r="E492" s="404" t="n">
        <v>229</v>
      </c>
      <c r="F492" s="404">
        <f>ROUND(Source!AZ481,O492)</f>
        <v/>
      </c>
      <c r="G492" s="404" t="inlineStr">
        <is>
          <t>ОборудПод</t>
        </is>
      </c>
      <c r="H492" s="404" t="inlineStr">
        <is>
          <t>Стоимость оборудования подрядчика</t>
        </is>
      </c>
      <c r="I492" s="404" t="n"/>
      <c r="J492" s="404" t="n"/>
      <c r="K492" s="404" t="n">
        <v>229</v>
      </c>
      <c r="L492" s="404" t="n">
        <v>10</v>
      </c>
      <c r="M492" s="404" t="n">
        <v>3</v>
      </c>
      <c r="N492" s="404" t="inlineStr"/>
      <c r="O492" s="404" t="n">
        <v>0</v>
      </c>
      <c r="P492" s="404" t="n"/>
      <c r="Q492" s="404" t="n"/>
      <c r="R492" s="404" t="n"/>
      <c r="S492" s="404" t="n"/>
      <c r="T492" s="404" t="n"/>
      <c r="U492" s="404" t="n"/>
      <c r="V492" s="404" t="n"/>
      <c r="W492" s="404" t="n">
        <v>0</v>
      </c>
      <c r="X492" s="404" t="n">
        <v>1</v>
      </c>
      <c r="Y492" s="404" t="n">
        <v>0</v>
      </c>
      <c r="Z492" s="404" t="n"/>
      <c r="AA492" s="404" t="n"/>
      <c r="AB492" s="404" t="n"/>
    </row>
    <row r="493">
      <c r="A493" s="404" t="n">
        <v>50</v>
      </c>
      <c r="B493" s="404" t="n">
        <v>0</v>
      </c>
      <c r="C493" s="404" t="n">
        <v>0</v>
      </c>
      <c r="D493" s="404" t="n">
        <v>1</v>
      </c>
      <c r="E493" s="404" t="n">
        <v>203</v>
      </c>
      <c r="F493" s="404">
        <f>ROUND(Source!Q481,O493)</f>
        <v/>
      </c>
      <c r="G493" s="404" t="inlineStr">
        <is>
          <t>ЭММ</t>
        </is>
      </c>
      <c r="H493" s="404" t="inlineStr">
        <is>
          <t>Эксплуатация машин</t>
        </is>
      </c>
      <c r="I493" s="404" t="n"/>
      <c r="J493" s="404" t="n"/>
      <c r="K493" s="404" t="n">
        <v>203</v>
      </c>
      <c r="L493" s="404" t="n">
        <v>11</v>
      </c>
      <c r="M493" s="404" t="n">
        <v>3</v>
      </c>
      <c r="N493" s="404" t="inlineStr"/>
      <c r="O493" s="404" t="n">
        <v>0</v>
      </c>
      <c r="P493" s="404" t="n"/>
      <c r="Q493" s="404" t="n"/>
      <c r="R493" s="404" t="n"/>
      <c r="S493" s="404" t="n"/>
      <c r="T493" s="404" t="n"/>
      <c r="U493" s="404" t="n"/>
      <c r="V493" s="404" t="n"/>
      <c r="W493" s="404" t="n">
        <v>0</v>
      </c>
      <c r="X493" s="404" t="n">
        <v>1</v>
      </c>
      <c r="Y493" s="404" t="n">
        <v>0</v>
      </c>
      <c r="Z493" s="404" t="n"/>
      <c r="AA493" s="404" t="n"/>
      <c r="AB493" s="404" t="n"/>
    </row>
    <row r="494">
      <c r="A494" s="404" t="n">
        <v>50</v>
      </c>
      <c r="B494" s="404" t="n">
        <v>0</v>
      </c>
      <c r="C494" s="404" t="n">
        <v>0</v>
      </c>
      <c r="D494" s="404" t="n">
        <v>1</v>
      </c>
      <c r="E494" s="404" t="n">
        <v>231</v>
      </c>
      <c r="F494" s="404">
        <f>ROUND(Source!BB481,O494)</f>
        <v/>
      </c>
      <c r="G494" s="404" t="inlineStr">
        <is>
          <t>ЭММсНРиСП</t>
        </is>
      </c>
      <c r="H494" s="404" t="inlineStr">
        <is>
          <t>Эксплуатация машин по ТСН-2001.16</t>
        </is>
      </c>
      <c r="I494" s="404" t="n"/>
      <c r="J494" s="404" t="n"/>
      <c r="K494" s="404" t="n">
        <v>231</v>
      </c>
      <c r="L494" s="404" t="n">
        <v>12</v>
      </c>
      <c r="M494" s="404" t="n">
        <v>3</v>
      </c>
      <c r="N494" s="404" t="inlineStr"/>
      <c r="O494" s="404" t="n">
        <v>0</v>
      </c>
      <c r="P494" s="404" t="n"/>
      <c r="Q494" s="404" t="n"/>
      <c r="R494" s="404" t="n"/>
      <c r="S494" s="404" t="n"/>
      <c r="T494" s="404" t="n"/>
      <c r="U494" s="404" t="n"/>
      <c r="V494" s="404" t="n"/>
      <c r="W494" s="404" t="n">
        <v>0</v>
      </c>
      <c r="X494" s="404" t="n">
        <v>1</v>
      </c>
      <c r="Y494" s="404" t="n">
        <v>0</v>
      </c>
      <c r="Z494" s="404" t="n"/>
      <c r="AA494" s="404" t="n"/>
      <c r="AB494" s="404" t="n"/>
    </row>
    <row r="495">
      <c r="A495" s="404" t="n">
        <v>50</v>
      </c>
      <c r="B495" s="404" t="n">
        <v>0</v>
      </c>
      <c r="C495" s="404" t="n">
        <v>0</v>
      </c>
      <c r="D495" s="404" t="n">
        <v>1</v>
      </c>
      <c r="E495" s="404" t="n">
        <v>204</v>
      </c>
      <c r="F495" s="404">
        <f>ROUND(Source!R481,O495)</f>
        <v/>
      </c>
      <c r="G495" s="404" t="inlineStr">
        <is>
          <t>ЗПМ</t>
        </is>
      </c>
      <c r="H495" s="404" t="inlineStr">
        <is>
          <t>ЗП машинистов</t>
        </is>
      </c>
      <c r="I495" s="404" t="n"/>
      <c r="J495" s="404" t="n"/>
      <c r="K495" s="404" t="n">
        <v>204</v>
      </c>
      <c r="L495" s="404" t="n">
        <v>13</v>
      </c>
      <c r="M495" s="404" t="n">
        <v>3</v>
      </c>
      <c r="N495" s="404" t="inlineStr"/>
      <c r="O495" s="404" t="n">
        <v>0</v>
      </c>
      <c r="P495" s="404" t="n"/>
      <c r="Q495" s="404" t="n"/>
      <c r="R495" s="404" t="n"/>
      <c r="S495" s="404" t="n"/>
      <c r="T495" s="404" t="n"/>
      <c r="U495" s="404" t="n"/>
      <c r="V495" s="404" t="n"/>
      <c r="W495" s="404" t="n">
        <v>0</v>
      </c>
      <c r="X495" s="404" t="n">
        <v>1</v>
      </c>
      <c r="Y495" s="404" t="n">
        <v>0</v>
      </c>
      <c r="Z495" s="404" t="n"/>
      <c r="AA495" s="404" t="n"/>
      <c r="AB495" s="404" t="n"/>
    </row>
    <row r="496">
      <c r="A496" s="404" t="n">
        <v>50</v>
      </c>
      <c r="B496" s="404" t="n">
        <v>0</v>
      </c>
      <c r="C496" s="404" t="n">
        <v>0</v>
      </c>
      <c r="D496" s="404" t="n">
        <v>1</v>
      </c>
      <c r="E496" s="404" t="n">
        <v>205</v>
      </c>
      <c r="F496" s="404">
        <f>ROUND(Source!S481,O496)</f>
        <v/>
      </c>
      <c r="G496" s="404" t="inlineStr">
        <is>
          <t>ОЗП</t>
        </is>
      </c>
      <c r="H496" s="404" t="inlineStr">
        <is>
          <t>Основная ЗП рабочих</t>
        </is>
      </c>
      <c r="I496" s="404" t="n"/>
      <c r="J496" s="404" t="n"/>
      <c r="K496" s="404" t="n">
        <v>205</v>
      </c>
      <c r="L496" s="404" t="n">
        <v>14</v>
      </c>
      <c r="M496" s="404" t="n">
        <v>3</v>
      </c>
      <c r="N496" s="404" t="inlineStr"/>
      <c r="O496" s="404" t="n">
        <v>0</v>
      </c>
      <c r="P496" s="404" t="n"/>
      <c r="Q496" s="404" t="n"/>
      <c r="R496" s="404" t="n"/>
      <c r="S496" s="404" t="n"/>
      <c r="T496" s="404" t="n"/>
      <c r="U496" s="404" t="n"/>
      <c r="V496" s="404" t="n"/>
      <c r="W496" s="404" t="n">
        <v>0</v>
      </c>
      <c r="X496" s="404" t="n">
        <v>1</v>
      </c>
      <c r="Y496" s="404" t="n">
        <v>0</v>
      </c>
      <c r="Z496" s="404" t="n"/>
      <c r="AA496" s="404" t="n"/>
      <c r="AB496" s="404" t="n"/>
    </row>
    <row r="497">
      <c r="A497" s="404" t="n">
        <v>50</v>
      </c>
      <c r="B497" s="404" t="n">
        <v>0</v>
      </c>
      <c r="C497" s="404" t="n">
        <v>0</v>
      </c>
      <c r="D497" s="404" t="n">
        <v>1</v>
      </c>
      <c r="E497" s="404" t="n">
        <v>232</v>
      </c>
      <c r="F497" s="404">
        <f>ROUND(Source!BC481,O497)</f>
        <v/>
      </c>
      <c r="G497" s="404" t="inlineStr">
        <is>
          <t>ОЗПсНРиСП</t>
        </is>
      </c>
      <c r="H497" s="404" t="inlineStr">
        <is>
          <t>Основная ЗП рабочих по ТСН-2001.16</t>
        </is>
      </c>
      <c r="I497" s="404" t="n"/>
      <c r="J497" s="404" t="n"/>
      <c r="K497" s="404" t="n">
        <v>232</v>
      </c>
      <c r="L497" s="404" t="n">
        <v>15</v>
      </c>
      <c r="M497" s="404" t="n">
        <v>3</v>
      </c>
      <c r="N497" s="404" t="inlineStr"/>
      <c r="O497" s="404" t="n">
        <v>0</v>
      </c>
      <c r="P497" s="404" t="n"/>
      <c r="Q497" s="404" t="n"/>
      <c r="R497" s="404" t="n"/>
      <c r="S497" s="404" t="n"/>
      <c r="T497" s="404" t="n"/>
      <c r="U497" s="404" t="n"/>
      <c r="V497" s="404" t="n"/>
      <c r="W497" s="404" t="n">
        <v>0</v>
      </c>
      <c r="X497" s="404" t="n">
        <v>1</v>
      </c>
      <c r="Y497" s="404" t="n">
        <v>0</v>
      </c>
      <c r="Z497" s="404" t="n"/>
      <c r="AA497" s="404" t="n"/>
      <c r="AB497" s="404" t="n"/>
    </row>
    <row r="498">
      <c r="A498" s="404" t="n">
        <v>50</v>
      </c>
      <c r="B498" s="404" t="n">
        <v>0</v>
      </c>
      <c r="C498" s="404" t="n">
        <v>0</v>
      </c>
      <c r="D498" s="404" t="n">
        <v>1</v>
      </c>
      <c r="E498" s="404" t="n">
        <v>214</v>
      </c>
      <c r="F498" s="404">
        <f>ROUND(Source!AS481,O498)</f>
        <v/>
      </c>
      <c r="G498" s="404" t="inlineStr">
        <is>
          <t>Строит</t>
        </is>
      </c>
      <c r="H498" s="404" t="inlineStr">
        <is>
          <t>Строительные работы с НР и СП</t>
        </is>
      </c>
      <c r="I498" s="404" t="n"/>
      <c r="J498" s="404" t="n"/>
      <c r="K498" s="404" t="n">
        <v>214</v>
      </c>
      <c r="L498" s="404" t="n">
        <v>16</v>
      </c>
      <c r="M498" s="404" t="n">
        <v>3</v>
      </c>
      <c r="N498" s="404" t="inlineStr"/>
      <c r="O498" s="404" t="n">
        <v>0</v>
      </c>
      <c r="P498" s="404" t="n"/>
      <c r="Q498" s="404" t="n"/>
      <c r="R498" s="404" t="n"/>
      <c r="S498" s="404" t="n"/>
      <c r="T498" s="404" t="n"/>
      <c r="U498" s="404" t="n"/>
      <c r="V498" s="404" t="n"/>
      <c r="W498" s="404" t="n">
        <v>0</v>
      </c>
      <c r="X498" s="404" t="n">
        <v>1</v>
      </c>
      <c r="Y498" s="404" t="n">
        <v>0</v>
      </c>
      <c r="Z498" s="404" t="n"/>
      <c r="AA498" s="404" t="n"/>
      <c r="AB498" s="404" t="n"/>
    </row>
    <row r="499">
      <c r="A499" s="404" t="n">
        <v>50</v>
      </c>
      <c r="B499" s="404" t="n">
        <v>0</v>
      </c>
      <c r="C499" s="404" t="n">
        <v>0</v>
      </c>
      <c r="D499" s="404" t="n">
        <v>1</v>
      </c>
      <c r="E499" s="404" t="n">
        <v>215</v>
      </c>
      <c r="F499" s="404">
        <f>ROUND(Source!AT481,O499)</f>
        <v/>
      </c>
      <c r="G499" s="404" t="inlineStr">
        <is>
          <t>Монтаж</t>
        </is>
      </c>
      <c r="H499" s="404" t="inlineStr">
        <is>
          <t>Монтажные работы с НР и СП</t>
        </is>
      </c>
      <c r="I499" s="404" t="n"/>
      <c r="J499" s="404" t="n"/>
      <c r="K499" s="404" t="n">
        <v>215</v>
      </c>
      <c r="L499" s="404" t="n">
        <v>17</v>
      </c>
      <c r="M499" s="404" t="n">
        <v>3</v>
      </c>
      <c r="N499" s="404" t="inlineStr"/>
      <c r="O499" s="404" t="n">
        <v>0</v>
      </c>
      <c r="P499" s="404" t="n"/>
      <c r="Q499" s="404" t="n"/>
      <c r="R499" s="404" t="n"/>
      <c r="S499" s="404" t="n"/>
      <c r="T499" s="404" t="n"/>
      <c r="U499" s="404" t="n"/>
      <c r="V499" s="404" t="n"/>
      <c r="W499" s="404" t="n">
        <v>0</v>
      </c>
      <c r="X499" s="404" t="n">
        <v>1</v>
      </c>
      <c r="Y499" s="404" t="n">
        <v>0</v>
      </c>
      <c r="Z499" s="404" t="n"/>
      <c r="AA499" s="404" t="n"/>
      <c r="AB499" s="404" t="n"/>
    </row>
    <row r="500">
      <c r="A500" s="404" t="n">
        <v>50</v>
      </c>
      <c r="B500" s="404" t="n">
        <v>0</v>
      </c>
      <c r="C500" s="404" t="n">
        <v>0</v>
      </c>
      <c r="D500" s="404" t="n">
        <v>1</v>
      </c>
      <c r="E500" s="404" t="n">
        <v>217</v>
      </c>
      <c r="F500" s="404">
        <f>ROUND(Source!AU481,O500)</f>
        <v/>
      </c>
      <c r="G500" s="404" t="inlineStr">
        <is>
          <t>Прочие</t>
        </is>
      </c>
      <c r="H500" s="404" t="inlineStr">
        <is>
          <t>Прочие работы с НР и СП</t>
        </is>
      </c>
      <c r="I500" s="404" t="n"/>
      <c r="J500" s="404" t="n"/>
      <c r="K500" s="404" t="n">
        <v>217</v>
      </c>
      <c r="L500" s="404" t="n">
        <v>18</v>
      </c>
      <c r="M500" s="404" t="n">
        <v>3</v>
      </c>
      <c r="N500" s="404" t="inlineStr"/>
      <c r="O500" s="404" t="n">
        <v>0</v>
      </c>
      <c r="P500" s="404" t="n"/>
      <c r="Q500" s="404" t="n"/>
      <c r="R500" s="404" t="n"/>
      <c r="S500" s="404" t="n"/>
      <c r="T500" s="404" t="n"/>
      <c r="U500" s="404" t="n"/>
      <c r="V500" s="404" t="n"/>
      <c r="W500" s="404" t="n">
        <v>0</v>
      </c>
      <c r="X500" s="404" t="n">
        <v>1</v>
      </c>
      <c r="Y500" s="404" t="n">
        <v>0</v>
      </c>
      <c r="Z500" s="404" t="n"/>
      <c r="AA500" s="404" t="n"/>
      <c r="AB500" s="404" t="n"/>
    </row>
    <row r="501">
      <c r="A501" s="404" t="n">
        <v>50</v>
      </c>
      <c r="B501" s="404" t="n">
        <v>0</v>
      </c>
      <c r="C501" s="404" t="n">
        <v>0</v>
      </c>
      <c r="D501" s="404" t="n">
        <v>1</v>
      </c>
      <c r="E501" s="404" t="n">
        <v>230</v>
      </c>
      <c r="F501" s="404">
        <f>ROUND(Source!BA481,O501)</f>
        <v/>
      </c>
      <c r="G501" s="404" t="inlineStr">
        <is>
          <t>ПрочиеЗатр</t>
        </is>
      </c>
      <c r="H501" s="404" t="inlineStr">
        <is>
          <t>Прочие затраты по ТСН-2001.16</t>
        </is>
      </c>
      <c r="I501" s="404" t="n"/>
      <c r="J501" s="404" t="n"/>
      <c r="K501" s="404" t="n">
        <v>230</v>
      </c>
      <c r="L501" s="404" t="n">
        <v>19</v>
      </c>
      <c r="M501" s="404" t="n">
        <v>3</v>
      </c>
      <c r="N501" s="404" t="inlineStr"/>
      <c r="O501" s="404" t="n">
        <v>0</v>
      </c>
      <c r="P501" s="404" t="n"/>
      <c r="Q501" s="404" t="n"/>
      <c r="R501" s="404" t="n"/>
      <c r="S501" s="404" t="n"/>
      <c r="T501" s="404" t="n"/>
      <c r="U501" s="404" t="n"/>
      <c r="V501" s="404" t="n"/>
      <c r="W501" s="404" t="n">
        <v>0</v>
      </c>
      <c r="X501" s="404" t="n">
        <v>1</v>
      </c>
      <c r="Y501" s="404" t="n">
        <v>0</v>
      </c>
      <c r="Z501" s="404" t="n"/>
      <c r="AA501" s="404" t="n"/>
      <c r="AB501" s="404" t="n"/>
    </row>
    <row r="502">
      <c r="A502" s="404" t="n">
        <v>50</v>
      </c>
      <c r="B502" s="404" t="n">
        <v>0</v>
      </c>
      <c r="C502" s="404" t="n">
        <v>0</v>
      </c>
      <c r="D502" s="404" t="n">
        <v>1</v>
      </c>
      <c r="E502" s="404" t="n">
        <v>206</v>
      </c>
      <c r="F502" s="404">
        <f>ROUND(Source!T481,O502)</f>
        <v/>
      </c>
      <c r="G502" s="404" t="inlineStr">
        <is>
          <t>ВозврМат</t>
        </is>
      </c>
      <c r="H502" s="404" t="inlineStr">
        <is>
          <t>Возврат материалов</t>
        </is>
      </c>
      <c r="I502" s="404" t="n"/>
      <c r="J502" s="404" t="n"/>
      <c r="K502" s="404" t="n">
        <v>206</v>
      </c>
      <c r="L502" s="404" t="n">
        <v>20</v>
      </c>
      <c r="M502" s="404" t="n">
        <v>3</v>
      </c>
      <c r="N502" s="404" t="inlineStr"/>
      <c r="O502" s="404" t="n">
        <v>0</v>
      </c>
      <c r="P502" s="404" t="n"/>
      <c r="Q502" s="404" t="n"/>
      <c r="R502" s="404" t="n"/>
      <c r="S502" s="404" t="n"/>
      <c r="T502" s="404" t="n"/>
      <c r="U502" s="404" t="n"/>
      <c r="V502" s="404" t="n"/>
      <c r="W502" s="404" t="n">
        <v>0</v>
      </c>
      <c r="X502" s="404" t="n">
        <v>1</v>
      </c>
      <c r="Y502" s="404" t="n">
        <v>0</v>
      </c>
      <c r="Z502" s="404" t="n"/>
      <c r="AA502" s="404" t="n"/>
      <c r="AB502" s="404" t="n"/>
    </row>
    <row r="503">
      <c r="A503" s="404" t="n">
        <v>50</v>
      </c>
      <c r="B503" s="404" t="n">
        <v>0</v>
      </c>
      <c r="C503" s="404" t="n">
        <v>0</v>
      </c>
      <c r="D503" s="404" t="n">
        <v>1</v>
      </c>
      <c r="E503" s="404" t="n">
        <v>207</v>
      </c>
      <c r="F503" s="404">
        <f>ROUND(Source!U481,O503)</f>
        <v/>
      </c>
      <c r="G503" s="404" t="inlineStr">
        <is>
          <t>ТрудСтр</t>
        </is>
      </c>
      <c r="H503" s="404" t="inlineStr">
        <is>
          <t>Трудозатраты строителей</t>
        </is>
      </c>
      <c r="I503" s="404" t="n"/>
      <c r="J503" s="404" t="n"/>
      <c r="K503" s="404" t="n">
        <v>207</v>
      </c>
      <c r="L503" s="404" t="n">
        <v>21</v>
      </c>
      <c r="M503" s="404" t="n">
        <v>3</v>
      </c>
      <c r="N503" s="404" t="inlineStr"/>
      <c r="O503" s="404" t="n">
        <v>7</v>
      </c>
      <c r="P503" s="404" t="n"/>
      <c r="Q503" s="404" t="n"/>
      <c r="R503" s="404" t="n"/>
      <c r="S503" s="404" t="n"/>
      <c r="T503" s="404" t="n"/>
      <c r="U503" s="404" t="n"/>
      <c r="V503" s="404" t="n"/>
      <c r="W503" s="404" t="n">
        <v>0</v>
      </c>
      <c r="X503" s="404" t="n">
        <v>1</v>
      </c>
      <c r="Y503" s="404" t="n">
        <v>0</v>
      </c>
      <c r="Z503" s="404" t="n"/>
      <c r="AA503" s="404" t="n"/>
      <c r="AB503" s="404" t="n"/>
    </row>
    <row r="504">
      <c r="A504" s="404" t="n">
        <v>50</v>
      </c>
      <c r="B504" s="404" t="n">
        <v>0</v>
      </c>
      <c r="C504" s="404" t="n">
        <v>0</v>
      </c>
      <c r="D504" s="404" t="n">
        <v>1</v>
      </c>
      <c r="E504" s="404" t="n">
        <v>208</v>
      </c>
      <c r="F504" s="404">
        <f>ROUND(Source!V481,O504)</f>
        <v/>
      </c>
      <c r="G504" s="404" t="inlineStr">
        <is>
          <t>ТрудМаш</t>
        </is>
      </c>
      <c r="H504" s="404" t="inlineStr">
        <is>
          <t>Трудозатраты машинистов</t>
        </is>
      </c>
      <c r="I504" s="404" t="n"/>
      <c r="J504" s="404" t="n"/>
      <c r="K504" s="404" t="n">
        <v>208</v>
      </c>
      <c r="L504" s="404" t="n">
        <v>22</v>
      </c>
      <c r="M504" s="404" t="n">
        <v>3</v>
      </c>
      <c r="N504" s="404" t="inlineStr"/>
      <c r="O504" s="404" t="n">
        <v>7</v>
      </c>
      <c r="P504" s="404" t="n"/>
      <c r="Q504" s="404" t="n"/>
      <c r="R504" s="404" t="n"/>
      <c r="S504" s="404" t="n"/>
      <c r="T504" s="404" t="n"/>
      <c r="U504" s="404" t="n"/>
      <c r="V504" s="404" t="n"/>
      <c r="W504" s="404" t="n">
        <v>0</v>
      </c>
      <c r="X504" s="404" t="n">
        <v>1</v>
      </c>
      <c r="Y504" s="404" t="n">
        <v>0</v>
      </c>
      <c r="Z504" s="404" t="n"/>
      <c r="AA504" s="404" t="n"/>
      <c r="AB504" s="404" t="n"/>
    </row>
    <row r="505">
      <c r="A505" s="404" t="n">
        <v>50</v>
      </c>
      <c r="B505" s="404" t="n">
        <v>0</v>
      </c>
      <c r="C505" s="404" t="n">
        <v>0</v>
      </c>
      <c r="D505" s="404" t="n">
        <v>1</v>
      </c>
      <c r="E505" s="404" t="n">
        <v>209</v>
      </c>
      <c r="F505" s="404">
        <f>ROUND(Source!W481,O505)</f>
        <v/>
      </c>
      <c r="G505" s="404" t="inlineStr">
        <is>
          <t>ТранспМат</t>
        </is>
      </c>
      <c r="H505" s="404" t="inlineStr">
        <is>
          <t>Транспорт материалов</t>
        </is>
      </c>
      <c r="I505" s="404" t="n"/>
      <c r="J505" s="404" t="n"/>
      <c r="K505" s="404" t="n">
        <v>209</v>
      </c>
      <c r="L505" s="404" t="n">
        <v>23</v>
      </c>
      <c r="M505" s="404" t="n">
        <v>3</v>
      </c>
      <c r="N505" s="404" t="inlineStr"/>
      <c r="O505" s="404" t="n">
        <v>0</v>
      </c>
      <c r="P505" s="404" t="n"/>
      <c r="Q505" s="404" t="n"/>
      <c r="R505" s="404" t="n"/>
      <c r="S505" s="404" t="n"/>
      <c r="T505" s="404" t="n"/>
      <c r="U505" s="404" t="n"/>
      <c r="V505" s="404" t="n"/>
      <c r="W505" s="404" t="n">
        <v>0</v>
      </c>
      <c r="X505" s="404" t="n">
        <v>1</v>
      </c>
      <c r="Y505" s="404" t="n">
        <v>0</v>
      </c>
      <c r="Z505" s="404" t="n"/>
      <c r="AA505" s="404" t="n"/>
      <c r="AB505" s="404" t="n"/>
    </row>
    <row r="506">
      <c r="A506" s="404" t="n">
        <v>50</v>
      </c>
      <c r="B506" s="404" t="n">
        <v>0</v>
      </c>
      <c r="C506" s="404" t="n">
        <v>0</v>
      </c>
      <c r="D506" s="404" t="n">
        <v>1</v>
      </c>
      <c r="E506" s="404" t="n">
        <v>233</v>
      </c>
      <c r="F506" s="404">
        <f>ROUND(Source!BD481,O506)</f>
        <v/>
      </c>
      <c r="G506" s="404" t="inlineStr">
        <is>
          <t>Перевозка</t>
        </is>
      </c>
      <c r="H506" s="404" t="inlineStr">
        <is>
          <t>Перевозка грузов</t>
        </is>
      </c>
      <c r="I506" s="404" t="n"/>
      <c r="J506" s="404" t="n"/>
      <c r="K506" s="404" t="n">
        <v>233</v>
      </c>
      <c r="L506" s="404" t="n">
        <v>24</v>
      </c>
      <c r="M506" s="404" t="n">
        <v>3</v>
      </c>
      <c r="N506" s="404" t="inlineStr"/>
      <c r="O506" s="404" t="n">
        <v>0</v>
      </c>
      <c r="P506" s="404" t="n"/>
      <c r="Q506" s="404" t="n"/>
      <c r="R506" s="404" t="n"/>
      <c r="S506" s="404" t="n"/>
      <c r="T506" s="404" t="n"/>
      <c r="U506" s="404" t="n"/>
      <c r="V506" s="404" t="n"/>
      <c r="W506" s="404" t="n">
        <v>0</v>
      </c>
      <c r="X506" s="404" t="n">
        <v>1</v>
      </c>
      <c r="Y506" s="404" t="n">
        <v>0</v>
      </c>
      <c r="Z506" s="404" t="n"/>
      <c r="AA506" s="404" t="n"/>
      <c r="AB506" s="404" t="n"/>
    </row>
    <row r="507">
      <c r="A507" s="404" t="n">
        <v>50</v>
      </c>
      <c r="B507" s="404" t="n">
        <v>0</v>
      </c>
      <c r="C507" s="404" t="n">
        <v>0</v>
      </c>
      <c r="D507" s="404" t="n">
        <v>1</v>
      </c>
      <c r="E507" s="404" t="n">
        <v>210</v>
      </c>
      <c r="F507" s="404">
        <f>ROUND(Source!X481,O507)</f>
        <v/>
      </c>
      <c r="G507" s="404" t="inlineStr">
        <is>
          <t>НР</t>
        </is>
      </c>
      <c r="H507" s="404" t="inlineStr">
        <is>
          <t>Накладные расходы</t>
        </is>
      </c>
      <c r="I507" s="404" t="n"/>
      <c r="J507" s="404" t="n"/>
      <c r="K507" s="404" t="n">
        <v>210</v>
      </c>
      <c r="L507" s="404" t="n">
        <v>25</v>
      </c>
      <c r="M507" s="404" t="n">
        <v>3</v>
      </c>
      <c r="N507" s="404" t="inlineStr"/>
      <c r="O507" s="404" t="n">
        <v>0</v>
      </c>
      <c r="P507" s="404" t="n"/>
      <c r="Q507" s="404" t="n"/>
      <c r="R507" s="404" t="n"/>
      <c r="S507" s="404" t="n"/>
      <c r="T507" s="404" t="n"/>
      <c r="U507" s="404" t="n"/>
      <c r="V507" s="404" t="n"/>
      <c r="W507" s="404" t="n">
        <v>0</v>
      </c>
      <c r="X507" s="404" t="n">
        <v>1</v>
      </c>
      <c r="Y507" s="404" t="n">
        <v>0</v>
      </c>
      <c r="Z507" s="404" t="n"/>
      <c r="AA507" s="404" t="n"/>
      <c r="AB507" s="404" t="n"/>
    </row>
    <row r="508">
      <c r="A508" s="404" t="n">
        <v>50</v>
      </c>
      <c r="B508" s="404" t="n">
        <v>0</v>
      </c>
      <c r="C508" s="404" t="n">
        <v>0</v>
      </c>
      <c r="D508" s="404" t="n">
        <v>1</v>
      </c>
      <c r="E508" s="404" t="n">
        <v>211</v>
      </c>
      <c r="F508" s="404">
        <f>ROUND(Source!Y481,O508)</f>
        <v/>
      </c>
      <c r="G508" s="404" t="inlineStr">
        <is>
          <t>СмПриб</t>
        </is>
      </c>
      <c r="H508" s="404" t="inlineStr">
        <is>
          <t>Сметная прибыль</t>
        </is>
      </c>
      <c r="I508" s="404" t="n"/>
      <c r="J508" s="404" t="n"/>
      <c r="K508" s="404" t="n">
        <v>211</v>
      </c>
      <c r="L508" s="404" t="n">
        <v>26</v>
      </c>
      <c r="M508" s="404" t="n">
        <v>3</v>
      </c>
      <c r="N508" s="404" t="inlineStr"/>
      <c r="O508" s="404" t="n">
        <v>0</v>
      </c>
      <c r="P508" s="404" t="n"/>
      <c r="Q508" s="404" t="n"/>
      <c r="R508" s="404" t="n"/>
      <c r="S508" s="404" t="n"/>
      <c r="T508" s="404" t="n"/>
      <c r="U508" s="404" t="n"/>
      <c r="V508" s="404" t="n"/>
      <c r="W508" s="404" t="n">
        <v>0</v>
      </c>
      <c r="X508" s="404" t="n">
        <v>1</v>
      </c>
      <c r="Y508" s="404" t="n">
        <v>0</v>
      </c>
      <c r="Z508" s="404" t="n"/>
      <c r="AA508" s="404" t="n"/>
      <c r="AB508" s="404" t="n"/>
    </row>
    <row r="509">
      <c r="A509" s="404" t="n">
        <v>50</v>
      </c>
      <c r="B509" s="404" t="n">
        <v>0</v>
      </c>
      <c r="C509" s="404" t="n">
        <v>0</v>
      </c>
      <c r="D509" s="404" t="n">
        <v>1</v>
      </c>
      <c r="E509" s="404" t="n">
        <v>224</v>
      </c>
      <c r="F509" s="404">
        <f>ROUND(Source!AR481,O509)</f>
        <v/>
      </c>
      <c r="G509" s="404" t="inlineStr">
        <is>
          <t>Всего</t>
        </is>
      </c>
      <c r="H509" s="404" t="inlineStr">
        <is>
          <t>Всего с НР и СП</t>
        </is>
      </c>
      <c r="I509" s="404" t="n"/>
      <c r="J509" s="404" t="n"/>
      <c r="K509" s="404" t="n">
        <v>224</v>
      </c>
      <c r="L509" s="404" t="n">
        <v>27</v>
      </c>
      <c r="M509" s="404" t="n">
        <v>3</v>
      </c>
      <c r="N509" s="404" t="inlineStr"/>
      <c r="O509" s="404" t="n">
        <v>0</v>
      </c>
      <c r="P509" s="404" t="n"/>
      <c r="Q509" s="404" t="n"/>
      <c r="R509" s="404" t="n"/>
      <c r="S509" s="404" t="n"/>
      <c r="T509" s="404" t="n"/>
      <c r="U509" s="404" t="n"/>
      <c r="V509" s="404" t="n"/>
      <c r="W509" s="404" t="n">
        <v>0</v>
      </c>
      <c r="X509" s="404" t="n">
        <v>1</v>
      </c>
      <c r="Y509" s="404" t="n">
        <v>0</v>
      </c>
      <c r="Z509" s="404" t="n"/>
      <c r="AA509" s="404" t="n"/>
      <c r="AB509" s="404" t="n"/>
    </row>
    <row r="510">
      <c r="A510" s="404" t="n">
        <v>50</v>
      </c>
      <c r="B510" s="404" t="n">
        <v>0</v>
      </c>
      <c r="C510" s="404" t="n">
        <v>0</v>
      </c>
      <c r="D510" s="404" t="n">
        <v>2</v>
      </c>
      <c r="E510" s="404" t="n">
        <v>0</v>
      </c>
      <c r="F510" s="404">
        <f>ROUND(F509,O510)</f>
        <v/>
      </c>
      <c r="G510" s="404" t="inlineStr">
        <is>
          <t>и1</t>
        </is>
      </c>
      <c r="H510" s="404" t="inlineStr">
        <is>
          <t>Итого</t>
        </is>
      </c>
      <c r="I510" s="404" t="n"/>
      <c r="J510" s="404" t="n"/>
      <c r="K510" s="404" t="n">
        <v>212</v>
      </c>
      <c r="L510" s="404" t="n">
        <v>28</v>
      </c>
      <c r="M510" s="404" t="n">
        <v>0</v>
      </c>
      <c r="N510" s="404" t="inlineStr"/>
      <c r="O510" s="404" t="n">
        <v>0</v>
      </c>
      <c r="P510" s="404" t="n"/>
      <c r="Q510" s="404" t="n"/>
      <c r="R510" s="404" t="n"/>
      <c r="S510" s="404" t="n"/>
      <c r="T510" s="404" t="n"/>
      <c r="U510" s="404" t="n"/>
      <c r="V510" s="404" t="n"/>
      <c r="W510" s="404" t="n">
        <v>0</v>
      </c>
      <c r="X510" s="404" t="n">
        <v>1</v>
      </c>
      <c r="Y510" s="404" t="n">
        <v>0</v>
      </c>
      <c r="Z510" s="404" t="n"/>
      <c r="AA510" s="404" t="n"/>
      <c r="AB510" s="404" t="n"/>
    </row>
    <row r="511">
      <c r="A511" s="404" t="n">
        <v>50</v>
      </c>
      <c r="B511" s="404" t="n">
        <v>0</v>
      </c>
      <c r="C511" s="404" t="n">
        <v>0</v>
      </c>
      <c r="D511" s="404" t="n">
        <v>2</v>
      </c>
      <c r="E511" s="404" t="n">
        <v>0</v>
      </c>
      <c r="F511" s="404">
        <f>ROUND(F510*0.22,O511)</f>
        <v/>
      </c>
      <c r="G511" s="404" t="inlineStr">
        <is>
          <t>и2</t>
        </is>
      </c>
      <c r="H511" s="404" t="inlineStr">
        <is>
          <t>НДС 22%</t>
        </is>
      </c>
      <c r="I511" s="404" t="n"/>
      <c r="J511" s="404" t="n"/>
      <c r="K511" s="404" t="n">
        <v>212</v>
      </c>
      <c r="L511" s="404" t="n">
        <v>29</v>
      </c>
      <c r="M511" s="404" t="n">
        <v>0</v>
      </c>
      <c r="N511" s="404" t="inlineStr"/>
      <c r="O511" s="404" t="n">
        <v>0</v>
      </c>
      <c r="P511" s="404" t="n"/>
      <c r="Q511" s="404" t="n"/>
      <c r="R511" s="404" t="n"/>
      <c r="S511" s="404" t="n"/>
      <c r="T511" s="404" t="n"/>
      <c r="U511" s="404" t="n"/>
      <c r="V511" s="404" t="n"/>
      <c r="W511" s="404" t="n">
        <v>0</v>
      </c>
      <c r="X511" s="404" t="n">
        <v>1</v>
      </c>
      <c r="Y511" s="404" t="n">
        <v>0</v>
      </c>
      <c r="Z511" s="404" t="n"/>
      <c r="AA511" s="404" t="n"/>
      <c r="AB511" s="404" t="n"/>
    </row>
    <row r="512">
      <c r="A512" s="404" t="n">
        <v>50</v>
      </c>
      <c r="B512" s="404" t="n">
        <v>0</v>
      </c>
      <c r="C512" s="404" t="n">
        <v>0</v>
      </c>
      <c r="D512" s="404" t="n">
        <v>2</v>
      </c>
      <c r="E512" s="404" t="n">
        <v>213</v>
      </c>
      <c r="F512" s="404">
        <f>ROUND(F510+F511,O512)</f>
        <v/>
      </c>
      <c r="G512" s="404" t="inlineStr">
        <is>
          <t>и3</t>
        </is>
      </c>
      <c r="H512" s="404" t="inlineStr">
        <is>
          <t>Всего</t>
        </is>
      </c>
      <c r="I512" s="404" t="n"/>
      <c r="J512" s="404" t="n"/>
      <c r="K512" s="404" t="n">
        <v>212</v>
      </c>
      <c r="L512" s="404" t="n">
        <v>30</v>
      </c>
      <c r="M512" s="404" t="n">
        <v>0</v>
      </c>
      <c r="N512" s="404" t="inlineStr"/>
      <c r="O512" s="404" t="n">
        <v>0</v>
      </c>
      <c r="P512" s="404" t="n"/>
      <c r="Q512" s="404" t="n"/>
      <c r="R512" s="404" t="n"/>
      <c r="S512" s="404" t="n"/>
      <c r="T512" s="404" t="n"/>
      <c r="U512" s="404" t="n"/>
      <c r="V512" s="404" t="n"/>
      <c r="W512" s="404" t="n">
        <v>0</v>
      </c>
      <c r="X512" s="404" t="n">
        <v>1</v>
      </c>
      <c r="Y512" s="404" t="n">
        <v>0</v>
      </c>
      <c r="Z512" s="404" t="n"/>
      <c r="AA512" s="404" t="n"/>
      <c r="AB512" s="404" t="n"/>
    </row>
    <row r="513"/>
    <row r="514">
      <c r="A514" s="401" t="n">
        <v>3</v>
      </c>
      <c r="B514" s="401" t="n">
        <v>0</v>
      </c>
      <c r="C514" s="401" t="n"/>
      <c r="D514" s="401">
        <f>ROW(A521)</f>
        <v/>
      </c>
      <c r="E514" s="401" t="n"/>
      <c r="F514" s="401" t="inlineStr">
        <is>
          <t>Новая локальная смета</t>
        </is>
      </c>
      <c r="G514" s="401" t="inlineStr">
        <is>
          <t>Текстильщиков 15</t>
        </is>
      </c>
      <c r="H514" s="401" t="inlineStr"/>
      <c r="I514" s="401" t="n">
        <v>0</v>
      </c>
      <c r="J514" s="401" t="inlineStr"/>
      <c r="K514" s="401" t="n">
        <v>0</v>
      </c>
      <c r="L514" s="401" t="inlineStr">
        <is>
          <t>Новая локальная смета</t>
        </is>
      </c>
      <c r="M514" s="401" t="inlineStr"/>
      <c r="N514" s="401" t="n"/>
      <c r="O514" s="401" t="n"/>
      <c r="P514" s="401" t="n"/>
      <c r="Q514" s="401" t="n"/>
      <c r="R514" s="401" t="n"/>
      <c r="S514" s="401" t="n">
        <v>0</v>
      </c>
      <c r="T514" s="401" t="n"/>
      <c r="U514" s="401" t="inlineStr"/>
      <c r="V514" s="401" t="n">
        <v>0</v>
      </c>
      <c r="W514" s="401" t="n"/>
      <c r="X514" s="401" t="n"/>
      <c r="Y514" s="401" t="n"/>
      <c r="Z514" s="401" t="n"/>
      <c r="AA514" s="401" t="n"/>
      <c r="AB514" s="401" t="inlineStr"/>
      <c r="AC514" s="401" t="inlineStr"/>
      <c r="AD514" s="401" t="inlineStr"/>
      <c r="AE514" s="401" t="inlineStr"/>
      <c r="AF514" s="401" t="inlineStr"/>
      <c r="AG514" s="401" t="inlineStr"/>
      <c r="AH514" s="401" t="n"/>
      <c r="AI514" s="401" t="n"/>
      <c r="AJ514" s="401" t="n"/>
      <c r="AK514" s="401" t="n"/>
      <c r="AL514" s="401" t="n"/>
      <c r="AM514" s="401" t="n"/>
      <c r="AN514" s="401" t="n"/>
      <c r="AO514" s="401" t="n"/>
      <c r="AP514" s="401" t="inlineStr"/>
      <c r="AQ514" s="401" t="inlineStr"/>
      <c r="AR514" s="401" t="inlineStr"/>
      <c r="AS514" s="401" t="n"/>
      <c r="AT514" s="401" t="n"/>
      <c r="AU514" s="401" t="n"/>
      <c r="AV514" s="401" t="n"/>
      <c r="AW514" s="401" t="n"/>
      <c r="AX514" s="401" t="n"/>
      <c r="AY514" s="401" t="n"/>
      <c r="AZ514" s="401" t="inlineStr"/>
      <c r="BA514" s="401" t="n"/>
      <c r="BB514" s="401" t="inlineStr"/>
      <c r="BC514" s="401" t="inlineStr"/>
      <c r="BD514" s="401" t="inlineStr"/>
      <c r="BE514" s="401" t="inlineStr"/>
      <c r="BF514" s="401" t="inlineStr"/>
      <c r="BG514" s="401" t="inlineStr"/>
      <c r="BH514" s="401" t="inlineStr"/>
      <c r="BI514" s="401" t="inlineStr"/>
      <c r="BJ514" s="401" t="inlineStr"/>
      <c r="BK514" s="401" t="inlineStr"/>
      <c r="BL514" s="401" t="inlineStr"/>
      <c r="BM514" s="401" t="inlineStr"/>
      <c r="BN514" s="401" t="inlineStr"/>
      <c r="BO514" s="401" t="inlineStr"/>
      <c r="BP514" s="401" t="inlineStr"/>
      <c r="BQ514" s="401" t="n"/>
      <c r="BR514" s="401" t="n"/>
      <c r="BS514" s="401" t="n"/>
      <c r="BT514" s="401" t="n"/>
      <c r="BU514" s="401" t="n"/>
      <c r="BV514" s="401" t="n"/>
      <c r="BW514" s="401" t="n"/>
      <c r="BX514" s="401" t="n">
        <v>0</v>
      </c>
      <c r="BY514" s="401" t="n"/>
      <c r="BZ514" s="401" t="n"/>
      <c r="CA514" s="401" t="n"/>
      <c r="CB514" s="401" t="n"/>
      <c r="CC514" s="401" t="n"/>
      <c r="CD514" s="401" t="n"/>
      <c r="CE514" s="401" t="n"/>
      <c r="CF514" s="401" t="n">
        <v>0</v>
      </c>
      <c r="CG514" s="401" t="n">
        <v>0</v>
      </c>
      <c r="CH514" s="401" t="n"/>
      <c r="CI514" s="401" t="inlineStr"/>
      <c r="CJ514" s="401" t="inlineStr"/>
      <c r="CK514" t="inlineStr"/>
      <c r="CL514" t="inlineStr"/>
      <c r="CM514" t="inlineStr"/>
      <c r="CN514" t="inlineStr"/>
      <c r="CO514" t="inlineStr"/>
      <c r="CP514" t="inlineStr"/>
      <c r="CQ514" t="inlineStr"/>
    </row>
    <row r="515"/>
    <row r="516">
      <c r="A516" s="402" t="n">
        <v>52</v>
      </c>
      <c r="B516" s="402">
        <f>B521</f>
        <v/>
      </c>
      <c r="C516" s="402">
        <f>C521</f>
        <v/>
      </c>
      <c r="D516" s="402">
        <f>D521</f>
        <v/>
      </c>
      <c r="E516" s="402">
        <f>E521</f>
        <v/>
      </c>
      <c r="F516" s="402">
        <f>F521</f>
        <v/>
      </c>
      <c r="G516" s="402">
        <f>G521</f>
        <v/>
      </c>
      <c r="H516" s="402" t="n"/>
      <c r="I516" s="402" t="n"/>
      <c r="J516" s="402" t="n"/>
      <c r="K516" s="402" t="n"/>
      <c r="L516" s="402" t="n"/>
      <c r="M516" s="402" t="n"/>
      <c r="N516" s="402" t="n"/>
      <c r="O516" s="402">
        <f>O521</f>
        <v/>
      </c>
      <c r="P516" s="402">
        <f>P521</f>
        <v/>
      </c>
      <c r="Q516" s="402">
        <f>Q521</f>
        <v/>
      </c>
      <c r="R516" s="402">
        <f>R521</f>
        <v/>
      </c>
      <c r="S516" s="402">
        <f>S521</f>
        <v/>
      </c>
      <c r="T516" s="402">
        <f>T521</f>
        <v/>
      </c>
      <c r="U516" s="402">
        <f>U521</f>
        <v/>
      </c>
      <c r="V516" s="402">
        <f>V521</f>
        <v/>
      </c>
      <c r="W516" s="402">
        <f>W521</f>
        <v/>
      </c>
      <c r="X516" s="402">
        <f>X521</f>
        <v/>
      </c>
      <c r="Y516" s="402">
        <f>Y521</f>
        <v/>
      </c>
      <c r="Z516" s="402">
        <f>Z521</f>
        <v/>
      </c>
      <c r="AA516" s="402">
        <f>AA521</f>
        <v/>
      </c>
      <c r="AB516" s="402">
        <f>AB521</f>
        <v/>
      </c>
      <c r="AC516" s="402">
        <f>AC521</f>
        <v/>
      </c>
      <c r="AD516" s="402">
        <f>AD521</f>
        <v/>
      </c>
      <c r="AE516" s="402">
        <f>AE521</f>
        <v/>
      </c>
      <c r="AF516" s="402">
        <f>AF521</f>
        <v/>
      </c>
      <c r="AG516" s="402">
        <f>AG521</f>
        <v/>
      </c>
      <c r="AH516" s="402">
        <f>AH521</f>
        <v/>
      </c>
      <c r="AI516" s="402">
        <f>AI521</f>
        <v/>
      </c>
      <c r="AJ516" s="402">
        <f>AJ521</f>
        <v/>
      </c>
      <c r="AK516" s="402">
        <f>AK521</f>
        <v/>
      </c>
      <c r="AL516" s="402">
        <f>AL521</f>
        <v/>
      </c>
      <c r="AM516" s="402">
        <f>AM521</f>
        <v/>
      </c>
      <c r="AN516" s="402">
        <f>AN521</f>
        <v/>
      </c>
      <c r="AO516" s="402">
        <f>AO521</f>
        <v/>
      </c>
      <c r="AP516" s="402">
        <f>AP521</f>
        <v/>
      </c>
      <c r="AQ516" s="402">
        <f>AQ521</f>
        <v/>
      </c>
      <c r="AR516" s="402">
        <f>AR521</f>
        <v/>
      </c>
      <c r="AS516" s="402">
        <f>AS521</f>
        <v/>
      </c>
      <c r="AT516" s="402">
        <f>AT521</f>
        <v/>
      </c>
      <c r="AU516" s="402">
        <f>AU521</f>
        <v/>
      </c>
      <c r="AV516" s="402">
        <f>AV521</f>
        <v/>
      </c>
      <c r="AW516" s="402">
        <f>AW521</f>
        <v/>
      </c>
      <c r="AX516" s="402">
        <f>AX521</f>
        <v/>
      </c>
      <c r="AY516" s="402">
        <f>AY521</f>
        <v/>
      </c>
      <c r="AZ516" s="402">
        <f>AZ521</f>
        <v/>
      </c>
      <c r="BA516" s="402">
        <f>BA521</f>
        <v/>
      </c>
      <c r="BB516" s="402">
        <f>BB521</f>
        <v/>
      </c>
      <c r="BC516" s="402">
        <f>BC521</f>
        <v/>
      </c>
      <c r="BD516" s="402">
        <f>BD521</f>
        <v/>
      </c>
      <c r="BE516" s="402">
        <f>BE521</f>
        <v/>
      </c>
      <c r="BF516" s="402">
        <f>BF521</f>
        <v/>
      </c>
      <c r="BG516" s="402">
        <f>BG521</f>
        <v/>
      </c>
      <c r="BH516" s="402">
        <f>BH521</f>
        <v/>
      </c>
      <c r="BI516" s="402">
        <f>BI521</f>
        <v/>
      </c>
      <c r="BJ516" s="402">
        <f>BJ521</f>
        <v/>
      </c>
      <c r="BK516" s="402">
        <f>BK521</f>
        <v/>
      </c>
      <c r="BL516" s="402">
        <f>BL521</f>
        <v/>
      </c>
      <c r="BM516" s="402">
        <f>BM521</f>
        <v/>
      </c>
      <c r="BN516" s="402">
        <f>BN521</f>
        <v/>
      </c>
      <c r="BO516" s="402">
        <f>BO521</f>
        <v/>
      </c>
      <c r="BP516" s="402">
        <f>BP521</f>
        <v/>
      </c>
      <c r="BQ516" s="402">
        <f>BQ521</f>
        <v/>
      </c>
      <c r="BR516" s="402">
        <f>BR521</f>
        <v/>
      </c>
      <c r="BS516" s="402">
        <f>BS521</f>
        <v/>
      </c>
      <c r="BT516" s="402">
        <f>BT521</f>
        <v/>
      </c>
      <c r="BU516" s="402">
        <f>BU521</f>
        <v/>
      </c>
      <c r="BV516" s="402">
        <f>BV521</f>
        <v/>
      </c>
      <c r="BW516" s="402">
        <f>BW521</f>
        <v/>
      </c>
      <c r="BX516" s="402">
        <f>BX521</f>
        <v/>
      </c>
      <c r="BY516" s="402">
        <f>BY521</f>
        <v/>
      </c>
      <c r="BZ516" s="402">
        <f>BZ521</f>
        <v/>
      </c>
      <c r="CA516" s="402">
        <f>CA521</f>
        <v/>
      </c>
      <c r="CB516" s="402">
        <f>CB521</f>
        <v/>
      </c>
      <c r="CC516" s="402">
        <f>CC521</f>
        <v/>
      </c>
      <c r="CD516" s="402">
        <f>CD521</f>
        <v/>
      </c>
      <c r="CE516" s="402">
        <f>CE521</f>
        <v/>
      </c>
      <c r="CF516" s="402">
        <f>CF521</f>
        <v/>
      </c>
      <c r="CG516" s="402">
        <f>CG521</f>
        <v/>
      </c>
      <c r="CH516" s="402">
        <f>CH521</f>
        <v/>
      </c>
      <c r="CI516" s="402">
        <f>CI521</f>
        <v/>
      </c>
      <c r="CJ516" s="402">
        <f>CJ521</f>
        <v/>
      </c>
      <c r="CK516" s="402">
        <f>CK521</f>
        <v/>
      </c>
      <c r="CL516" s="402">
        <f>CL521</f>
        <v/>
      </c>
      <c r="CM516" s="402">
        <f>CM521</f>
        <v/>
      </c>
      <c r="CN516" s="402">
        <f>CN521</f>
        <v/>
      </c>
      <c r="CO516" s="402">
        <f>CO521</f>
        <v/>
      </c>
      <c r="CP516" s="402">
        <f>CP521</f>
        <v/>
      </c>
      <c r="CQ516" s="402">
        <f>CQ521</f>
        <v/>
      </c>
      <c r="CR516" s="402">
        <f>CR521</f>
        <v/>
      </c>
      <c r="CS516" s="402">
        <f>CS521</f>
        <v/>
      </c>
      <c r="CT516" s="402">
        <f>CT521</f>
        <v/>
      </c>
      <c r="CU516" s="402">
        <f>CU521</f>
        <v/>
      </c>
      <c r="CV516" s="402">
        <f>CV521</f>
        <v/>
      </c>
      <c r="CW516" s="402">
        <f>CW521</f>
        <v/>
      </c>
      <c r="CX516" s="402">
        <f>CX521</f>
        <v/>
      </c>
      <c r="CY516" s="402">
        <f>CY521</f>
        <v/>
      </c>
      <c r="CZ516" s="402">
        <f>CZ521</f>
        <v/>
      </c>
      <c r="DA516" s="402">
        <f>DA521</f>
        <v/>
      </c>
      <c r="DB516" s="402">
        <f>DB521</f>
        <v/>
      </c>
      <c r="DC516" s="402">
        <f>DC521</f>
        <v/>
      </c>
      <c r="DD516" s="402">
        <f>DD521</f>
        <v/>
      </c>
      <c r="DE516" s="402">
        <f>DE521</f>
        <v/>
      </c>
      <c r="DF516" s="402">
        <f>DF521</f>
        <v/>
      </c>
      <c r="DG516" s="403">
        <f>DG521</f>
        <v/>
      </c>
      <c r="DH516" s="403">
        <f>DH521</f>
        <v/>
      </c>
      <c r="DI516" s="403">
        <f>DI521</f>
        <v/>
      </c>
      <c r="DJ516" s="403">
        <f>DJ521</f>
        <v/>
      </c>
      <c r="DK516" s="403">
        <f>DK521</f>
        <v/>
      </c>
      <c r="DL516" s="403">
        <f>DL521</f>
        <v/>
      </c>
      <c r="DM516" s="403">
        <f>DM521</f>
        <v/>
      </c>
      <c r="DN516" s="403">
        <f>DN521</f>
        <v/>
      </c>
      <c r="DO516" s="403">
        <f>DO521</f>
        <v/>
      </c>
      <c r="DP516" s="403">
        <f>DP521</f>
        <v/>
      </c>
      <c r="DQ516" s="403">
        <f>DQ521</f>
        <v/>
      </c>
      <c r="DR516" s="403">
        <f>DR521</f>
        <v/>
      </c>
      <c r="DS516" s="403">
        <f>DS521</f>
        <v/>
      </c>
      <c r="DT516" s="403">
        <f>DT521</f>
        <v/>
      </c>
      <c r="DU516" s="403">
        <f>DU521</f>
        <v/>
      </c>
      <c r="DV516" s="403">
        <f>DV521</f>
        <v/>
      </c>
      <c r="DW516" s="403">
        <f>DW521</f>
        <v/>
      </c>
      <c r="DX516" s="403">
        <f>DX521</f>
        <v/>
      </c>
      <c r="DY516" s="403">
        <f>DY521</f>
        <v/>
      </c>
      <c r="DZ516" s="403">
        <f>DZ521</f>
        <v/>
      </c>
      <c r="EA516" s="403">
        <f>EA521</f>
        <v/>
      </c>
      <c r="EB516" s="403">
        <f>EB521</f>
        <v/>
      </c>
      <c r="EC516" s="403">
        <f>EC521</f>
        <v/>
      </c>
      <c r="ED516" s="403">
        <f>ED521</f>
        <v/>
      </c>
      <c r="EE516" s="403">
        <f>EE521</f>
        <v/>
      </c>
      <c r="EF516" s="403">
        <f>EF521</f>
        <v/>
      </c>
      <c r="EG516" s="403">
        <f>EG521</f>
        <v/>
      </c>
      <c r="EH516" s="403">
        <f>EH521</f>
        <v/>
      </c>
      <c r="EI516" s="403">
        <f>EI521</f>
        <v/>
      </c>
      <c r="EJ516" s="403">
        <f>EJ521</f>
        <v/>
      </c>
      <c r="EK516" s="403">
        <f>EK521</f>
        <v/>
      </c>
      <c r="EL516" s="403">
        <f>EL521</f>
        <v/>
      </c>
      <c r="EM516" s="403">
        <f>EM521</f>
        <v/>
      </c>
      <c r="EN516" s="403">
        <f>EN521</f>
        <v/>
      </c>
      <c r="EO516" s="403">
        <f>EO521</f>
        <v/>
      </c>
      <c r="EP516" s="403">
        <f>EP521</f>
        <v/>
      </c>
      <c r="EQ516" s="403">
        <f>EQ521</f>
        <v/>
      </c>
      <c r="ER516" s="403">
        <f>ER521</f>
        <v/>
      </c>
      <c r="ES516" s="403">
        <f>ES521</f>
        <v/>
      </c>
      <c r="ET516" s="403">
        <f>ET521</f>
        <v/>
      </c>
      <c r="EU516" s="403">
        <f>EU521</f>
        <v/>
      </c>
      <c r="EV516" s="403">
        <f>EV521</f>
        <v/>
      </c>
      <c r="EW516" s="403">
        <f>EW521</f>
        <v/>
      </c>
      <c r="EX516" s="403">
        <f>EX521</f>
        <v/>
      </c>
      <c r="EY516" s="403">
        <f>EY521</f>
        <v/>
      </c>
      <c r="EZ516" s="403">
        <f>EZ521</f>
        <v/>
      </c>
      <c r="FA516" s="403">
        <f>FA521</f>
        <v/>
      </c>
      <c r="FB516" s="403">
        <f>FB521</f>
        <v/>
      </c>
      <c r="FC516" s="403">
        <f>FC521</f>
        <v/>
      </c>
      <c r="FD516" s="403">
        <f>FD521</f>
        <v/>
      </c>
      <c r="FE516" s="403">
        <f>FE521</f>
        <v/>
      </c>
      <c r="FF516" s="403">
        <f>FF521</f>
        <v/>
      </c>
      <c r="FG516" s="403">
        <f>FG521</f>
        <v/>
      </c>
      <c r="FH516" s="403">
        <f>FH521</f>
        <v/>
      </c>
      <c r="FI516" s="403">
        <f>FI521</f>
        <v/>
      </c>
      <c r="FJ516" s="403">
        <f>FJ521</f>
        <v/>
      </c>
      <c r="FK516" s="403">
        <f>FK521</f>
        <v/>
      </c>
      <c r="FL516" s="403">
        <f>FL521</f>
        <v/>
      </c>
      <c r="FM516" s="403">
        <f>FM521</f>
        <v/>
      </c>
      <c r="FN516" s="403">
        <f>FN521</f>
        <v/>
      </c>
      <c r="FO516" s="403">
        <f>FO521</f>
        <v/>
      </c>
      <c r="FP516" s="403">
        <f>FP521</f>
        <v/>
      </c>
      <c r="FQ516" s="403">
        <f>FQ521</f>
        <v/>
      </c>
      <c r="FR516" s="403">
        <f>FR521</f>
        <v/>
      </c>
      <c r="FS516" s="403">
        <f>FS521</f>
        <v/>
      </c>
      <c r="FT516" s="403">
        <f>FT521</f>
        <v/>
      </c>
      <c r="FU516" s="403">
        <f>FU521</f>
        <v/>
      </c>
      <c r="FV516" s="403">
        <f>FV521</f>
        <v/>
      </c>
      <c r="FW516" s="403">
        <f>FW521</f>
        <v/>
      </c>
      <c r="FX516" s="403">
        <f>FX521</f>
        <v/>
      </c>
      <c r="FY516" s="403">
        <f>FY521</f>
        <v/>
      </c>
      <c r="FZ516" s="403">
        <f>FZ521</f>
        <v/>
      </c>
      <c r="GA516" s="403">
        <f>GA521</f>
        <v/>
      </c>
      <c r="GB516" s="403">
        <f>GB521</f>
        <v/>
      </c>
      <c r="GC516" s="403">
        <f>GC521</f>
        <v/>
      </c>
      <c r="GD516" s="403">
        <f>GD521</f>
        <v/>
      </c>
      <c r="GE516" s="403">
        <f>GE521</f>
        <v/>
      </c>
      <c r="GF516" s="403">
        <f>GF521</f>
        <v/>
      </c>
      <c r="GG516" s="403">
        <f>GG521</f>
        <v/>
      </c>
      <c r="GH516" s="403">
        <f>GH521</f>
        <v/>
      </c>
      <c r="GI516" s="403">
        <f>GI521</f>
        <v/>
      </c>
      <c r="GJ516" s="403">
        <f>GJ521</f>
        <v/>
      </c>
      <c r="GK516" s="403">
        <f>GK521</f>
        <v/>
      </c>
      <c r="GL516" s="403">
        <f>GL521</f>
        <v/>
      </c>
      <c r="GM516" s="403">
        <f>GM521</f>
        <v/>
      </c>
      <c r="GN516" s="403">
        <f>GN521</f>
        <v/>
      </c>
      <c r="GO516" s="403">
        <f>GO521</f>
        <v/>
      </c>
      <c r="GP516" s="403">
        <f>GP521</f>
        <v/>
      </c>
      <c r="GQ516" s="403">
        <f>GQ521</f>
        <v/>
      </c>
      <c r="GR516" s="403">
        <f>GR521</f>
        <v/>
      </c>
      <c r="GS516" s="403">
        <f>GS521</f>
        <v/>
      </c>
      <c r="GT516" s="403">
        <f>GT521</f>
        <v/>
      </c>
      <c r="GU516" s="403">
        <f>GU521</f>
        <v/>
      </c>
      <c r="GV516" s="403">
        <f>GV521</f>
        <v/>
      </c>
      <c r="GW516" s="403">
        <f>GW521</f>
        <v/>
      </c>
      <c r="GX516" s="403">
        <f>GX521</f>
        <v/>
      </c>
    </row>
    <row r="517"/>
    <row r="518">
      <c r="A518" t="n">
        <v>17</v>
      </c>
      <c r="B518" t="n">
        <v>0</v>
      </c>
      <c r="C518">
        <f>ROW(SmtRes!A258)</f>
        <v/>
      </c>
      <c r="D518">
        <f>ROW(EtalonRes!A237)</f>
        <v/>
      </c>
      <c r="E518" t="inlineStr">
        <is>
          <t>1</t>
        </is>
      </c>
      <c r="F518" t="inlineStr">
        <is>
          <t>16-07-005-1</t>
        </is>
      </c>
      <c r="G51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18" t="inlineStr">
        <is>
          <t>100 м трубопровода</t>
        </is>
      </c>
      <c r="I518">
        <f>ROUND(ROUND(45/100,4),7)</f>
        <v/>
      </c>
      <c r="J518" t="n">
        <v>0</v>
      </c>
      <c r="K518">
        <f>ROUND(ROUND(45/100,4),7)</f>
        <v/>
      </c>
      <c r="O518">
        <f>ROUND(CP518,0)</f>
        <v/>
      </c>
      <c r="P518">
        <f>ROUND(CQ518*I518,0)</f>
        <v/>
      </c>
      <c r="Q518">
        <f>(ROUND((ROUND((((ET518*ROUND(8,7)))*I518),0)*BB518),0)+ROUND((ROUND(((AE518-((EU518*ROUND(8,7))))*I518),0)*BS518),0))</f>
        <v/>
      </c>
      <c r="R518">
        <f>(ROUND((ROUND((((EU518*ROUND(8,7)))*I518),0)*BS518),0)+ROUND((ROUND(((AE518-((EU518*ROUND(8,7))))*I518),0)*BS518),0))</f>
        <v/>
      </c>
      <c r="S518">
        <f>ROUND(CT518*I518,0)</f>
        <v/>
      </c>
      <c r="T518">
        <f>ROUND(CU518*I518,0)</f>
        <v/>
      </c>
      <c r="U518">
        <f>ROUND(CV518*I518,7)</f>
        <v/>
      </c>
      <c r="V518">
        <f>ROUND(CW518*I518,7)</f>
        <v/>
      </c>
      <c r="W518">
        <f>ROUND(CX518*I518,0)</f>
        <v/>
      </c>
      <c r="X518">
        <f>ROUND(CY518,0)</f>
        <v/>
      </c>
      <c r="Y518">
        <f>ROUND(CZ518,0)</f>
        <v/>
      </c>
      <c r="AA518" t="n">
        <v>78869116</v>
      </c>
      <c r="AB518">
        <f>ROUND((AC518+AD518+AF518),2)</f>
        <v/>
      </c>
      <c r="AC518">
        <f>ROUND(((ES518*ROUND(8,7))),2)</f>
        <v/>
      </c>
      <c r="AD518">
        <f>ROUND(((((ET518*ROUND(8,7)))-((EU518*ROUND(8,7))))+AE518),2)</f>
        <v/>
      </c>
      <c r="AE518">
        <f>ROUND(((EU518*ROUND(8,7))),2)</f>
        <v/>
      </c>
      <c r="AF518">
        <f>ROUND(((EV518*ROUND(8,7))),2)</f>
        <v/>
      </c>
      <c r="AG518">
        <f>ROUND((AP518),2)</f>
        <v/>
      </c>
      <c r="AH518">
        <f>((EW518*ROUND(8,7)))</f>
        <v/>
      </c>
      <c r="AI518">
        <f>((EX518*ROUND(8,7)))</f>
        <v/>
      </c>
      <c r="AJ518">
        <f>(AS518)</f>
        <v/>
      </c>
      <c r="AK518" t="n">
        <v>107.11</v>
      </c>
      <c r="AL518" t="n">
        <v>4.28</v>
      </c>
      <c r="AM518" t="n">
        <v>44.51</v>
      </c>
      <c r="AN518" t="n">
        <v>0</v>
      </c>
      <c r="AO518" t="n">
        <v>58.32</v>
      </c>
      <c r="AP518" t="n">
        <v>0</v>
      </c>
      <c r="AQ518" t="n">
        <v>5.01</v>
      </c>
      <c r="AR518" t="n">
        <v>0</v>
      </c>
      <c r="AS518" t="n">
        <v>0</v>
      </c>
      <c r="AT518" t="n">
        <v>121</v>
      </c>
      <c r="AU518" t="n">
        <v>72</v>
      </c>
      <c r="AV518" t="n">
        <v>1</v>
      </c>
      <c r="AW518" t="n">
        <v>1</v>
      </c>
      <c r="AZ518" t="n">
        <v>1</v>
      </c>
      <c r="BA518" t="n">
        <v>52.25</v>
      </c>
      <c r="BB518" t="n">
        <v>5.97</v>
      </c>
      <c r="BC518" t="n">
        <v>11.38</v>
      </c>
      <c r="BD518" t="inlineStr"/>
      <c r="BE518" t="inlineStr"/>
      <c r="BF518" t="inlineStr"/>
      <c r="BG518" t="inlineStr"/>
      <c r="BH518" t="n">
        <v>0</v>
      </c>
      <c r="BI518" t="n">
        <v>1</v>
      </c>
      <c r="BJ518" t="inlineStr">
        <is>
          <t>ТЕР Московской обл., 16-07-005-1, приказ Минстроя России №675/пр от 28.02.2017 № 260/пр</t>
        </is>
      </c>
      <c r="BM518" t="n">
        <v>16001</v>
      </c>
      <c r="BN518" t="n">
        <v>0</v>
      </c>
      <c r="BO518" t="inlineStr">
        <is>
          <t>16-07-005-1</t>
        </is>
      </c>
      <c r="BP518" t="n">
        <v>1</v>
      </c>
      <c r="BQ518" t="n">
        <v>2</v>
      </c>
      <c r="BR518" t="n">
        <v>0</v>
      </c>
      <c r="BS518" t="n">
        <v>52.25</v>
      </c>
      <c r="BT518" t="n">
        <v>1</v>
      </c>
      <c r="BU518" t="n">
        <v>1</v>
      </c>
      <c r="BV518" t="n">
        <v>1</v>
      </c>
      <c r="BW518" t="n">
        <v>1</v>
      </c>
      <c r="BX518" t="n">
        <v>1</v>
      </c>
      <c r="BY518" t="inlineStr"/>
      <c r="BZ518" t="n">
        <v>121</v>
      </c>
      <c r="CA518" t="n">
        <v>72</v>
      </c>
      <c r="CB518" t="inlineStr"/>
      <c r="CE518" t="n">
        <v>12</v>
      </c>
      <c r="CF518" t="n">
        <v>0</v>
      </c>
      <c r="CG518" t="n">
        <v>0</v>
      </c>
      <c r="CM518" t="n">
        <v>0</v>
      </c>
      <c r="CN518" t="inlineStr"/>
      <c r="CO518" t="n">
        <v>0</v>
      </c>
      <c r="CP518">
        <f>(P518+Q518+S518)</f>
        <v/>
      </c>
      <c r="CQ518">
        <f>AC518*BC518</f>
        <v/>
      </c>
      <c r="CR518">
        <f>(ROUND((ROUND((((ET518*ROUND(8,7)))*1),0)*BB518),0)+ROUND((ROUND(((AE518-((EU518*ROUND(8,7))))*1),0)*BS518),0))</f>
        <v/>
      </c>
      <c r="CS518">
        <f>(ROUND((ROUND((((EU518*ROUND(8,7)))*1),0)*BS518),0)+ROUND((ROUND(((AE518-((EU518*ROUND(8,7))))*1),0)*BS518),0))</f>
        <v/>
      </c>
      <c r="CT518">
        <f>AF518*BA518</f>
        <v/>
      </c>
      <c r="CU518">
        <f>AG518</f>
        <v/>
      </c>
      <c r="CV518">
        <f>AH518</f>
        <v/>
      </c>
      <c r="CW518">
        <f>AI518</f>
        <v/>
      </c>
      <c r="CX518">
        <f>AJ518</f>
        <v/>
      </c>
      <c r="CY518">
        <f>(((S518+R518)*AT518)/100)</f>
        <v/>
      </c>
      <c r="CZ518">
        <f>(((S518+R518)*AU518)/100)</f>
        <v/>
      </c>
      <c r="DC518" t="inlineStr"/>
      <c r="DD518" t="inlineStr">
        <is>
          <t>)*8</t>
        </is>
      </c>
      <c r="DE518" t="inlineStr">
        <is>
          <t>)*8</t>
        </is>
      </c>
      <c r="DF518" t="inlineStr">
        <is>
          <t>)*8</t>
        </is>
      </c>
      <c r="DG518" t="inlineStr">
        <is>
          <t>)*8</t>
        </is>
      </c>
      <c r="DH518" t="inlineStr"/>
      <c r="DI518" t="inlineStr">
        <is>
          <t>)*8</t>
        </is>
      </c>
      <c r="DJ518" t="inlineStr">
        <is>
          <t>)*8</t>
        </is>
      </c>
      <c r="DK518" t="inlineStr"/>
      <c r="DL518" t="inlineStr"/>
      <c r="DM518" t="inlineStr"/>
      <c r="DN518" t="n">
        <v>0</v>
      </c>
      <c r="DO518" t="n">
        <v>0</v>
      </c>
      <c r="DP518" t="n">
        <v>1</v>
      </c>
      <c r="DQ518" t="n">
        <v>1</v>
      </c>
      <c r="DU518" t="n">
        <v>1013</v>
      </c>
      <c r="DV518" t="inlineStr">
        <is>
          <t>100 м трубопровода</t>
        </is>
      </c>
      <c r="DW518" t="inlineStr">
        <is>
          <t>100 м трубопровода</t>
        </is>
      </c>
      <c r="DX518" t="n">
        <v>1</v>
      </c>
      <c r="DZ518" t="inlineStr"/>
      <c r="EA518" t="inlineStr"/>
      <c r="EB518" t="inlineStr"/>
      <c r="EC518" t="inlineStr"/>
      <c r="EE518" t="n">
        <v>78725882</v>
      </c>
      <c r="EF518" t="n">
        <v>2</v>
      </c>
      <c r="EG518" t="inlineStr">
        <is>
          <t>Общестроительные работы</t>
        </is>
      </c>
      <c r="EH518" t="n">
        <v>16</v>
      </c>
      <c r="EI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18" t="n">
        <v>1</v>
      </c>
      <c r="EK518" t="n">
        <v>16001</v>
      </c>
      <c r="EL518" t="inlineStr">
        <is>
          <t>Трубопроводы внутренние</t>
        </is>
      </c>
      <c r="EM518" t="inlineStr">
        <is>
          <t>ФЕР-16</t>
        </is>
      </c>
      <c r="EO518" t="inlineStr"/>
      <c r="EQ518" t="n">
        <v>0</v>
      </c>
      <c r="ER518" t="n">
        <v>107.11</v>
      </c>
      <c r="ES518" t="n">
        <v>4.28</v>
      </c>
      <c r="ET518" t="n">
        <v>44.51</v>
      </c>
      <c r="EU518" t="n">
        <v>0</v>
      </c>
      <c r="EV518" t="n">
        <v>58.32</v>
      </c>
      <c r="EW518" t="n">
        <v>5.01</v>
      </c>
      <c r="EX518" t="n">
        <v>0</v>
      </c>
      <c r="EY518" t="n">
        <v>0</v>
      </c>
      <c r="FQ518" t="n">
        <v>0</v>
      </c>
      <c r="FR518" t="n">
        <v>0</v>
      </c>
      <c r="FS518" t="n">
        <v>0</v>
      </c>
      <c r="FX518" t="n">
        <v>121</v>
      </c>
      <c r="FY518" t="n">
        <v>72</v>
      </c>
      <c r="GA518" t="inlineStr"/>
      <c r="GD518" t="n">
        <v>1</v>
      </c>
      <c r="GF518" t="n">
        <v>635989612</v>
      </c>
      <c r="GG518" t="n">
        <v>2</v>
      </c>
      <c r="GH518" t="n">
        <v>1</v>
      </c>
      <c r="GI518" t="n">
        <v>2</v>
      </c>
      <c r="GJ518" t="n">
        <v>0</v>
      </c>
      <c r="GK518" t="n">
        <v>0</v>
      </c>
      <c r="GL518">
        <f>ROUND(IF(AND(BH518=3,BI518=3,FS518&lt;&gt;0),P518,0),0)</f>
        <v/>
      </c>
      <c r="GM518">
        <f>ROUND(O518+X518+Y518,0)+GX518</f>
        <v/>
      </c>
      <c r="GN518">
        <f>IF(OR(BI518=0,BI518=1),GM518-GX518,0)</f>
        <v/>
      </c>
      <c r="GO518">
        <f>IF(BI518=2,GM518-GX518,0)</f>
        <v/>
      </c>
      <c r="GP518">
        <f>IF(BI518=4,GM518-GX518,0)</f>
        <v/>
      </c>
      <c r="GR518" t="n">
        <v>0</v>
      </c>
      <c r="GS518" t="n">
        <v>3</v>
      </c>
      <c r="GT518" t="n">
        <v>0</v>
      </c>
      <c r="GU518" t="inlineStr"/>
      <c r="GV518">
        <f>ROUND((GT518),2)</f>
        <v/>
      </c>
      <c r="GW518" t="n">
        <v>1</v>
      </c>
      <c r="GX518">
        <f>ROUND(HC518*I518,0)</f>
        <v/>
      </c>
      <c r="HA518" t="n">
        <v>0</v>
      </c>
      <c r="HB518" t="n">
        <v>0</v>
      </c>
      <c r="HC518">
        <f>GV518*GW518</f>
        <v/>
      </c>
      <c r="HE518" t="inlineStr"/>
      <c r="HF518" t="inlineStr"/>
      <c r="HM518" t="inlineStr"/>
      <c r="HN518" t="inlineStr">
        <is>
          <t>Пр/812-016.0-1</t>
        </is>
      </c>
      <c r="HO518" t="inlineStr">
        <is>
          <t>Пр/774-016.0</t>
        </is>
      </c>
      <c r="HP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18" t="n">
        <v>0</v>
      </c>
      <c r="IK518" t="n">
        <v>0</v>
      </c>
    </row>
    <row r="519">
      <c r="A519" t="n">
        <v>17</v>
      </c>
      <c r="B519" t="n">
        <v>0</v>
      </c>
      <c r="C519">
        <f>ROW(SmtRes!A263)</f>
        <v/>
      </c>
      <c r="D519">
        <f>ROW(EtalonRes!A242)</f>
        <v/>
      </c>
      <c r="E519" t="inlineStr">
        <is>
          <t>2</t>
        </is>
      </c>
      <c r="F519" t="inlineStr">
        <is>
          <t>65-10-1</t>
        </is>
      </c>
      <c r="G519" t="inlineStr">
        <is>
          <t>Очистка канализационной сети внутренней</t>
        </is>
      </c>
      <c r="H519" t="inlineStr">
        <is>
          <t>100 м трубопровода</t>
        </is>
      </c>
      <c r="I519">
        <f>ROUND(ROUND(55/100,4),7)</f>
        <v/>
      </c>
      <c r="J519" t="n">
        <v>0</v>
      </c>
      <c r="K519">
        <f>ROUND(ROUND(55/100,4),7)</f>
        <v/>
      </c>
      <c r="O519">
        <f>ROUND(CP519,0)</f>
        <v/>
      </c>
      <c r="P519">
        <f>ROUND(CQ519*I519,0)</f>
        <v/>
      </c>
      <c r="Q519">
        <f>(ROUND((ROUND(((ET519)*I519),0)*BB519),0)+ROUND((ROUND(((AE519-(EU519))*I519),0)*BS519),0))</f>
        <v/>
      </c>
      <c r="R519">
        <f>(ROUND((ROUND(((EU519)*I519),0)*BS519),0)+ROUND((ROUND(((AE519-(EU519))*I519),0)*BS519),0))</f>
        <v/>
      </c>
      <c r="S519">
        <f>ROUND(CT519*I519,0)</f>
        <v/>
      </c>
      <c r="T519">
        <f>ROUND(CU519*I519,0)</f>
        <v/>
      </c>
      <c r="U519">
        <f>ROUND(CV519*I519,7)</f>
        <v/>
      </c>
      <c r="V519">
        <f>ROUND(CW519*I519,7)</f>
        <v/>
      </c>
      <c r="W519">
        <f>ROUND(CX519*I519,0)</f>
        <v/>
      </c>
      <c r="X519">
        <f>ROUND(CY519,0)</f>
        <v/>
      </c>
      <c r="Y519">
        <f>ROUND(CZ519,0)</f>
        <v/>
      </c>
      <c r="AA519" t="n">
        <v>78869116</v>
      </c>
      <c r="AB519">
        <f>ROUND((AC519+AD519+AF519),2)</f>
        <v/>
      </c>
      <c r="AC519">
        <f>ROUND((ES519),2)</f>
        <v/>
      </c>
      <c r="AD519">
        <f>ROUND((((ET519)-(EU519))+AE519),2)</f>
        <v/>
      </c>
      <c r="AE519">
        <f>ROUND((EU519),2)</f>
        <v/>
      </c>
      <c r="AF519">
        <f>ROUND((EV519),2)</f>
        <v/>
      </c>
      <c r="AG519">
        <f>ROUND((AP519),2)</f>
        <v/>
      </c>
      <c r="AH519">
        <f>(EW519)</f>
        <v/>
      </c>
      <c r="AI519">
        <f>(EX519)</f>
        <v/>
      </c>
      <c r="AJ519">
        <f>(AS519)</f>
        <v/>
      </c>
      <c r="AK519" t="n">
        <v>403.3</v>
      </c>
      <c r="AL519" t="n">
        <v>139.36</v>
      </c>
      <c r="AM519" t="n">
        <v>0.87</v>
      </c>
      <c r="AN519" t="n">
        <v>0</v>
      </c>
      <c r="AO519" t="n">
        <v>263.07</v>
      </c>
      <c r="AP519" t="n">
        <v>0</v>
      </c>
      <c r="AQ519" t="n">
        <v>32.2</v>
      </c>
      <c r="AR519" t="n">
        <v>0</v>
      </c>
      <c r="AS519" t="n">
        <v>0</v>
      </c>
      <c r="AT519" t="n">
        <v>103</v>
      </c>
      <c r="AU519" t="n">
        <v>52</v>
      </c>
      <c r="AV519" t="n">
        <v>1</v>
      </c>
      <c r="AW519" t="n">
        <v>1</v>
      </c>
      <c r="AZ519" t="n">
        <v>1</v>
      </c>
      <c r="BA519" t="n">
        <v>52.25</v>
      </c>
      <c r="BB519" t="n">
        <v>25.03</v>
      </c>
      <c r="BC519" t="n">
        <v>11.85</v>
      </c>
      <c r="BD519" t="inlineStr"/>
      <c r="BE519" t="inlineStr"/>
      <c r="BF519" t="inlineStr"/>
      <c r="BG519" t="inlineStr"/>
      <c r="BH519" t="n">
        <v>0</v>
      </c>
      <c r="BI519" t="n">
        <v>1</v>
      </c>
      <c r="BJ519" t="inlineStr">
        <is>
          <t>ТЕРр Московской обл., 65-10-1, приказ Минстроя России №675/пр от 28.02.2017 № 263/пр</t>
        </is>
      </c>
      <c r="BM519" t="n">
        <v>65007</v>
      </c>
      <c r="BN519" t="n">
        <v>0</v>
      </c>
      <c r="BO519" t="inlineStr">
        <is>
          <t>65-10-1</t>
        </is>
      </c>
      <c r="BP519" t="n">
        <v>1</v>
      </c>
      <c r="BQ519" t="n">
        <v>6</v>
      </c>
      <c r="BR519" t="n">
        <v>0</v>
      </c>
      <c r="BS519" t="n">
        <v>52.25</v>
      </c>
      <c r="BT519" t="n">
        <v>1</v>
      </c>
      <c r="BU519" t="n">
        <v>1</v>
      </c>
      <c r="BV519" t="n">
        <v>1</v>
      </c>
      <c r="BW519" t="n">
        <v>1</v>
      </c>
      <c r="BX519" t="n">
        <v>1</v>
      </c>
      <c r="BY519" t="inlineStr"/>
      <c r="BZ519" t="n">
        <v>103</v>
      </c>
      <c r="CA519" t="n">
        <v>52</v>
      </c>
      <c r="CB519" t="inlineStr"/>
      <c r="CE519" t="n">
        <v>12</v>
      </c>
      <c r="CF519" t="n">
        <v>0</v>
      </c>
      <c r="CG519" t="n">
        <v>0</v>
      </c>
      <c r="CM519" t="n">
        <v>0</v>
      </c>
      <c r="CN519" t="inlineStr"/>
      <c r="CO519" t="n">
        <v>0</v>
      </c>
      <c r="CP519">
        <f>(P519+Q519+S519)</f>
        <v/>
      </c>
      <c r="CQ519">
        <f>AC519*BC519</f>
        <v/>
      </c>
      <c r="CR519">
        <f>(ROUND((ROUND(((ET519)*1),0)*BB519),0)+ROUND((ROUND(((AE519-(EU519))*1),0)*BS519),0))</f>
        <v/>
      </c>
      <c r="CS519">
        <f>(ROUND((ROUND(((EU519)*1),0)*BS519),0)+ROUND((ROUND(((AE519-(EU519))*1),0)*BS519),0))</f>
        <v/>
      </c>
      <c r="CT519">
        <f>AF519*BA519</f>
        <v/>
      </c>
      <c r="CU519">
        <f>AG519</f>
        <v/>
      </c>
      <c r="CV519">
        <f>AH519</f>
        <v/>
      </c>
      <c r="CW519">
        <f>AI519</f>
        <v/>
      </c>
      <c r="CX519">
        <f>AJ519</f>
        <v/>
      </c>
      <c r="CY519">
        <f>(((S519+R519)*AT519)/100)</f>
        <v/>
      </c>
      <c r="CZ519">
        <f>(((S519+R519)*AU519)/100)</f>
        <v/>
      </c>
      <c r="DC519" t="inlineStr"/>
      <c r="DD519" t="inlineStr"/>
      <c r="DE519" t="inlineStr"/>
      <c r="DF519" t="inlineStr"/>
      <c r="DG519" t="inlineStr"/>
      <c r="DH519" t="inlineStr"/>
      <c r="DI519" t="inlineStr"/>
      <c r="DJ519" t="inlineStr"/>
      <c r="DK519" t="inlineStr"/>
      <c r="DL519" t="inlineStr"/>
      <c r="DM519" t="inlineStr"/>
      <c r="DN519" t="n">
        <v>0</v>
      </c>
      <c r="DO519" t="n">
        <v>0</v>
      </c>
      <c r="DP519" t="n">
        <v>1</v>
      </c>
      <c r="DQ519" t="n">
        <v>1</v>
      </c>
      <c r="DU519" t="n">
        <v>1013</v>
      </c>
      <c r="DV519" t="inlineStr">
        <is>
          <t>100 м трубопровода</t>
        </is>
      </c>
      <c r="DW519" t="inlineStr">
        <is>
          <t>100 м трубопровода</t>
        </is>
      </c>
      <c r="DX519" t="n">
        <v>1</v>
      </c>
      <c r="DZ519" t="inlineStr"/>
      <c r="EA519" t="inlineStr"/>
      <c r="EB519" t="inlineStr"/>
      <c r="EC519" t="inlineStr"/>
      <c r="EE519" t="n">
        <v>78726000</v>
      </c>
      <c r="EF519" t="n">
        <v>6</v>
      </c>
      <c r="EG519" t="inlineStr">
        <is>
          <t>Ремонтно-строительные работы</t>
        </is>
      </c>
      <c r="EH519" t="n">
        <v>99</v>
      </c>
      <c r="EI519" t="inlineStr">
        <is>
          <t>Внутренние санитарно-технические работы</t>
        </is>
      </c>
      <c r="EJ519" t="n">
        <v>1</v>
      </c>
      <c r="EK519" t="n">
        <v>65007</v>
      </c>
      <c r="EL519" t="inlineStr">
        <is>
          <t>Внутренние санитарнотехнические работы: смена труб, санприборов, запорной арматуры и другое</t>
        </is>
      </c>
      <c r="EM519" t="inlineStr">
        <is>
          <t>рФЕР-65</t>
        </is>
      </c>
      <c r="EO519" t="inlineStr"/>
      <c r="EQ519" t="n">
        <v>0</v>
      </c>
      <c r="ER519" t="n">
        <v>403.3</v>
      </c>
      <c r="ES519" t="n">
        <v>139.36</v>
      </c>
      <c r="ET519" t="n">
        <v>0.87</v>
      </c>
      <c r="EU519" t="n">
        <v>0</v>
      </c>
      <c r="EV519" t="n">
        <v>263.07</v>
      </c>
      <c r="EW519" t="n">
        <v>32.2</v>
      </c>
      <c r="EX519" t="n">
        <v>0</v>
      </c>
      <c r="EY519" t="n">
        <v>0</v>
      </c>
      <c r="FQ519" t="n">
        <v>0</v>
      </c>
      <c r="FR519" t="n">
        <v>0</v>
      </c>
      <c r="FS519" t="n">
        <v>0</v>
      </c>
      <c r="FX519" t="n">
        <v>103</v>
      </c>
      <c r="FY519" t="n">
        <v>52</v>
      </c>
      <c r="GA519" t="inlineStr"/>
      <c r="GD519" t="n">
        <v>1</v>
      </c>
      <c r="GF519" t="n">
        <v>-66904957</v>
      </c>
      <c r="GG519" t="n">
        <v>2</v>
      </c>
      <c r="GH519" t="n">
        <v>1</v>
      </c>
      <c r="GI519" t="n">
        <v>2</v>
      </c>
      <c r="GJ519" t="n">
        <v>0</v>
      </c>
      <c r="GK519" t="n">
        <v>0</v>
      </c>
      <c r="GL519">
        <f>ROUND(IF(AND(BH519=3,BI519=3,FS519&lt;&gt;0),P519,0),0)</f>
        <v/>
      </c>
      <c r="GM519">
        <f>ROUND(O519+X519+Y519,0)+GX519</f>
        <v/>
      </c>
      <c r="GN519">
        <f>IF(OR(BI519=0,BI519=1),GM519-GX519,0)</f>
        <v/>
      </c>
      <c r="GO519">
        <f>IF(BI519=2,GM519-GX519,0)</f>
        <v/>
      </c>
      <c r="GP519">
        <f>IF(BI519=4,GM519-GX519,0)</f>
        <v/>
      </c>
      <c r="GR519" t="n">
        <v>0</v>
      </c>
      <c r="GS519" t="n">
        <v>3</v>
      </c>
      <c r="GT519" t="n">
        <v>0</v>
      </c>
      <c r="GU519" t="inlineStr"/>
      <c r="GV519">
        <f>ROUND((GT519),2)</f>
        <v/>
      </c>
      <c r="GW519" t="n">
        <v>1</v>
      </c>
      <c r="GX519">
        <f>ROUND(HC519*I519,0)</f>
        <v/>
      </c>
      <c r="HA519" t="n">
        <v>0</v>
      </c>
      <c r="HB519" t="n">
        <v>0</v>
      </c>
      <c r="HC519">
        <f>GV519*GW519</f>
        <v/>
      </c>
      <c r="HE519" t="inlineStr"/>
      <c r="HF519" t="inlineStr"/>
      <c r="HM519" t="inlineStr"/>
      <c r="HN519" t="inlineStr">
        <is>
          <t>Пр/812-099.2-1</t>
        </is>
      </c>
      <c r="HO519" t="inlineStr">
        <is>
          <t>Пр/774-099.2</t>
        </is>
      </c>
      <c r="HP519" t="inlineStr">
        <is>
          <t>Внутренние санитарнотехнические работы: смена труб, санприборов, запорной арматуры и другое</t>
        </is>
      </c>
      <c r="HQ519" t="inlineStr">
        <is>
          <t>Внутренние санитарнотехнические работы: смена труб, санприборов, запорной арматуры и другое</t>
        </is>
      </c>
      <c r="HS519" t="n">
        <v>0</v>
      </c>
      <c r="IK519" t="n">
        <v>0</v>
      </c>
    </row>
    <row r="520"/>
    <row r="521">
      <c r="A521" s="402" t="n">
        <v>51</v>
      </c>
      <c r="B521" s="402">
        <f>B514</f>
        <v/>
      </c>
      <c r="C521" s="402">
        <f>A514</f>
        <v/>
      </c>
      <c r="D521" s="402">
        <f>ROW(A514)</f>
        <v/>
      </c>
      <c r="E521" s="402" t="n"/>
      <c r="F521" s="402">
        <f>IF(F514&lt;&gt;"",F514,"")</f>
        <v/>
      </c>
      <c r="G521" s="402">
        <f>IF(G514&lt;&gt;"",G514,"")</f>
        <v/>
      </c>
      <c r="H521" s="402" t="n">
        <v>0</v>
      </c>
      <c r="I521" s="402" t="n"/>
      <c r="J521" s="402" t="n"/>
      <c r="K521" s="402" t="n"/>
      <c r="L521" s="402" t="n"/>
      <c r="M521" s="402" t="n"/>
      <c r="N521" s="402" t="n"/>
      <c r="O521" s="402" t="n">
        <v>0</v>
      </c>
      <c r="P521" s="402" t="n">
        <v>0</v>
      </c>
      <c r="Q521" s="402" t="n">
        <v>0</v>
      </c>
      <c r="R521" s="402" t="n">
        <v>0</v>
      </c>
      <c r="S521" s="402" t="n">
        <v>0</v>
      </c>
      <c r="T521" s="402" t="n">
        <v>0</v>
      </c>
      <c r="U521" s="402" t="n">
        <v>0</v>
      </c>
      <c r="V521" s="402" t="n">
        <v>0</v>
      </c>
      <c r="W521" s="402" t="n">
        <v>0</v>
      </c>
      <c r="X521" s="402" t="n">
        <v>0</v>
      </c>
      <c r="Y521" s="402" t="n">
        <v>0</v>
      </c>
      <c r="Z521" s="402" t="n"/>
      <c r="AA521" s="402" t="n"/>
      <c r="AB521" s="402" t="n"/>
      <c r="AC521" s="402" t="n"/>
      <c r="AD521" s="402" t="n"/>
      <c r="AE521" s="402" t="n"/>
      <c r="AF521" s="402" t="n"/>
      <c r="AG521" s="402" t="n"/>
      <c r="AH521" s="402" t="n"/>
      <c r="AI521" s="402" t="n"/>
      <c r="AJ521" s="402" t="n"/>
      <c r="AK521" s="402" t="n"/>
      <c r="AL521" s="402" t="n"/>
      <c r="AM521" s="402" t="n"/>
      <c r="AN521" s="402" t="n"/>
      <c r="AO521" s="402">
        <f>ROUND(BX521,0)</f>
        <v/>
      </c>
      <c r="AP521" s="402">
        <f>ROUND(BY521,0)</f>
        <v/>
      </c>
      <c r="AQ521" s="402">
        <f>ROUND(BZ521,0)</f>
        <v/>
      </c>
      <c r="AR521" s="402">
        <f>ROUND(CA521,0)</f>
        <v/>
      </c>
      <c r="AS521" s="402">
        <f>ROUND(CB521,0)</f>
        <v/>
      </c>
      <c r="AT521" s="402">
        <f>ROUND(CC521,0)</f>
        <v/>
      </c>
      <c r="AU521" s="402">
        <f>ROUND(CD521,0)</f>
        <v/>
      </c>
      <c r="AV521" s="402">
        <f>ROUND(CE521,0)</f>
        <v/>
      </c>
      <c r="AW521" s="402">
        <f>ROUND(CF521,0)</f>
        <v/>
      </c>
      <c r="AX521" s="402">
        <f>ROUND(CG521,0)</f>
        <v/>
      </c>
      <c r="AY521" s="402">
        <f>ROUND(CH521,0)</f>
        <v/>
      </c>
      <c r="AZ521" s="402">
        <f>ROUND(CI521,0)</f>
        <v/>
      </c>
      <c r="BA521" s="402">
        <f>ROUND(CJ521,0)</f>
        <v/>
      </c>
      <c r="BB521" s="402">
        <f>ROUND(CK521,0)</f>
        <v/>
      </c>
      <c r="BC521" s="402">
        <f>ROUND(CL521,0)</f>
        <v/>
      </c>
      <c r="BD521" s="402">
        <f>ROUND(CM521,0)</f>
        <v/>
      </c>
      <c r="BE521" s="402" t="n"/>
      <c r="BF521" s="402" t="n"/>
      <c r="BG521" s="402" t="n"/>
      <c r="BH521" s="402" t="n"/>
      <c r="BI521" s="402" t="n"/>
      <c r="BJ521" s="402" t="n"/>
      <c r="BK521" s="402" t="n"/>
      <c r="BL521" s="402" t="n"/>
      <c r="BM521" s="402" t="n"/>
      <c r="BN521" s="402" t="n"/>
      <c r="BO521" s="402" t="n"/>
      <c r="BP521" s="402" t="n"/>
      <c r="BQ521" s="402" t="n"/>
      <c r="BR521" s="402" t="n"/>
      <c r="BS521" s="402" t="n"/>
      <c r="BT521" s="402" t="n"/>
      <c r="BU521" s="402" t="n"/>
      <c r="BV521" s="402" t="n"/>
      <c r="BW521" s="402" t="n"/>
      <c r="BX521" s="402" t="n"/>
      <c r="BY521" s="402" t="n"/>
      <c r="BZ521" s="402" t="n"/>
      <c r="CA521" s="402" t="n"/>
      <c r="CB521" s="402" t="n"/>
      <c r="CC521" s="402" t="n"/>
      <c r="CD521" s="402" t="n"/>
      <c r="CE521" s="402" t="n"/>
      <c r="CF521" s="402" t="n"/>
      <c r="CG521" s="402" t="n"/>
      <c r="CH521" s="402" t="n"/>
      <c r="CI521" s="402" t="n"/>
      <c r="CJ521" s="402" t="n"/>
      <c r="CK521" s="402" t="n"/>
      <c r="CL521" s="402" t="n"/>
      <c r="CM521" s="402" t="n"/>
      <c r="CN521" s="402" t="n"/>
      <c r="CO521" s="402" t="n"/>
      <c r="CP521" s="402" t="n"/>
      <c r="CQ521" s="402" t="n"/>
      <c r="CR521" s="402" t="n"/>
      <c r="CS521" s="402" t="n"/>
      <c r="CT521" s="402" t="n"/>
      <c r="CU521" s="402" t="n"/>
      <c r="CV521" s="402" t="n"/>
      <c r="CW521" s="402" t="n"/>
      <c r="CX521" s="402" t="n"/>
      <c r="CY521" s="402" t="n"/>
      <c r="CZ521" s="402" t="n"/>
      <c r="DA521" s="402" t="n"/>
      <c r="DB521" s="402" t="n"/>
      <c r="DC521" s="402" t="n"/>
      <c r="DD521" s="402" t="n"/>
      <c r="DE521" s="402" t="n"/>
      <c r="DF521" s="402" t="n"/>
      <c r="DG521" s="403" t="n"/>
      <c r="DH521" s="403" t="n"/>
      <c r="DI521" s="403" t="n"/>
      <c r="DJ521" s="403" t="n"/>
      <c r="DK521" s="403" t="n"/>
      <c r="DL521" s="403" t="n"/>
      <c r="DM521" s="403" t="n"/>
      <c r="DN521" s="403" t="n"/>
      <c r="DO521" s="403" t="n"/>
      <c r="DP521" s="403" t="n"/>
      <c r="DQ521" s="403" t="n"/>
      <c r="DR521" s="403" t="n"/>
      <c r="DS521" s="403" t="n"/>
      <c r="DT521" s="403" t="n"/>
      <c r="DU521" s="403" t="n"/>
      <c r="DV521" s="403" t="n"/>
      <c r="DW521" s="403" t="n"/>
      <c r="DX521" s="403" t="n"/>
      <c r="DY521" s="403" t="n"/>
      <c r="DZ521" s="403" t="n"/>
      <c r="EA521" s="403" t="n"/>
      <c r="EB521" s="403" t="n"/>
      <c r="EC521" s="403" t="n"/>
      <c r="ED521" s="403" t="n"/>
      <c r="EE521" s="403" t="n"/>
      <c r="EF521" s="403" t="n"/>
      <c r="EG521" s="403" t="n"/>
      <c r="EH521" s="403" t="n"/>
      <c r="EI521" s="403" t="n"/>
      <c r="EJ521" s="403" t="n"/>
      <c r="EK521" s="403" t="n"/>
      <c r="EL521" s="403" t="n"/>
      <c r="EM521" s="403" t="n"/>
      <c r="EN521" s="403" t="n"/>
      <c r="EO521" s="403" t="n"/>
      <c r="EP521" s="403" t="n"/>
      <c r="EQ521" s="403" t="n"/>
      <c r="ER521" s="403" t="n"/>
      <c r="ES521" s="403" t="n"/>
      <c r="ET521" s="403" t="n"/>
      <c r="EU521" s="403" t="n"/>
      <c r="EV521" s="403" t="n"/>
      <c r="EW521" s="403" t="n"/>
      <c r="EX521" s="403" t="n"/>
      <c r="EY521" s="403" t="n"/>
      <c r="EZ521" s="403" t="n"/>
      <c r="FA521" s="403" t="n"/>
      <c r="FB521" s="403" t="n"/>
      <c r="FC521" s="403" t="n"/>
      <c r="FD521" s="403" t="n"/>
      <c r="FE521" s="403" t="n"/>
      <c r="FF521" s="403" t="n"/>
      <c r="FG521" s="403" t="n"/>
      <c r="FH521" s="403" t="n"/>
      <c r="FI521" s="403" t="n"/>
      <c r="FJ521" s="403" t="n"/>
      <c r="FK521" s="403" t="n"/>
      <c r="FL521" s="403" t="n"/>
      <c r="FM521" s="403" t="n"/>
      <c r="FN521" s="403" t="n"/>
      <c r="FO521" s="403" t="n"/>
      <c r="FP521" s="403" t="n"/>
      <c r="FQ521" s="403" t="n"/>
      <c r="FR521" s="403" t="n"/>
      <c r="FS521" s="403" t="n"/>
      <c r="FT521" s="403" t="n"/>
      <c r="FU521" s="403" t="n"/>
      <c r="FV521" s="403" t="n"/>
      <c r="FW521" s="403" t="n"/>
      <c r="FX521" s="403" t="n"/>
      <c r="FY521" s="403" t="n"/>
      <c r="FZ521" s="403" t="n"/>
      <c r="GA521" s="403" t="n"/>
      <c r="GB521" s="403" t="n"/>
      <c r="GC521" s="403" t="n"/>
      <c r="GD521" s="403" t="n"/>
      <c r="GE521" s="403" t="n"/>
      <c r="GF521" s="403" t="n"/>
      <c r="GG521" s="403" t="n"/>
      <c r="GH521" s="403" t="n"/>
      <c r="GI521" s="403" t="n"/>
      <c r="GJ521" s="403" t="n"/>
      <c r="GK521" s="403" t="n"/>
      <c r="GL521" s="403" t="n"/>
      <c r="GM521" s="403" t="n"/>
      <c r="GN521" s="403" t="n"/>
      <c r="GO521" s="403" t="n"/>
      <c r="GP521" s="403" t="n"/>
      <c r="GQ521" s="403" t="n"/>
      <c r="GR521" s="403" t="n"/>
      <c r="GS521" s="403" t="n"/>
      <c r="GT521" s="403" t="n"/>
      <c r="GU521" s="403" t="n"/>
      <c r="GV521" s="403" t="n"/>
      <c r="GW521" s="403" t="n"/>
      <c r="GX521" s="403" t="n">
        <v>0</v>
      </c>
    </row>
    <row r="522"/>
    <row r="523">
      <c r="A523" s="404" t="n">
        <v>50</v>
      </c>
      <c r="B523" s="404" t="n">
        <v>0</v>
      </c>
      <c r="C523" s="404" t="n">
        <v>0</v>
      </c>
      <c r="D523" s="404" t="n">
        <v>1</v>
      </c>
      <c r="E523" s="404" t="n">
        <v>201</v>
      </c>
      <c r="F523" s="404">
        <f>ROUND(Source!O521,O523)</f>
        <v/>
      </c>
      <c r="G523" s="404" t="inlineStr">
        <is>
          <t>ПЗ</t>
        </is>
      </c>
      <c r="H523" s="404" t="inlineStr">
        <is>
          <t>Прямые затраты</t>
        </is>
      </c>
      <c r="I523" s="404" t="n"/>
      <c r="J523" s="404" t="n"/>
      <c r="K523" s="404" t="n">
        <v>201</v>
      </c>
      <c r="L523" s="404" t="n">
        <v>1</v>
      </c>
      <c r="M523" s="404" t="n">
        <v>3</v>
      </c>
      <c r="N523" s="404" t="inlineStr"/>
      <c r="O523" s="404" t="n">
        <v>0</v>
      </c>
      <c r="P523" s="404" t="n"/>
      <c r="Q523" s="404" t="n"/>
      <c r="R523" s="404" t="n"/>
      <c r="S523" s="404" t="n"/>
      <c r="T523" s="404" t="n"/>
      <c r="U523" s="404" t="n"/>
      <c r="V523" s="404" t="n"/>
      <c r="W523" s="404" t="n">
        <v>0</v>
      </c>
      <c r="X523" s="404" t="n">
        <v>1</v>
      </c>
      <c r="Y523" s="404" t="n">
        <v>0</v>
      </c>
      <c r="Z523" s="404" t="n"/>
      <c r="AA523" s="404" t="n"/>
      <c r="AB523" s="404" t="n"/>
    </row>
    <row r="524">
      <c r="A524" s="404" t="n">
        <v>50</v>
      </c>
      <c r="B524" s="404" t="n">
        <v>0</v>
      </c>
      <c r="C524" s="404" t="n">
        <v>0</v>
      </c>
      <c r="D524" s="404" t="n">
        <v>1</v>
      </c>
      <c r="E524" s="404" t="n">
        <v>202</v>
      </c>
      <c r="F524" s="404">
        <f>ROUND(Source!P521,O524)</f>
        <v/>
      </c>
      <c r="G524" s="404" t="inlineStr">
        <is>
          <t>СтМатОб</t>
        </is>
      </c>
      <c r="H524" s="404" t="inlineStr">
        <is>
          <t>Стоимость материальных ресурсов (всего)</t>
        </is>
      </c>
      <c r="I524" s="404" t="n"/>
      <c r="J524" s="404" t="n"/>
      <c r="K524" s="404" t="n">
        <v>202</v>
      </c>
      <c r="L524" s="404" t="n">
        <v>2</v>
      </c>
      <c r="M524" s="404" t="n">
        <v>3</v>
      </c>
      <c r="N524" s="404" t="inlineStr"/>
      <c r="O524" s="404" t="n">
        <v>0</v>
      </c>
      <c r="P524" s="404" t="n"/>
      <c r="Q524" s="404" t="n"/>
      <c r="R524" s="404" t="n"/>
      <c r="S524" s="404" t="n"/>
      <c r="T524" s="404" t="n"/>
      <c r="U524" s="404" t="n"/>
      <c r="V524" s="404" t="n"/>
      <c r="W524" s="404" t="n">
        <v>0</v>
      </c>
      <c r="X524" s="404" t="n">
        <v>1</v>
      </c>
      <c r="Y524" s="404" t="n">
        <v>0</v>
      </c>
      <c r="Z524" s="404" t="n"/>
      <c r="AA524" s="404" t="n"/>
      <c r="AB524" s="404" t="n"/>
    </row>
    <row r="525">
      <c r="A525" s="404" t="n">
        <v>50</v>
      </c>
      <c r="B525" s="404" t="n">
        <v>0</v>
      </c>
      <c r="C525" s="404" t="n">
        <v>0</v>
      </c>
      <c r="D525" s="404" t="n">
        <v>1</v>
      </c>
      <c r="E525" s="404" t="n">
        <v>222</v>
      </c>
      <c r="F525" s="404">
        <f>ROUND(Source!AO521,O525)</f>
        <v/>
      </c>
      <c r="G525" s="404" t="inlineStr">
        <is>
          <t>СтМатОбЗак</t>
        </is>
      </c>
      <c r="H525" s="404" t="inlineStr">
        <is>
          <t>Стоимость материалов и оборудования заказчика</t>
        </is>
      </c>
      <c r="I525" s="404" t="n"/>
      <c r="J525" s="404" t="n"/>
      <c r="K525" s="404" t="n">
        <v>222</v>
      </c>
      <c r="L525" s="404" t="n">
        <v>3</v>
      </c>
      <c r="M525" s="404" t="n">
        <v>3</v>
      </c>
      <c r="N525" s="404" t="inlineStr"/>
      <c r="O525" s="404" t="n">
        <v>0</v>
      </c>
      <c r="P525" s="404" t="n"/>
      <c r="Q525" s="404" t="n"/>
      <c r="R525" s="404" t="n"/>
      <c r="S525" s="404" t="n"/>
      <c r="T525" s="404" t="n"/>
      <c r="U525" s="404" t="n"/>
      <c r="V525" s="404" t="n"/>
      <c r="W525" s="404" t="n">
        <v>0</v>
      </c>
      <c r="X525" s="404" t="n">
        <v>1</v>
      </c>
      <c r="Y525" s="404" t="n">
        <v>0</v>
      </c>
      <c r="Z525" s="404" t="n"/>
      <c r="AA525" s="404" t="n"/>
      <c r="AB525" s="404" t="n"/>
    </row>
    <row r="526">
      <c r="A526" s="404" t="n">
        <v>50</v>
      </c>
      <c r="B526" s="404" t="n">
        <v>0</v>
      </c>
      <c r="C526" s="404" t="n">
        <v>0</v>
      </c>
      <c r="D526" s="404" t="n">
        <v>1</v>
      </c>
      <c r="E526" s="404" t="n">
        <v>225</v>
      </c>
      <c r="F526" s="404">
        <f>ROUND(Source!AV521,O526)</f>
        <v/>
      </c>
      <c r="G526" s="404" t="inlineStr">
        <is>
          <t>СтМатОбПод</t>
        </is>
      </c>
      <c r="H526" s="404" t="inlineStr">
        <is>
          <t>Стоимость материалов и оборудования подрядчика</t>
        </is>
      </c>
      <c r="I526" s="404" t="n"/>
      <c r="J526" s="404" t="n"/>
      <c r="K526" s="404" t="n">
        <v>225</v>
      </c>
      <c r="L526" s="404" t="n">
        <v>4</v>
      </c>
      <c r="M526" s="404" t="n">
        <v>3</v>
      </c>
      <c r="N526" s="404" t="inlineStr"/>
      <c r="O526" s="404" t="n">
        <v>0</v>
      </c>
      <c r="P526" s="404" t="n"/>
      <c r="Q526" s="404" t="n"/>
      <c r="R526" s="404" t="n"/>
      <c r="S526" s="404" t="n"/>
      <c r="T526" s="404" t="n"/>
      <c r="U526" s="404" t="n"/>
      <c r="V526" s="404" t="n"/>
      <c r="W526" s="404" t="n">
        <v>0</v>
      </c>
      <c r="X526" s="404" t="n">
        <v>1</v>
      </c>
      <c r="Y526" s="404" t="n">
        <v>0</v>
      </c>
      <c r="Z526" s="404" t="n"/>
      <c r="AA526" s="404" t="n"/>
      <c r="AB526" s="404" t="n"/>
    </row>
    <row r="527">
      <c r="A527" s="404" t="n">
        <v>50</v>
      </c>
      <c r="B527" s="404" t="n">
        <v>0</v>
      </c>
      <c r="C527" s="404" t="n">
        <v>0</v>
      </c>
      <c r="D527" s="404" t="n">
        <v>1</v>
      </c>
      <c r="E527" s="404" t="n">
        <v>226</v>
      </c>
      <c r="F527" s="404">
        <f>ROUND(Source!AW521,O527)</f>
        <v/>
      </c>
      <c r="G527" s="404" t="inlineStr">
        <is>
          <t>СтМат</t>
        </is>
      </c>
      <c r="H527" s="404" t="inlineStr">
        <is>
          <t>Стоимость материалов (всего)</t>
        </is>
      </c>
      <c r="I527" s="404" t="n"/>
      <c r="J527" s="404" t="n"/>
      <c r="K527" s="404" t="n">
        <v>226</v>
      </c>
      <c r="L527" s="404" t="n">
        <v>5</v>
      </c>
      <c r="M527" s="404" t="n">
        <v>3</v>
      </c>
      <c r="N527" s="404" t="inlineStr"/>
      <c r="O527" s="404" t="n">
        <v>0</v>
      </c>
      <c r="P527" s="404" t="n"/>
      <c r="Q527" s="404" t="n"/>
      <c r="R527" s="404" t="n"/>
      <c r="S527" s="404" t="n"/>
      <c r="T527" s="404" t="n"/>
      <c r="U527" s="404" t="n"/>
      <c r="V527" s="404" t="n"/>
      <c r="W527" s="404" t="n">
        <v>0</v>
      </c>
      <c r="X527" s="404" t="n">
        <v>1</v>
      </c>
      <c r="Y527" s="404" t="n">
        <v>0</v>
      </c>
      <c r="Z527" s="404" t="n"/>
      <c r="AA527" s="404" t="n"/>
      <c r="AB527" s="404" t="n"/>
    </row>
    <row r="528">
      <c r="A528" s="404" t="n">
        <v>50</v>
      </c>
      <c r="B528" s="404" t="n">
        <v>0</v>
      </c>
      <c r="C528" s="404" t="n">
        <v>0</v>
      </c>
      <c r="D528" s="404" t="n">
        <v>1</v>
      </c>
      <c r="E528" s="404" t="n">
        <v>227</v>
      </c>
      <c r="F528" s="404">
        <f>ROUND(Source!AX521,O528)</f>
        <v/>
      </c>
      <c r="G528" s="404" t="inlineStr">
        <is>
          <t>СтМатЗак</t>
        </is>
      </c>
      <c r="H528" s="404" t="inlineStr">
        <is>
          <t>Стоимость материалов заказчика</t>
        </is>
      </c>
      <c r="I528" s="404" t="n"/>
      <c r="J528" s="404" t="n"/>
      <c r="K528" s="404" t="n">
        <v>227</v>
      </c>
      <c r="L528" s="404" t="n">
        <v>6</v>
      </c>
      <c r="M528" s="404" t="n">
        <v>3</v>
      </c>
      <c r="N528" s="404" t="inlineStr"/>
      <c r="O528" s="404" t="n">
        <v>0</v>
      </c>
      <c r="P528" s="404" t="n"/>
      <c r="Q528" s="404" t="n"/>
      <c r="R528" s="404" t="n"/>
      <c r="S528" s="404" t="n"/>
      <c r="T528" s="404" t="n"/>
      <c r="U528" s="404" t="n"/>
      <c r="V528" s="404" t="n"/>
      <c r="W528" s="404" t="n">
        <v>0</v>
      </c>
      <c r="X528" s="404" t="n">
        <v>1</v>
      </c>
      <c r="Y528" s="404" t="n">
        <v>0</v>
      </c>
      <c r="Z528" s="404" t="n"/>
      <c r="AA528" s="404" t="n"/>
      <c r="AB528" s="404" t="n"/>
    </row>
    <row r="529">
      <c r="A529" s="404" t="n">
        <v>50</v>
      </c>
      <c r="B529" s="404" t="n">
        <v>0</v>
      </c>
      <c r="C529" s="404" t="n">
        <v>0</v>
      </c>
      <c r="D529" s="404" t="n">
        <v>1</v>
      </c>
      <c r="E529" s="404" t="n">
        <v>228</v>
      </c>
      <c r="F529" s="404">
        <f>ROUND(Source!AY521,O529)</f>
        <v/>
      </c>
      <c r="G529" s="404" t="inlineStr">
        <is>
          <t>СтМатПод</t>
        </is>
      </c>
      <c r="H529" s="404" t="inlineStr">
        <is>
          <t>Стоимость материалов подрядчика</t>
        </is>
      </c>
      <c r="I529" s="404" t="n"/>
      <c r="J529" s="404" t="n"/>
      <c r="K529" s="404" t="n">
        <v>228</v>
      </c>
      <c r="L529" s="404" t="n">
        <v>7</v>
      </c>
      <c r="M529" s="404" t="n">
        <v>3</v>
      </c>
      <c r="N529" s="404" t="inlineStr"/>
      <c r="O529" s="404" t="n">
        <v>0</v>
      </c>
      <c r="P529" s="404" t="n"/>
      <c r="Q529" s="404" t="n"/>
      <c r="R529" s="404" t="n"/>
      <c r="S529" s="404" t="n"/>
      <c r="T529" s="404" t="n"/>
      <c r="U529" s="404" t="n"/>
      <c r="V529" s="404" t="n"/>
      <c r="W529" s="404" t="n">
        <v>0</v>
      </c>
      <c r="X529" s="404" t="n">
        <v>1</v>
      </c>
      <c r="Y529" s="404" t="n">
        <v>0</v>
      </c>
      <c r="Z529" s="404" t="n"/>
      <c r="AA529" s="404" t="n"/>
      <c r="AB529" s="404" t="n"/>
    </row>
    <row r="530">
      <c r="A530" s="404" t="n">
        <v>50</v>
      </c>
      <c r="B530" s="404" t="n">
        <v>0</v>
      </c>
      <c r="C530" s="404" t="n">
        <v>0</v>
      </c>
      <c r="D530" s="404" t="n">
        <v>1</v>
      </c>
      <c r="E530" s="404" t="n">
        <v>216</v>
      </c>
      <c r="F530" s="404">
        <f>ROUND(Source!AP521,O530)</f>
        <v/>
      </c>
      <c r="G530" s="404" t="inlineStr">
        <is>
          <t>Оборуд</t>
        </is>
      </c>
      <c r="H530" s="404" t="inlineStr">
        <is>
          <t>Стоимость оборудования (всего)</t>
        </is>
      </c>
      <c r="I530" s="404" t="n"/>
      <c r="J530" s="404" t="n"/>
      <c r="K530" s="404" t="n">
        <v>216</v>
      </c>
      <c r="L530" s="404" t="n">
        <v>8</v>
      </c>
      <c r="M530" s="404" t="n">
        <v>3</v>
      </c>
      <c r="N530" s="404" t="inlineStr"/>
      <c r="O530" s="404" t="n">
        <v>0</v>
      </c>
      <c r="P530" s="404" t="n"/>
      <c r="Q530" s="404" t="n"/>
      <c r="R530" s="404" t="n"/>
      <c r="S530" s="404" t="n"/>
      <c r="T530" s="404" t="n"/>
      <c r="U530" s="404" t="n"/>
      <c r="V530" s="404" t="n"/>
      <c r="W530" s="404" t="n">
        <v>0</v>
      </c>
      <c r="X530" s="404" t="n">
        <v>1</v>
      </c>
      <c r="Y530" s="404" t="n">
        <v>0</v>
      </c>
      <c r="Z530" s="404" t="n"/>
      <c r="AA530" s="404" t="n"/>
      <c r="AB530" s="404" t="n"/>
    </row>
    <row r="531">
      <c r="A531" s="404" t="n">
        <v>50</v>
      </c>
      <c r="B531" s="404" t="n">
        <v>0</v>
      </c>
      <c r="C531" s="404" t="n">
        <v>0</v>
      </c>
      <c r="D531" s="404" t="n">
        <v>1</v>
      </c>
      <c r="E531" s="404" t="n">
        <v>223</v>
      </c>
      <c r="F531" s="404">
        <f>ROUND(Source!AQ521,O531)</f>
        <v/>
      </c>
      <c r="G531" s="404" t="inlineStr">
        <is>
          <t>ОборудЗак</t>
        </is>
      </c>
      <c r="H531" s="404" t="inlineStr">
        <is>
          <t>Стоимость оборудования заказчика</t>
        </is>
      </c>
      <c r="I531" s="404" t="n"/>
      <c r="J531" s="404" t="n"/>
      <c r="K531" s="404" t="n">
        <v>223</v>
      </c>
      <c r="L531" s="404" t="n">
        <v>9</v>
      </c>
      <c r="M531" s="404" t="n">
        <v>3</v>
      </c>
      <c r="N531" s="404" t="inlineStr"/>
      <c r="O531" s="404" t="n">
        <v>0</v>
      </c>
      <c r="P531" s="404" t="n"/>
      <c r="Q531" s="404" t="n"/>
      <c r="R531" s="404" t="n"/>
      <c r="S531" s="404" t="n"/>
      <c r="T531" s="404" t="n"/>
      <c r="U531" s="404" t="n"/>
      <c r="V531" s="404" t="n"/>
      <c r="W531" s="404" t="n">
        <v>0</v>
      </c>
      <c r="X531" s="404" t="n">
        <v>1</v>
      </c>
      <c r="Y531" s="404" t="n">
        <v>0</v>
      </c>
      <c r="Z531" s="404" t="n"/>
      <c r="AA531" s="404" t="n"/>
      <c r="AB531" s="404" t="n"/>
    </row>
    <row r="532">
      <c r="A532" s="404" t="n">
        <v>50</v>
      </c>
      <c r="B532" s="404" t="n">
        <v>0</v>
      </c>
      <c r="C532" s="404" t="n">
        <v>0</v>
      </c>
      <c r="D532" s="404" t="n">
        <v>1</v>
      </c>
      <c r="E532" s="404" t="n">
        <v>229</v>
      </c>
      <c r="F532" s="404">
        <f>ROUND(Source!AZ521,O532)</f>
        <v/>
      </c>
      <c r="G532" s="404" t="inlineStr">
        <is>
          <t>ОборудПод</t>
        </is>
      </c>
      <c r="H532" s="404" t="inlineStr">
        <is>
          <t>Стоимость оборудования подрядчика</t>
        </is>
      </c>
      <c r="I532" s="404" t="n"/>
      <c r="J532" s="404" t="n"/>
      <c r="K532" s="404" t="n">
        <v>229</v>
      </c>
      <c r="L532" s="404" t="n">
        <v>10</v>
      </c>
      <c r="M532" s="404" t="n">
        <v>3</v>
      </c>
      <c r="N532" s="404" t="inlineStr"/>
      <c r="O532" s="404" t="n">
        <v>0</v>
      </c>
      <c r="P532" s="404" t="n"/>
      <c r="Q532" s="404" t="n"/>
      <c r="R532" s="404" t="n"/>
      <c r="S532" s="404" t="n"/>
      <c r="T532" s="404" t="n"/>
      <c r="U532" s="404" t="n"/>
      <c r="V532" s="404" t="n"/>
      <c r="W532" s="404" t="n">
        <v>0</v>
      </c>
      <c r="X532" s="404" t="n">
        <v>1</v>
      </c>
      <c r="Y532" s="404" t="n">
        <v>0</v>
      </c>
      <c r="Z532" s="404" t="n"/>
      <c r="AA532" s="404" t="n"/>
      <c r="AB532" s="404" t="n"/>
    </row>
    <row r="533">
      <c r="A533" s="404" t="n">
        <v>50</v>
      </c>
      <c r="B533" s="404" t="n">
        <v>0</v>
      </c>
      <c r="C533" s="404" t="n">
        <v>0</v>
      </c>
      <c r="D533" s="404" t="n">
        <v>1</v>
      </c>
      <c r="E533" s="404" t="n">
        <v>203</v>
      </c>
      <c r="F533" s="404">
        <f>ROUND(Source!Q521,O533)</f>
        <v/>
      </c>
      <c r="G533" s="404" t="inlineStr">
        <is>
          <t>ЭММ</t>
        </is>
      </c>
      <c r="H533" s="404" t="inlineStr">
        <is>
          <t>Эксплуатация машин</t>
        </is>
      </c>
      <c r="I533" s="404" t="n"/>
      <c r="J533" s="404" t="n"/>
      <c r="K533" s="404" t="n">
        <v>203</v>
      </c>
      <c r="L533" s="404" t="n">
        <v>11</v>
      </c>
      <c r="M533" s="404" t="n">
        <v>3</v>
      </c>
      <c r="N533" s="404" t="inlineStr"/>
      <c r="O533" s="404" t="n">
        <v>0</v>
      </c>
      <c r="P533" s="404" t="n"/>
      <c r="Q533" s="404" t="n"/>
      <c r="R533" s="404" t="n"/>
      <c r="S533" s="404" t="n"/>
      <c r="T533" s="404" t="n"/>
      <c r="U533" s="404" t="n"/>
      <c r="V533" s="404" t="n"/>
      <c r="W533" s="404" t="n">
        <v>0</v>
      </c>
      <c r="X533" s="404" t="n">
        <v>1</v>
      </c>
      <c r="Y533" s="404" t="n">
        <v>0</v>
      </c>
      <c r="Z533" s="404" t="n"/>
      <c r="AA533" s="404" t="n"/>
      <c r="AB533" s="404" t="n"/>
    </row>
    <row r="534">
      <c r="A534" s="404" t="n">
        <v>50</v>
      </c>
      <c r="B534" s="404" t="n">
        <v>0</v>
      </c>
      <c r="C534" s="404" t="n">
        <v>0</v>
      </c>
      <c r="D534" s="404" t="n">
        <v>1</v>
      </c>
      <c r="E534" s="404" t="n">
        <v>231</v>
      </c>
      <c r="F534" s="404">
        <f>ROUND(Source!BB521,O534)</f>
        <v/>
      </c>
      <c r="G534" s="404" t="inlineStr">
        <is>
          <t>ЭММсНРиСП</t>
        </is>
      </c>
      <c r="H534" s="404" t="inlineStr">
        <is>
          <t>Эксплуатация машин по ТСН-2001.16</t>
        </is>
      </c>
      <c r="I534" s="404" t="n"/>
      <c r="J534" s="404" t="n"/>
      <c r="K534" s="404" t="n">
        <v>231</v>
      </c>
      <c r="L534" s="404" t="n">
        <v>12</v>
      </c>
      <c r="M534" s="404" t="n">
        <v>3</v>
      </c>
      <c r="N534" s="404" t="inlineStr"/>
      <c r="O534" s="404" t="n">
        <v>0</v>
      </c>
      <c r="P534" s="404" t="n"/>
      <c r="Q534" s="404" t="n"/>
      <c r="R534" s="404" t="n"/>
      <c r="S534" s="404" t="n"/>
      <c r="T534" s="404" t="n"/>
      <c r="U534" s="404" t="n"/>
      <c r="V534" s="404" t="n"/>
      <c r="W534" s="404" t="n">
        <v>0</v>
      </c>
      <c r="X534" s="404" t="n">
        <v>1</v>
      </c>
      <c r="Y534" s="404" t="n">
        <v>0</v>
      </c>
      <c r="Z534" s="404" t="n"/>
      <c r="AA534" s="404" t="n"/>
      <c r="AB534" s="404" t="n"/>
    </row>
    <row r="535">
      <c r="A535" s="404" t="n">
        <v>50</v>
      </c>
      <c r="B535" s="404" t="n">
        <v>0</v>
      </c>
      <c r="C535" s="404" t="n">
        <v>0</v>
      </c>
      <c r="D535" s="404" t="n">
        <v>1</v>
      </c>
      <c r="E535" s="404" t="n">
        <v>204</v>
      </c>
      <c r="F535" s="404">
        <f>ROUND(Source!R521,O535)</f>
        <v/>
      </c>
      <c r="G535" s="404" t="inlineStr">
        <is>
          <t>ЗПМ</t>
        </is>
      </c>
      <c r="H535" s="404" t="inlineStr">
        <is>
          <t>ЗП машинистов</t>
        </is>
      </c>
      <c r="I535" s="404" t="n"/>
      <c r="J535" s="404" t="n"/>
      <c r="K535" s="404" t="n">
        <v>204</v>
      </c>
      <c r="L535" s="404" t="n">
        <v>13</v>
      </c>
      <c r="M535" s="404" t="n">
        <v>3</v>
      </c>
      <c r="N535" s="404" t="inlineStr"/>
      <c r="O535" s="404" t="n">
        <v>0</v>
      </c>
      <c r="P535" s="404" t="n"/>
      <c r="Q535" s="404" t="n"/>
      <c r="R535" s="404" t="n"/>
      <c r="S535" s="404" t="n"/>
      <c r="T535" s="404" t="n"/>
      <c r="U535" s="404" t="n"/>
      <c r="V535" s="404" t="n"/>
      <c r="W535" s="404" t="n">
        <v>0</v>
      </c>
      <c r="X535" s="404" t="n">
        <v>1</v>
      </c>
      <c r="Y535" s="404" t="n">
        <v>0</v>
      </c>
      <c r="Z535" s="404" t="n"/>
      <c r="AA535" s="404" t="n"/>
      <c r="AB535" s="404" t="n"/>
    </row>
    <row r="536">
      <c r="A536" s="404" t="n">
        <v>50</v>
      </c>
      <c r="B536" s="404" t="n">
        <v>0</v>
      </c>
      <c r="C536" s="404" t="n">
        <v>0</v>
      </c>
      <c r="D536" s="404" t="n">
        <v>1</v>
      </c>
      <c r="E536" s="404" t="n">
        <v>205</v>
      </c>
      <c r="F536" s="404">
        <f>ROUND(Source!S521,O536)</f>
        <v/>
      </c>
      <c r="G536" s="404" t="inlineStr">
        <is>
          <t>ОЗП</t>
        </is>
      </c>
      <c r="H536" s="404" t="inlineStr">
        <is>
          <t>Основная ЗП рабочих</t>
        </is>
      </c>
      <c r="I536" s="404" t="n"/>
      <c r="J536" s="404" t="n"/>
      <c r="K536" s="404" t="n">
        <v>205</v>
      </c>
      <c r="L536" s="404" t="n">
        <v>14</v>
      </c>
      <c r="M536" s="404" t="n">
        <v>3</v>
      </c>
      <c r="N536" s="404" t="inlineStr"/>
      <c r="O536" s="404" t="n">
        <v>0</v>
      </c>
      <c r="P536" s="404" t="n"/>
      <c r="Q536" s="404" t="n"/>
      <c r="R536" s="404" t="n"/>
      <c r="S536" s="404" t="n"/>
      <c r="T536" s="404" t="n"/>
      <c r="U536" s="404" t="n"/>
      <c r="V536" s="404" t="n"/>
      <c r="W536" s="404" t="n">
        <v>0</v>
      </c>
      <c r="X536" s="404" t="n">
        <v>1</v>
      </c>
      <c r="Y536" s="404" t="n">
        <v>0</v>
      </c>
      <c r="Z536" s="404" t="n"/>
      <c r="AA536" s="404" t="n"/>
      <c r="AB536" s="404" t="n"/>
    </row>
    <row r="537">
      <c r="A537" s="404" t="n">
        <v>50</v>
      </c>
      <c r="B537" s="404" t="n">
        <v>0</v>
      </c>
      <c r="C537" s="404" t="n">
        <v>0</v>
      </c>
      <c r="D537" s="404" t="n">
        <v>1</v>
      </c>
      <c r="E537" s="404" t="n">
        <v>232</v>
      </c>
      <c r="F537" s="404">
        <f>ROUND(Source!BC521,O537)</f>
        <v/>
      </c>
      <c r="G537" s="404" t="inlineStr">
        <is>
          <t>ОЗПсНРиСП</t>
        </is>
      </c>
      <c r="H537" s="404" t="inlineStr">
        <is>
          <t>Основная ЗП рабочих по ТСН-2001.16</t>
        </is>
      </c>
      <c r="I537" s="404" t="n"/>
      <c r="J537" s="404" t="n"/>
      <c r="K537" s="404" t="n">
        <v>232</v>
      </c>
      <c r="L537" s="404" t="n">
        <v>15</v>
      </c>
      <c r="M537" s="404" t="n">
        <v>3</v>
      </c>
      <c r="N537" s="404" t="inlineStr"/>
      <c r="O537" s="404" t="n">
        <v>0</v>
      </c>
      <c r="P537" s="404" t="n"/>
      <c r="Q537" s="404" t="n"/>
      <c r="R537" s="404" t="n"/>
      <c r="S537" s="404" t="n"/>
      <c r="T537" s="404" t="n"/>
      <c r="U537" s="404" t="n"/>
      <c r="V537" s="404" t="n"/>
      <c r="W537" s="404" t="n">
        <v>0</v>
      </c>
      <c r="X537" s="404" t="n">
        <v>1</v>
      </c>
      <c r="Y537" s="404" t="n">
        <v>0</v>
      </c>
      <c r="Z537" s="404" t="n"/>
      <c r="AA537" s="404" t="n"/>
      <c r="AB537" s="404" t="n"/>
    </row>
    <row r="538">
      <c r="A538" s="404" t="n">
        <v>50</v>
      </c>
      <c r="B538" s="404" t="n">
        <v>0</v>
      </c>
      <c r="C538" s="404" t="n">
        <v>0</v>
      </c>
      <c r="D538" s="404" t="n">
        <v>1</v>
      </c>
      <c r="E538" s="404" t="n">
        <v>214</v>
      </c>
      <c r="F538" s="404">
        <f>ROUND(Source!AS521,O538)</f>
        <v/>
      </c>
      <c r="G538" s="404" t="inlineStr">
        <is>
          <t>Строит</t>
        </is>
      </c>
      <c r="H538" s="404" t="inlineStr">
        <is>
          <t>Строительные работы с НР и СП</t>
        </is>
      </c>
      <c r="I538" s="404" t="n"/>
      <c r="J538" s="404" t="n"/>
      <c r="K538" s="404" t="n">
        <v>214</v>
      </c>
      <c r="L538" s="404" t="n">
        <v>16</v>
      </c>
      <c r="M538" s="404" t="n">
        <v>3</v>
      </c>
      <c r="N538" s="404" t="inlineStr"/>
      <c r="O538" s="404" t="n">
        <v>0</v>
      </c>
      <c r="P538" s="404" t="n"/>
      <c r="Q538" s="404" t="n"/>
      <c r="R538" s="404" t="n"/>
      <c r="S538" s="404" t="n"/>
      <c r="T538" s="404" t="n"/>
      <c r="U538" s="404" t="n"/>
      <c r="V538" s="404" t="n"/>
      <c r="W538" s="404" t="n">
        <v>0</v>
      </c>
      <c r="X538" s="404" t="n">
        <v>1</v>
      </c>
      <c r="Y538" s="404" t="n">
        <v>0</v>
      </c>
      <c r="Z538" s="404" t="n"/>
      <c r="AA538" s="404" t="n"/>
      <c r="AB538" s="404" t="n"/>
    </row>
    <row r="539">
      <c r="A539" s="404" t="n">
        <v>50</v>
      </c>
      <c r="B539" s="404" t="n">
        <v>0</v>
      </c>
      <c r="C539" s="404" t="n">
        <v>0</v>
      </c>
      <c r="D539" s="404" t="n">
        <v>1</v>
      </c>
      <c r="E539" s="404" t="n">
        <v>215</v>
      </c>
      <c r="F539" s="404">
        <f>ROUND(Source!AT521,O539)</f>
        <v/>
      </c>
      <c r="G539" s="404" t="inlineStr">
        <is>
          <t>Монтаж</t>
        </is>
      </c>
      <c r="H539" s="404" t="inlineStr">
        <is>
          <t>Монтажные работы с НР и СП</t>
        </is>
      </c>
      <c r="I539" s="404" t="n"/>
      <c r="J539" s="404" t="n"/>
      <c r="K539" s="404" t="n">
        <v>215</v>
      </c>
      <c r="L539" s="404" t="n">
        <v>17</v>
      </c>
      <c r="M539" s="404" t="n">
        <v>3</v>
      </c>
      <c r="N539" s="404" t="inlineStr"/>
      <c r="O539" s="404" t="n">
        <v>0</v>
      </c>
      <c r="P539" s="404" t="n"/>
      <c r="Q539" s="404" t="n"/>
      <c r="R539" s="404" t="n"/>
      <c r="S539" s="404" t="n"/>
      <c r="T539" s="404" t="n"/>
      <c r="U539" s="404" t="n"/>
      <c r="V539" s="404" t="n"/>
      <c r="W539" s="404" t="n">
        <v>0</v>
      </c>
      <c r="X539" s="404" t="n">
        <v>1</v>
      </c>
      <c r="Y539" s="404" t="n">
        <v>0</v>
      </c>
      <c r="Z539" s="404" t="n"/>
      <c r="AA539" s="404" t="n"/>
      <c r="AB539" s="404" t="n"/>
    </row>
    <row r="540">
      <c r="A540" s="404" t="n">
        <v>50</v>
      </c>
      <c r="B540" s="404" t="n">
        <v>0</v>
      </c>
      <c r="C540" s="404" t="n">
        <v>0</v>
      </c>
      <c r="D540" s="404" t="n">
        <v>1</v>
      </c>
      <c r="E540" s="404" t="n">
        <v>217</v>
      </c>
      <c r="F540" s="404">
        <f>ROUND(Source!AU521,O540)</f>
        <v/>
      </c>
      <c r="G540" s="404" t="inlineStr">
        <is>
          <t>Прочие</t>
        </is>
      </c>
      <c r="H540" s="404" t="inlineStr">
        <is>
          <t>Прочие работы с НР и СП</t>
        </is>
      </c>
      <c r="I540" s="404" t="n"/>
      <c r="J540" s="404" t="n"/>
      <c r="K540" s="404" t="n">
        <v>217</v>
      </c>
      <c r="L540" s="404" t="n">
        <v>18</v>
      </c>
      <c r="M540" s="404" t="n">
        <v>3</v>
      </c>
      <c r="N540" s="404" t="inlineStr"/>
      <c r="O540" s="404" t="n">
        <v>0</v>
      </c>
      <c r="P540" s="404" t="n"/>
      <c r="Q540" s="404" t="n"/>
      <c r="R540" s="404" t="n"/>
      <c r="S540" s="404" t="n"/>
      <c r="T540" s="404" t="n"/>
      <c r="U540" s="404" t="n"/>
      <c r="V540" s="404" t="n"/>
      <c r="W540" s="404" t="n">
        <v>0</v>
      </c>
      <c r="X540" s="404" t="n">
        <v>1</v>
      </c>
      <c r="Y540" s="404" t="n">
        <v>0</v>
      </c>
      <c r="Z540" s="404" t="n"/>
      <c r="AA540" s="404" t="n"/>
      <c r="AB540" s="404" t="n"/>
    </row>
    <row r="541">
      <c r="A541" s="404" t="n">
        <v>50</v>
      </c>
      <c r="B541" s="404" t="n">
        <v>0</v>
      </c>
      <c r="C541" s="404" t="n">
        <v>0</v>
      </c>
      <c r="D541" s="404" t="n">
        <v>1</v>
      </c>
      <c r="E541" s="404" t="n">
        <v>230</v>
      </c>
      <c r="F541" s="404">
        <f>ROUND(Source!BA521,O541)</f>
        <v/>
      </c>
      <c r="G541" s="404" t="inlineStr">
        <is>
          <t>ПрочиеЗатр</t>
        </is>
      </c>
      <c r="H541" s="404" t="inlineStr">
        <is>
          <t>Прочие затраты по ТСН-2001.16</t>
        </is>
      </c>
      <c r="I541" s="404" t="n"/>
      <c r="J541" s="404" t="n"/>
      <c r="K541" s="404" t="n">
        <v>230</v>
      </c>
      <c r="L541" s="404" t="n">
        <v>19</v>
      </c>
      <c r="M541" s="404" t="n">
        <v>3</v>
      </c>
      <c r="N541" s="404" t="inlineStr"/>
      <c r="O541" s="404" t="n">
        <v>0</v>
      </c>
      <c r="P541" s="404" t="n"/>
      <c r="Q541" s="404" t="n"/>
      <c r="R541" s="404" t="n"/>
      <c r="S541" s="404" t="n"/>
      <c r="T541" s="404" t="n"/>
      <c r="U541" s="404" t="n"/>
      <c r="V541" s="404" t="n"/>
      <c r="W541" s="404" t="n">
        <v>0</v>
      </c>
      <c r="X541" s="404" t="n">
        <v>1</v>
      </c>
      <c r="Y541" s="404" t="n">
        <v>0</v>
      </c>
      <c r="Z541" s="404" t="n"/>
      <c r="AA541" s="404" t="n"/>
      <c r="AB541" s="404" t="n"/>
    </row>
    <row r="542">
      <c r="A542" s="404" t="n">
        <v>50</v>
      </c>
      <c r="B542" s="404" t="n">
        <v>0</v>
      </c>
      <c r="C542" s="404" t="n">
        <v>0</v>
      </c>
      <c r="D542" s="404" t="n">
        <v>1</v>
      </c>
      <c r="E542" s="404" t="n">
        <v>206</v>
      </c>
      <c r="F542" s="404">
        <f>ROUND(Source!T521,O542)</f>
        <v/>
      </c>
      <c r="G542" s="404" t="inlineStr">
        <is>
          <t>ВозврМат</t>
        </is>
      </c>
      <c r="H542" s="404" t="inlineStr">
        <is>
          <t>Возврат материалов</t>
        </is>
      </c>
      <c r="I542" s="404" t="n"/>
      <c r="J542" s="404" t="n"/>
      <c r="K542" s="404" t="n">
        <v>206</v>
      </c>
      <c r="L542" s="404" t="n">
        <v>20</v>
      </c>
      <c r="M542" s="404" t="n">
        <v>3</v>
      </c>
      <c r="N542" s="404" t="inlineStr"/>
      <c r="O542" s="404" t="n">
        <v>0</v>
      </c>
      <c r="P542" s="404" t="n"/>
      <c r="Q542" s="404" t="n"/>
      <c r="R542" s="404" t="n"/>
      <c r="S542" s="404" t="n"/>
      <c r="T542" s="404" t="n"/>
      <c r="U542" s="404" t="n"/>
      <c r="V542" s="404" t="n"/>
      <c r="W542" s="404" t="n">
        <v>0</v>
      </c>
      <c r="X542" s="404" t="n">
        <v>1</v>
      </c>
      <c r="Y542" s="404" t="n">
        <v>0</v>
      </c>
      <c r="Z542" s="404" t="n"/>
      <c r="AA542" s="404" t="n"/>
      <c r="AB542" s="404" t="n"/>
    </row>
    <row r="543">
      <c r="A543" s="404" t="n">
        <v>50</v>
      </c>
      <c r="B543" s="404" t="n">
        <v>0</v>
      </c>
      <c r="C543" s="404" t="n">
        <v>0</v>
      </c>
      <c r="D543" s="404" t="n">
        <v>1</v>
      </c>
      <c r="E543" s="404" t="n">
        <v>207</v>
      </c>
      <c r="F543" s="404">
        <f>ROUND(Source!U521,O543)</f>
        <v/>
      </c>
      <c r="G543" s="404" t="inlineStr">
        <is>
          <t>ТрудСтр</t>
        </is>
      </c>
      <c r="H543" s="404" t="inlineStr">
        <is>
          <t>Трудозатраты строителей</t>
        </is>
      </c>
      <c r="I543" s="404" t="n"/>
      <c r="J543" s="404" t="n"/>
      <c r="K543" s="404" t="n">
        <v>207</v>
      </c>
      <c r="L543" s="404" t="n">
        <v>21</v>
      </c>
      <c r="M543" s="404" t="n">
        <v>3</v>
      </c>
      <c r="N543" s="404" t="inlineStr"/>
      <c r="O543" s="404" t="n">
        <v>7</v>
      </c>
      <c r="P543" s="404" t="n"/>
      <c r="Q543" s="404" t="n"/>
      <c r="R543" s="404" t="n"/>
      <c r="S543" s="404" t="n"/>
      <c r="T543" s="404" t="n"/>
      <c r="U543" s="404" t="n"/>
      <c r="V543" s="404" t="n"/>
      <c r="W543" s="404" t="n">
        <v>0</v>
      </c>
      <c r="X543" s="404" t="n">
        <v>1</v>
      </c>
      <c r="Y543" s="404" t="n">
        <v>0</v>
      </c>
      <c r="Z543" s="404" t="n"/>
      <c r="AA543" s="404" t="n"/>
      <c r="AB543" s="404" t="n"/>
    </row>
    <row r="544">
      <c r="A544" s="404" t="n">
        <v>50</v>
      </c>
      <c r="B544" s="404" t="n">
        <v>0</v>
      </c>
      <c r="C544" s="404" t="n">
        <v>0</v>
      </c>
      <c r="D544" s="404" t="n">
        <v>1</v>
      </c>
      <c r="E544" s="404" t="n">
        <v>208</v>
      </c>
      <c r="F544" s="404">
        <f>ROUND(Source!V521,O544)</f>
        <v/>
      </c>
      <c r="G544" s="404" t="inlineStr">
        <is>
          <t>ТрудМаш</t>
        </is>
      </c>
      <c r="H544" s="404" t="inlineStr">
        <is>
          <t>Трудозатраты машинистов</t>
        </is>
      </c>
      <c r="I544" s="404" t="n"/>
      <c r="J544" s="404" t="n"/>
      <c r="K544" s="404" t="n">
        <v>208</v>
      </c>
      <c r="L544" s="404" t="n">
        <v>22</v>
      </c>
      <c r="M544" s="404" t="n">
        <v>3</v>
      </c>
      <c r="N544" s="404" t="inlineStr"/>
      <c r="O544" s="404" t="n">
        <v>7</v>
      </c>
      <c r="P544" s="404" t="n"/>
      <c r="Q544" s="404" t="n"/>
      <c r="R544" s="404" t="n"/>
      <c r="S544" s="404" t="n"/>
      <c r="T544" s="404" t="n"/>
      <c r="U544" s="404" t="n"/>
      <c r="V544" s="404" t="n"/>
      <c r="W544" s="404" t="n">
        <v>0</v>
      </c>
      <c r="X544" s="404" t="n">
        <v>1</v>
      </c>
      <c r="Y544" s="404" t="n">
        <v>0</v>
      </c>
      <c r="Z544" s="404" t="n"/>
      <c r="AA544" s="404" t="n"/>
      <c r="AB544" s="404" t="n"/>
    </row>
    <row r="545">
      <c r="A545" s="404" t="n">
        <v>50</v>
      </c>
      <c r="B545" s="404" t="n">
        <v>0</v>
      </c>
      <c r="C545" s="404" t="n">
        <v>0</v>
      </c>
      <c r="D545" s="404" t="n">
        <v>1</v>
      </c>
      <c r="E545" s="404" t="n">
        <v>209</v>
      </c>
      <c r="F545" s="404">
        <f>ROUND(Source!W521,O545)</f>
        <v/>
      </c>
      <c r="G545" s="404" t="inlineStr">
        <is>
          <t>ТранспМат</t>
        </is>
      </c>
      <c r="H545" s="404" t="inlineStr">
        <is>
          <t>Транспорт материалов</t>
        </is>
      </c>
      <c r="I545" s="404" t="n"/>
      <c r="J545" s="404" t="n"/>
      <c r="K545" s="404" t="n">
        <v>209</v>
      </c>
      <c r="L545" s="404" t="n">
        <v>23</v>
      </c>
      <c r="M545" s="404" t="n">
        <v>3</v>
      </c>
      <c r="N545" s="404" t="inlineStr"/>
      <c r="O545" s="404" t="n">
        <v>0</v>
      </c>
      <c r="P545" s="404" t="n"/>
      <c r="Q545" s="404" t="n"/>
      <c r="R545" s="404" t="n"/>
      <c r="S545" s="404" t="n"/>
      <c r="T545" s="404" t="n"/>
      <c r="U545" s="404" t="n"/>
      <c r="V545" s="404" t="n"/>
      <c r="W545" s="404" t="n">
        <v>0</v>
      </c>
      <c r="X545" s="404" t="n">
        <v>1</v>
      </c>
      <c r="Y545" s="404" t="n">
        <v>0</v>
      </c>
      <c r="Z545" s="404" t="n"/>
      <c r="AA545" s="404" t="n"/>
      <c r="AB545" s="404" t="n"/>
    </row>
    <row r="546">
      <c r="A546" s="404" t="n">
        <v>50</v>
      </c>
      <c r="B546" s="404" t="n">
        <v>0</v>
      </c>
      <c r="C546" s="404" t="n">
        <v>0</v>
      </c>
      <c r="D546" s="404" t="n">
        <v>1</v>
      </c>
      <c r="E546" s="404" t="n">
        <v>233</v>
      </c>
      <c r="F546" s="404">
        <f>ROUND(Source!BD521,O546)</f>
        <v/>
      </c>
      <c r="G546" s="404" t="inlineStr">
        <is>
          <t>Перевозка</t>
        </is>
      </c>
      <c r="H546" s="404" t="inlineStr">
        <is>
          <t>Перевозка грузов</t>
        </is>
      </c>
      <c r="I546" s="404" t="n"/>
      <c r="J546" s="404" t="n"/>
      <c r="K546" s="404" t="n">
        <v>233</v>
      </c>
      <c r="L546" s="404" t="n">
        <v>24</v>
      </c>
      <c r="M546" s="404" t="n">
        <v>3</v>
      </c>
      <c r="N546" s="404" t="inlineStr"/>
      <c r="O546" s="404" t="n">
        <v>0</v>
      </c>
      <c r="P546" s="404" t="n"/>
      <c r="Q546" s="404" t="n"/>
      <c r="R546" s="404" t="n"/>
      <c r="S546" s="404" t="n"/>
      <c r="T546" s="404" t="n"/>
      <c r="U546" s="404" t="n"/>
      <c r="V546" s="404" t="n"/>
      <c r="W546" s="404" t="n">
        <v>0</v>
      </c>
      <c r="X546" s="404" t="n">
        <v>1</v>
      </c>
      <c r="Y546" s="404" t="n">
        <v>0</v>
      </c>
      <c r="Z546" s="404" t="n"/>
      <c r="AA546" s="404" t="n"/>
      <c r="AB546" s="404" t="n"/>
    </row>
    <row r="547">
      <c r="A547" s="404" t="n">
        <v>50</v>
      </c>
      <c r="B547" s="404" t="n">
        <v>0</v>
      </c>
      <c r="C547" s="404" t="n">
        <v>0</v>
      </c>
      <c r="D547" s="404" t="n">
        <v>1</v>
      </c>
      <c r="E547" s="404" t="n">
        <v>210</v>
      </c>
      <c r="F547" s="404">
        <f>ROUND(Source!X521,O547)</f>
        <v/>
      </c>
      <c r="G547" s="404" t="inlineStr">
        <is>
          <t>НР</t>
        </is>
      </c>
      <c r="H547" s="404" t="inlineStr">
        <is>
          <t>Накладные расходы</t>
        </is>
      </c>
      <c r="I547" s="404" t="n"/>
      <c r="J547" s="404" t="n"/>
      <c r="K547" s="404" t="n">
        <v>210</v>
      </c>
      <c r="L547" s="404" t="n">
        <v>25</v>
      </c>
      <c r="M547" s="404" t="n">
        <v>3</v>
      </c>
      <c r="N547" s="404" t="inlineStr"/>
      <c r="O547" s="404" t="n">
        <v>0</v>
      </c>
      <c r="P547" s="404" t="n"/>
      <c r="Q547" s="404" t="n"/>
      <c r="R547" s="404" t="n"/>
      <c r="S547" s="404" t="n"/>
      <c r="T547" s="404" t="n"/>
      <c r="U547" s="404" t="n"/>
      <c r="V547" s="404" t="n"/>
      <c r="W547" s="404" t="n">
        <v>0</v>
      </c>
      <c r="X547" s="404" t="n">
        <v>1</v>
      </c>
      <c r="Y547" s="404" t="n">
        <v>0</v>
      </c>
      <c r="Z547" s="404" t="n"/>
      <c r="AA547" s="404" t="n"/>
      <c r="AB547" s="404" t="n"/>
    </row>
    <row r="548">
      <c r="A548" s="404" t="n">
        <v>50</v>
      </c>
      <c r="B548" s="404" t="n">
        <v>0</v>
      </c>
      <c r="C548" s="404" t="n">
        <v>0</v>
      </c>
      <c r="D548" s="404" t="n">
        <v>1</v>
      </c>
      <c r="E548" s="404" t="n">
        <v>211</v>
      </c>
      <c r="F548" s="404">
        <f>ROUND(Source!Y521,O548)</f>
        <v/>
      </c>
      <c r="G548" s="404" t="inlineStr">
        <is>
          <t>СмПриб</t>
        </is>
      </c>
      <c r="H548" s="404" t="inlineStr">
        <is>
          <t>Сметная прибыль</t>
        </is>
      </c>
      <c r="I548" s="404" t="n"/>
      <c r="J548" s="404" t="n"/>
      <c r="K548" s="404" t="n">
        <v>211</v>
      </c>
      <c r="L548" s="404" t="n">
        <v>26</v>
      </c>
      <c r="M548" s="404" t="n">
        <v>3</v>
      </c>
      <c r="N548" s="404" t="inlineStr"/>
      <c r="O548" s="404" t="n">
        <v>0</v>
      </c>
      <c r="P548" s="404" t="n"/>
      <c r="Q548" s="404" t="n"/>
      <c r="R548" s="404" t="n"/>
      <c r="S548" s="404" t="n"/>
      <c r="T548" s="404" t="n"/>
      <c r="U548" s="404" t="n"/>
      <c r="V548" s="404" t="n"/>
      <c r="W548" s="404" t="n">
        <v>0</v>
      </c>
      <c r="X548" s="404" t="n">
        <v>1</v>
      </c>
      <c r="Y548" s="404" t="n">
        <v>0</v>
      </c>
      <c r="Z548" s="404" t="n"/>
      <c r="AA548" s="404" t="n"/>
      <c r="AB548" s="404" t="n"/>
    </row>
    <row r="549">
      <c r="A549" s="404" t="n">
        <v>50</v>
      </c>
      <c r="B549" s="404" t="n">
        <v>0</v>
      </c>
      <c r="C549" s="404" t="n">
        <v>0</v>
      </c>
      <c r="D549" s="404" t="n">
        <v>1</v>
      </c>
      <c r="E549" s="404" t="n">
        <v>224</v>
      </c>
      <c r="F549" s="404">
        <f>ROUND(Source!AR521,O549)</f>
        <v/>
      </c>
      <c r="G549" s="404" t="inlineStr">
        <is>
          <t>Всего</t>
        </is>
      </c>
      <c r="H549" s="404" t="inlineStr">
        <is>
          <t>Всего с НР и СП</t>
        </is>
      </c>
      <c r="I549" s="404" t="n"/>
      <c r="J549" s="404" t="n"/>
      <c r="K549" s="404" t="n">
        <v>224</v>
      </c>
      <c r="L549" s="404" t="n">
        <v>27</v>
      </c>
      <c r="M549" s="404" t="n">
        <v>3</v>
      </c>
      <c r="N549" s="404" t="inlineStr"/>
      <c r="O549" s="404" t="n">
        <v>0</v>
      </c>
      <c r="P549" s="404" t="n"/>
      <c r="Q549" s="404" t="n"/>
      <c r="R549" s="404" t="n"/>
      <c r="S549" s="404" t="n"/>
      <c r="T549" s="404" t="n"/>
      <c r="U549" s="404" t="n"/>
      <c r="V549" s="404" t="n"/>
      <c r="W549" s="404" t="n">
        <v>0</v>
      </c>
      <c r="X549" s="404" t="n">
        <v>1</v>
      </c>
      <c r="Y549" s="404" t="n">
        <v>0</v>
      </c>
      <c r="Z549" s="404" t="n"/>
      <c r="AA549" s="404" t="n"/>
      <c r="AB549" s="404" t="n"/>
    </row>
    <row r="550">
      <c r="A550" s="404" t="n">
        <v>50</v>
      </c>
      <c r="B550" s="404" t="n">
        <v>0</v>
      </c>
      <c r="C550" s="404" t="n">
        <v>0</v>
      </c>
      <c r="D550" s="404" t="n">
        <v>2</v>
      </c>
      <c r="E550" s="404" t="n">
        <v>0</v>
      </c>
      <c r="F550" s="404">
        <f>ROUND(F549,O550)</f>
        <v/>
      </c>
      <c r="G550" s="404" t="inlineStr">
        <is>
          <t>и1</t>
        </is>
      </c>
      <c r="H550" s="404" t="inlineStr">
        <is>
          <t>Итого</t>
        </is>
      </c>
      <c r="I550" s="404" t="n"/>
      <c r="J550" s="404" t="n"/>
      <c r="K550" s="404" t="n">
        <v>212</v>
      </c>
      <c r="L550" s="404" t="n">
        <v>28</v>
      </c>
      <c r="M550" s="404" t="n">
        <v>0</v>
      </c>
      <c r="N550" s="404" t="inlineStr"/>
      <c r="O550" s="404" t="n">
        <v>0</v>
      </c>
      <c r="P550" s="404" t="n"/>
      <c r="Q550" s="404" t="n"/>
      <c r="R550" s="404" t="n"/>
      <c r="S550" s="404" t="n"/>
      <c r="T550" s="404" t="n"/>
      <c r="U550" s="404" t="n"/>
      <c r="V550" s="404" t="n"/>
      <c r="W550" s="404" t="n">
        <v>0</v>
      </c>
      <c r="X550" s="404" t="n">
        <v>1</v>
      </c>
      <c r="Y550" s="404" t="n">
        <v>0</v>
      </c>
      <c r="Z550" s="404" t="n"/>
      <c r="AA550" s="404" t="n"/>
      <c r="AB550" s="404" t="n"/>
    </row>
    <row r="551">
      <c r="A551" s="404" t="n">
        <v>50</v>
      </c>
      <c r="B551" s="404" t="n">
        <v>0</v>
      </c>
      <c r="C551" s="404" t="n">
        <v>0</v>
      </c>
      <c r="D551" s="404" t="n">
        <v>2</v>
      </c>
      <c r="E551" s="404" t="n">
        <v>0</v>
      </c>
      <c r="F551" s="404">
        <f>ROUND(F550*0.22,O551)</f>
        <v/>
      </c>
      <c r="G551" s="404" t="inlineStr">
        <is>
          <t>и2</t>
        </is>
      </c>
      <c r="H551" s="404" t="inlineStr">
        <is>
          <t>НДС 22%</t>
        </is>
      </c>
      <c r="I551" s="404" t="n"/>
      <c r="J551" s="404" t="n"/>
      <c r="K551" s="404" t="n">
        <v>212</v>
      </c>
      <c r="L551" s="404" t="n">
        <v>29</v>
      </c>
      <c r="M551" s="404" t="n">
        <v>0</v>
      </c>
      <c r="N551" s="404" t="inlineStr"/>
      <c r="O551" s="404" t="n">
        <v>0</v>
      </c>
      <c r="P551" s="404" t="n"/>
      <c r="Q551" s="404" t="n"/>
      <c r="R551" s="404" t="n"/>
      <c r="S551" s="404" t="n"/>
      <c r="T551" s="404" t="n"/>
      <c r="U551" s="404" t="n"/>
      <c r="V551" s="404" t="n"/>
      <c r="W551" s="404" t="n">
        <v>0</v>
      </c>
      <c r="X551" s="404" t="n">
        <v>1</v>
      </c>
      <c r="Y551" s="404" t="n">
        <v>0</v>
      </c>
      <c r="Z551" s="404" t="n"/>
      <c r="AA551" s="404" t="n"/>
      <c r="AB551" s="404" t="n"/>
    </row>
    <row r="552">
      <c r="A552" s="404" t="n">
        <v>50</v>
      </c>
      <c r="B552" s="404" t="n">
        <v>0</v>
      </c>
      <c r="C552" s="404" t="n">
        <v>0</v>
      </c>
      <c r="D552" s="404" t="n">
        <v>2</v>
      </c>
      <c r="E552" s="404" t="n">
        <v>213</v>
      </c>
      <c r="F552" s="404">
        <f>ROUND(F550+F551,O552)</f>
        <v/>
      </c>
      <c r="G552" s="404" t="inlineStr">
        <is>
          <t>и3</t>
        </is>
      </c>
      <c r="H552" s="404" t="inlineStr">
        <is>
          <t>Всего</t>
        </is>
      </c>
      <c r="I552" s="404" t="n"/>
      <c r="J552" s="404" t="n"/>
      <c r="K552" s="404" t="n">
        <v>212</v>
      </c>
      <c r="L552" s="404" t="n">
        <v>30</v>
      </c>
      <c r="M552" s="404" t="n">
        <v>0</v>
      </c>
      <c r="N552" s="404" t="inlineStr"/>
      <c r="O552" s="404" t="n">
        <v>0</v>
      </c>
      <c r="P552" s="404" t="n"/>
      <c r="Q552" s="404" t="n"/>
      <c r="R552" s="404" t="n"/>
      <c r="S552" s="404" t="n"/>
      <c r="T552" s="404" t="n"/>
      <c r="U552" s="404" t="n"/>
      <c r="V552" s="404" t="n"/>
      <c r="W552" s="404" t="n">
        <v>0</v>
      </c>
      <c r="X552" s="404" t="n">
        <v>1</v>
      </c>
      <c r="Y552" s="404" t="n">
        <v>0</v>
      </c>
      <c r="Z552" s="404" t="n"/>
      <c r="AA552" s="404" t="n"/>
      <c r="AB552" s="404" t="n"/>
    </row>
    <row r="553"/>
    <row r="554">
      <c r="A554" s="401" t="n">
        <v>3</v>
      </c>
      <c r="B554" s="401" t="n">
        <v>0</v>
      </c>
      <c r="C554" s="401" t="n"/>
      <c r="D554" s="401">
        <f>ROW(A564)</f>
        <v/>
      </c>
      <c r="E554" s="401" t="n"/>
      <c r="F554" s="401" t="inlineStr">
        <is>
          <t>Новая локальная смета</t>
        </is>
      </c>
      <c r="G554" s="401" t="inlineStr">
        <is>
          <t>Молодежная 7</t>
        </is>
      </c>
      <c r="H554" s="401" t="inlineStr"/>
      <c r="I554" s="401" t="n">
        <v>0</v>
      </c>
      <c r="J554" s="401" t="inlineStr"/>
      <c r="K554" s="401" t="n">
        <v>0</v>
      </c>
      <c r="L554" s="401" t="inlineStr">
        <is>
          <t>Новая локальная смета</t>
        </is>
      </c>
      <c r="M554" s="401" t="inlineStr"/>
      <c r="N554" s="401" t="n"/>
      <c r="O554" s="401" t="n"/>
      <c r="P554" s="401" t="n"/>
      <c r="Q554" s="401" t="n"/>
      <c r="R554" s="401" t="n"/>
      <c r="S554" s="401" t="n">
        <v>0</v>
      </c>
      <c r="T554" s="401" t="n"/>
      <c r="U554" s="401" t="inlineStr"/>
      <c r="V554" s="401" t="n">
        <v>0</v>
      </c>
      <c r="W554" s="401" t="n"/>
      <c r="X554" s="401" t="n"/>
      <c r="Y554" s="401" t="n"/>
      <c r="Z554" s="401" t="n"/>
      <c r="AA554" s="401" t="n"/>
      <c r="AB554" s="401" t="inlineStr"/>
      <c r="AC554" s="401" t="inlineStr"/>
      <c r="AD554" s="401" t="inlineStr"/>
      <c r="AE554" s="401" t="inlineStr"/>
      <c r="AF554" s="401" t="inlineStr"/>
      <c r="AG554" s="401" t="inlineStr"/>
      <c r="AH554" s="401" t="n"/>
      <c r="AI554" s="401" t="n"/>
      <c r="AJ554" s="401" t="n"/>
      <c r="AK554" s="401" t="n"/>
      <c r="AL554" s="401" t="n"/>
      <c r="AM554" s="401" t="n"/>
      <c r="AN554" s="401" t="n"/>
      <c r="AO554" s="401" t="n"/>
      <c r="AP554" s="401" t="inlineStr"/>
      <c r="AQ554" s="401" t="inlineStr"/>
      <c r="AR554" s="401" t="inlineStr"/>
      <c r="AS554" s="401" t="n"/>
      <c r="AT554" s="401" t="n"/>
      <c r="AU554" s="401" t="n"/>
      <c r="AV554" s="401" t="n"/>
      <c r="AW554" s="401" t="n"/>
      <c r="AX554" s="401" t="n"/>
      <c r="AY554" s="401" t="n"/>
      <c r="AZ554" s="401" t="inlineStr"/>
      <c r="BA554" s="401" t="n"/>
      <c r="BB554" s="401" t="inlineStr"/>
      <c r="BC554" s="401" t="inlineStr"/>
      <c r="BD554" s="401" t="inlineStr"/>
      <c r="BE554" s="401" t="inlineStr"/>
      <c r="BF554" s="401" t="inlineStr"/>
      <c r="BG554" s="401" t="inlineStr"/>
      <c r="BH554" s="401" t="inlineStr"/>
      <c r="BI554" s="401" t="inlineStr"/>
      <c r="BJ554" s="401" t="inlineStr"/>
      <c r="BK554" s="401" t="inlineStr"/>
      <c r="BL554" s="401" t="inlineStr"/>
      <c r="BM554" s="401" t="inlineStr"/>
      <c r="BN554" s="401" t="inlineStr"/>
      <c r="BO554" s="401" t="inlineStr"/>
      <c r="BP554" s="401" t="inlineStr"/>
      <c r="BQ554" s="401" t="n"/>
      <c r="BR554" s="401" t="n"/>
      <c r="BS554" s="401" t="n"/>
      <c r="BT554" s="401" t="n"/>
      <c r="BU554" s="401" t="n"/>
      <c r="BV554" s="401" t="n"/>
      <c r="BW554" s="401" t="n"/>
      <c r="BX554" s="401" t="n">
        <v>0</v>
      </c>
      <c r="BY554" s="401" t="n"/>
      <c r="BZ554" s="401" t="n"/>
      <c r="CA554" s="401" t="n"/>
      <c r="CB554" s="401" t="n"/>
      <c r="CC554" s="401" t="n"/>
      <c r="CD554" s="401" t="n"/>
      <c r="CE554" s="401" t="n"/>
      <c r="CF554" s="401" t="n">
        <v>0</v>
      </c>
      <c r="CG554" s="401" t="n">
        <v>0</v>
      </c>
      <c r="CH554" s="401" t="n"/>
      <c r="CI554" s="401" t="inlineStr"/>
      <c r="CJ554" s="401" t="inlineStr"/>
      <c r="CK554" t="inlineStr"/>
      <c r="CL554" t="inlineStr"/>
      <c r="CM554" t="inlineStr"/>
      <c r="CN554" t="inlineStr"/>
      <c r="CO554" t="inlineStr"/>
      <c r="CP554" t="inlineStr"/>
      <c r="CQ554" t="inlineStr"/>
    </row>
    <row r="555"/>
    <row r="556">
      <c r="A556" s="402" t="n">
        <v>52</v>
      </c>
      <c r="B556" s="402">
        <f>B564</f>
        <v/>
      </c>
      <c r="C556" s="402">
        <f>C564</f>
        <v/>
      </c>
      <c r="D556" s="402">
        <f>D564</f>
        <v/>
      </c>
      <c r="E556" s="402">
        <f>E564</f>
        <v/>
      </c>
      <c r="F556" s="402">
        <f>F564</f>
        <v/>
      </c>
      <c r="G556" s="402">
        <f>G564</f>
        <v/>
      </c>
      <c r="H556" s="402" t="n"/>
      <c r="I556" s="402" t="n"/>
      <c r="J556" s="402" t="n"/>
      <c r="K556" s="402" t="n"/>
      <c r="L556" s="402" t="n"/>
      <c r="M556" s="402" t="n"/>
      <c r="N556" s="402" t="n"/>
      <c r="O556" s="402">
        <f>O564</f>
        <v/>
      </c>
      <c r="P556" s="402">
        <f>P564</f>
        <v/>
      </c>
      <c r="Q556" s="402">
        <f>Q564</f>
        <v/>
      </c>
      <c r="R556" s="402">
        <f>R564</f>
        <v/>
      </c>
      <c r="S556" s="402">
        <f>S564</f>
        <v/>
      </c>
      <c r="T556" s="402">
        <f>T564</f>
        <v/>
      </c>
      <c r="U556" s="402">
        <f>U564</f>
        <v/>
      </c>
      <c r="V556" s="402">
        <f>V564</f>
        <v/>
      </c>
      <c r="W556" s="402">
        <f>W564</f>
        <v/>
      </c>
      <c r="X556" s="402">
        <f>X564</f>
        <v/>
      </c>
      <c r="Y556" s="402">
        <f>Y564</f>
        <v/>
      </c>
      <c r="Z556" s="402">
        <f>Z564</f>
        <v/>
      </c>
      <c r="AA556" s="402">
        <f>AA564</f>
        <v/>
      </c>
      <c r="AB556" s="402">
        <f>AB564</f>
        <v/>
      </c>
      <c r="AC556" s="402">
        <f>AC564</f>
        <v/>
      </c>
      <c r="AD556" s="402">
        <f>AD564</f>
        <v/>
      </c>
      <c r="AE556" s="402">
        <f>AE564</f>
        <v/>
      </c>
      <c r="AF556" s="402">
        <f>AF564</f>
        <v/>
      </c>
      <c r="AG556" s="402">
        <f>AG564</f>
        <v/>
      </c>
      <c r="AH556" s="402">
        <f>AH564</f>
        <v/>
      </c>
      <c r="AI556" s="402">
        <f>AI564</f>
        <v/>
      </c>
      <c r="AJ556" s="402">
        <f>AJ564</f>
        <v/>
      </c>
      <c r="AK556" s="402">
        <f>AK564</f>
        <v/>
      </c>
      <c r="AL556" s="402">
        <f>AL564</f>
        <v/>
      </c>
      <c r="AM556" s="402">
        <f>AM564</f>
        <v/>
      </c>
      <c r="AN556" s="402">
        <f>AN564</f>
        <v/>
      </c>
      <c r="AO556" s="402">
        <f>AO564</f>
        <v/>
      </c>
      <c r="AP556" s="402">
        <f>AP564</f>
        <v/>
      </c>
      <c r="AQ556" s="402">
        <f>AQ564</f>
        <v/>
      </c>
      <c r="AR556" s="402">
        <f>AR564</f>
        <v/>
      </c>
      <c r="AS556" s="402">
        <f>AS564</f>
        <v/>
      </c>
      <c r="AT556" s="402">
        <f>AT564</f>
        <v/>
      </c>
      <c r="AU556" s="402">
        <f>AU564</f>
        <v/>
      </c>
      <c r="AV556" s="402">
        <f>AV564</f>
        <v/>
      </c>
      <c r="AW556" s="402">
        <f>AW564</f>
        <v/>
      </c>
      <c r="AX556" s="402">
        <f>AX564</f>
        <v/>
      </c>
      <c r="AY556" s="402">
        <f>AY564</f>
        <v/>
      </c>
      <c r="AZ556" s="402">
        <f>AZ564</f>
        <v/>
      </c>
      <c r="BA556" s="402">
        <f>BA564</f>
        <v/>
      </c>
      <c r="BB556" s="402">
        <f>BB564</f>
        <v/>
      </c>
      <c r="BC556" s="402">
        <f>BC564</f>
        <v/>
      </c>
      <c r="BD556" s="402">
        <f>BD564</f>
        <v/>
      </c>
      <c r="BE556" s="402">
        <f>BE564</f>
        <v/>
      </c>
      <c r="BF556" s="402">
        <f>BF564</f>
        <v/>
      </c>
      <c r="BG556" s="402">
        <f>BG564</f>
        <v/>
      </c>
      <c r="BH556" s="402">
        <f>BH564</f>
        <v/>
      </c>
      <c r="BI556" s="402">
        <f>BI564</f>
        <v/>
      </c>
      <c r="BJ556" s="402">
        <f>BJ564</f>
        <v/>
      </c>
      <c r="BK556" s="402">
        <f>BK564</f>
        <v/>
      </c>
      <c r="BL556" s="402">
        <f>BL564</f>
        <v/>
      </c>
      <c r="BM556" s="402">
        <f>BM564</f>
        <v/>
      </c>
      <c r="BN556" s="402">
        <f>BN564</f>
        <v/>
      </c>
      <c r="BO556" s="402">
        <f>BO564</f>
        <v/>
      </c>
      <c r="BP556" s="402">
        <f>BP564</f>
        <v/>
      </c>
      <c r="BQ556" s="402">
        <f>BQ564</f>
        <v/>
      </c>
      <c r="BR556" s="402">
        <f>BR564</f>
        <v/>
      </c>
      <c r="BS556" s="402">
        <f>BS564</f>
        <v/>
      </c>
      <c r="BT556" s="402">
        <f>BT564</f>
        <v/>
      </c>
      <c r="BU556" s="402">
        <f>BU564</f>
        <v/>
      </c>
      <c r="BV556" s="402">
        <f>BV564</f>
        <v/>
      </c>
      <c r="BW556" s="402">
        <f>BW564</f>
        <v/>
      </c>
      <c r="BX556" s="402">
        <f>BX564</f>
        <v/>
      </c>
      <c r="BY556" s="402">
        <f>BY564</f>
        <v/>
      </c>
      <c r="BZ556" s="402">
        <f>BZ564</f>
        <v/>
      </c>
      <c r="CA556" s="402">
        <f>CA564</f>
        <v/>
      </c>
      <c r="CB556" s="402">
        <f>CB564</f>
        <v/>
      </c>
      <c r="CC556" s="402">
        <f>CC564</f>
        <v/>
      </c>
      <c r="CD556" s="402">
        <f>CD564</f>
        <v/>
      </c>
      <c r="CE556" s="402">
        <f>CE564</f>
        <v/>
      </c>
      <c r="CF556" s="402">
        <f>CF564</f>
        <v/>
      </c>
      <c r="CG556" s="402">
        <f>CG564</f>
        <v/>
      </c>
      <c r="CH556" s="402">
        <f>CH564</f>
        <v/>
      </c>
      <c r="CI556" s="402">
        <f>CI564</f>
        <v/>
      </c>
      <c r="CJ556" s="402">
        <f>CJ564</f>
        <v/>
      </c>
      <c r="CK556" s="402">
        <f>CK564</f>
        <v/>
      </c>
      <c r="CL556" s="402">
        <f>CL564</f>
        <v/>
      </c>
      <c r="CM556" s="402">
        <f>CM564</f>
        <v/>
      </c>
      <c r="CN556" s="402">
        <f>CN564</f>
        <v/>
      </c>
      <c r="CO556" s="402">
        <f>CO564</f>
        <v/>
      </c>
      <c r="CP556" s="402">
        <f>CP564</f>
        <v/>
      </c>
      <c r="CQ556" s="402">
        <f>CQ564</f>
        <v/>
      </c>
      <c r="CR556" s="402">
        <f>CR564</f>
        <v/>
      </c>
      <c r="CS556" s="402">
        <f>CS564</f>
        <v/>
      </c>
      <c r="CT556" s="402">
        <f>CT564</f>
        <v/>
      </c>
      <c r="CU556" s="402">
        <f>CU564</f>
        <v/>
      </c>
      <c r="CV556" s="402">
        <f>CV564</f>
        <v/>
      </c>
      <c r="CW556" s="402">
        <f>CW564</f>
        <v/>
      </c>
      <c r="CX556" s="402">
        <f>CX564</f>
        <v/>
      </c>
      <c r="CY556" s="402">
        <f>CY564</f>
        <v/>
      </c>
      <c r="CZ556" s="402">
        <f>CZ564</f>
        <v/>
      </c>
      <c r="DA556" s="402">
        <f>DA564</f>
        <v/>
      </c>
      <c r="DB556" s="402">
        <f>DB564</f>
        <v/>
      </c>
      <c r="DC556" s="402">
        <f>DC564</f>
        <v/>
      </c>
      <c r="DD556" s="402">
        <f>DD564</f>
        <v/>
      </c>
      <c r="DE556" s="402">
        <f>DE564</f>
        <v/>
      </c>
      <c r="DF556" s="402">
        <f>DF564</f>
        <v/>
      </c>
      <c r="DG556" s="403">
        <f>DG564</f>
        <v/>
      </c>
      <c r="DH556" s="403">
        <f>DH564</f>
        <v/>
      </c>
      <c r="DI556" s="403">
        <f>DI564</f>
        <v/>
      </c>
      <c r="DJ556" s="403">
        <f>DJ564</f>
        <v/>
      </c>
      <c r="DK556" s="403">
        <f>DK564</f>
        <v/>
      </c>
      <c r="DL556" s="403">
        <f>DL564</f>
        <v/>
      </c>
      <c r="DM556" s="403">
        <f>DM564</f>
        <v/>
      </c>
      <c r="DN556" s="403">
        <f>DN564</f>
        <v/>
      </c>
      <c r="DO556" s="403">
        <f>DO564</f>
        <v/>
      </c>
      <c r="DP556" s="403">
        <f>DP564</f>
        <v/>
      </c>
      <c r="DQ556" s="403">
        <f>DQ564</f>
        <v/>
      </c>
      <c r="DR556" s="403">
        <f>DR564</f>
        <v/>
      </c>
      <c r="DS556" s="403">
        <f>DS564</f>
        <v/>
      </c>
      <c r="DT556" s="403">
        <f>DT564</f>
        <v/>
      </c>
      <c r="DU556" s="403">
        <f>DU564</f>
        <v/>
      </c>
      <c r="DV556" s="403">
        <f>DV564</f>
        <v/>
      </c>
      <c r="DW556" s="403">
        <f>DW564</f>
        <v/>
      </c>
      <c r="DX556" s="403">
        <f>DX564</f>
        <v/>
      </c>
      <c r="DY556" s="403">
        <f>DY564</f>
        <v/>
      </c>
      <c r="DZ556" s="403">
        <f>DZ564</f>
        <v/>
      </c>
      <c r="EA556" s="403">
        <f>EA564</f>
        <v/>
      </c>
      <c r="EB556" s="403">
        <f>EB564</f>
        <v/>
      </c>
      <c r="EC556" s="403">
        <f>EC564</f>
        <v/>
      </c>
      <c r="ED556" s="403">
        <f>ED564</f>
        <v/>
      </c>
      <c r="EE556" s="403">
        <f>EE564</f>
        <v/>
      </c>
      <c r="EF556" s="403">
        <f>EF564</f>
        <v/>
      </c>
      <c r="EG556" s="403">
        <f>EG564</f>
        <v/>
      </c>
      <c r="EH556" s="403">
        <f>EH564</f>
        <v/>
      </c>
      <c r="EI556" s="403">
        <f>EI564</f>
        <v/>
      </c>
      <c r="EJ556" s="403">
        <f>EJ564</f>
        <v/>
      </c>
      <c r="EK556" s="403">
        <f>EK564</f>
        <v/>
      </c>
      <c r="EL556" s="403">
        <f>EL564</f>
        <v/>
      </c>
      <c r="EM556" s="403">
        <f>EM564</f>
        <v/>
      </c>
      <c r="EN556" s="403">
        <f>EN564</f>
        <v/>
      </c>
      <c r="EO556" s="403">
        <f>EO564</f>
        <v/>
      </c>
      <c r="EP556" s="403">
        <f>EP564</f>
        <v/>
      </c>
      <c r="EQ556" s="403">
        <f>EQ564</f>
        <v/>
      </c>
      <c r="ER556" s="403">
        <f>ER564</f>
        <v/>
      </c>
      <c r="ES556" s="403">
        <f>ES564</f>
        <v/>
      </c>
      <c r="ET556" s="403">
        <f>ET564</f>
        <v/>
      </c>
      <c r="EU556" s="403">
        <f>EU564</f>
        <v/>
      </c>
      <c r="EV556" s="403">
        <f>EV564</f>
        <v/>
      </c>
      <c r="EW556" s="403">
        <f>EW564</f>
        <v/>
      </c>
      <c r="EX556" s="403">
        <f>EX564</f>
        <v/>
      </c>
      <c r="EY556" s="403">
        <f>EY564</f>
        <v/>
      </c>
      <c r="EZ556" s="403">
        <f>EZ564</f>
        <v/>
      </c>
      <c r="FA556" s="403">
        <f>FA564</f>
        <v/>
      </c>
      <c r="FB556" s="403">
        <f>FB564</f>
        <v/>
      </c>
      <c r="FC556" s="403">
        <f>FC564</f>
        <v/>
      </c>
      <c r="FD556" s="403">
        <f>FD564</f>
        <v/>
      </c>
      <c r="FE556" s="403">
        <f>FE564</f>
        <v/>
      </c>
      <c r="FF556" s="403">
        <f>FF564</f>
        <v/>
      </c>
      <c r="FG556" s="403">
        <f>FG564</f>
        <v/>
      </c>
      <c r="FH556" s="403">
        <f>FH564</f>
        <v/>
      </c>
      <c r="FI556" s="403">
        <f>FI564</f>
        <v/>
      </c>
      <c r="FJ556" s="403">
        <f>FJ564</f>
        <v/>
      </c>
      <c r="FK556" s="403">
        <f>FK564</f>
        <v/>
      </c>
      <c r="FL556" s="403">
        <f>FL564</f>
        <v/>
      </c>
      <c r="FM556" s="403">
        <f>FM564</f>
        <v/>
      </c>
      <c r="FN556" s="403">
        <f>FN564</f>
        <v/>
      </c>
      <c r="FO556" s="403">
        <f>FO564</f>
        <v/>
      </c>
      <c r="FP556" s="403">
        <f>FP564</f>
        <v/>
      </c>
      <c r="FQ556" s="403">
        <f>FQ564</f>
        <v/>
      </c>
      <c r="FR556" s="403">
        <f>FR564</f>
        <v/>
      </c>
      <c r="FS556" s="403">
        <f>FS564</f>
        <v/>
      </c>
      <c r="FT556" s="403">
        <f>FT564</f>
        <v/>
      </c>
      <c r="FU556" s="403">
        <f>FU564</f>
        <v/>
      </c>
      <c r="FV556" s="403">
        <f>FV564</f>
        <v/>
      </c>
      <c r="FW556" s="403">
        <f>FW564</f>
        <v/>
      </c>
      <c r="FX556" s="403">
        <f>FX564</f>
        <v/>
      </c>
      <c r="FY556" s="403">
        <f>FY564</f>
        <v/>
      </c>
      <c r="FZ556" s="403">
        <f>FZ564</f>
        <v/>
      </c>
      <c r="GA556" s="403">
        <f>GA564</f>
        <v/>
      </c>
      <c r="GB556" s="403">
        <f>GB564</f>
        <v/>
      </c>
      <c r="GC556" s="403">
        <f>GC564</f>
        <v/>
      </c>
      <c r="GD556" s="403">
        <f>GD564</f>
        <v/>
      </c>
      <c r="GE556" s="403">
        <f>GE564</f>
        <v/>
      </c>
      <c r="GF556" s="403">
        <f>GF564</f>
        <v/>
      </c>
      <c r="GG556" s="403">
        <f>GG564</f>
        <v/>
      </c>
      <c r="GH556" s="403">
        <f>GH564</f>
        <v/>
      </c>
      <c r="GI556" s="403">
        <f>GI564</f>
        <v/>
      </c>
      <c r="GJ556" s="403">
        <f>GJ564</f>
        <v/>
      </c>
      <c r="GK556" s="403">
        <f>GK564</f>
        <v/>
      </c>
      <c r="GL556" s="403">
        <f>GL564</f>
        <v/>
      </c>
      <c r="GM556" s="403">
        <f>GM564</f>
        <v/>
      </c>
      <c r="GN556" s="403">
        <f>GN564</f>
        <v/>
      </c>
      <c r="GO556" s="403">
        <f>GO564</f>
        <v/>
      </c>
      <c r="GP556" s="403">
        <f>GP564</f>
        <v/>
      </c>
      <c r="GQ556" s="403">
        <f>GQ564</f>
        <v/>
      </c>
      <c r="GR556" s="403">
        <f>GR564</f>
        <v/>
      </c>
      <c r="GS556" s="403">
        <f>GS564</f>
        <v/>
      </c>
      <c r="GT556" s="403">
        <f>GT564</f>
        <v/>
      </c>
      <c r="GU556" s="403">
        <f>GU564</f>
        <v/>
      </c>
      <c r="GV556" s="403">
        <f>GV564</f>
        <v/>
      </c>
      <c r="GW556" s="403">
        <f>GW564</f>
        <v/>
      </c>
      <c r="GX556" s="403">
        <f>GX564</f>
        <v/>
      </c>
    </row>
    <row r="557"/>
    <row r="558">
      <c r="A558" t="n">
        <v>17</v>
      </c>
      <c r="B558" t="n">
        <v>0</v>
      </c>
      <c r="C558">
        <f>ROW(SmtRes!A268)</f>
        <v/>
      </c>
      <c r="D558">
        <f>ROW(EtalonRes!A247)</f>
        <v/>
      </c>
      <c r="E558" t="inlineStr">
        <is>
          <t>1</t>
        </is>
      </c>
      <c r="F558" t="inlineStr">
        <is>
          <t>65-10-1</t>
        </is>
      </c>
      <c r="G558" t="inlineStr">
        <is>
          <t>Очистка канализационной сети внутренней</t>
        </is>
      </c>
      <c r="H558" t="inlineStr">
        <is>
          <t>100 м трубопровода</t>
        </is>
      </c>
      <c r="I558">
        <f>ROUND(ROUND(55/100,4),7)</f>
        <v/>
      </c>
      <c r="J558" t="n">
        <v>0</v>
      </c>
      <c r="K558">
        <f>ROUND(ROUND(55/100,4),7)</f>
        <v/>
      </c>
      <c r="O558">
        <f>ROUND(CP558,0)</f>
        <v/>
      </c>
      <c r="P558">
        <f>ROUND(CQ558*I558,0)</f>
        <v/>
      </c>
      <c r="Q558">
        <f>(ROUND((ROUND(((ET558)*I558),0)*BB558),0)+ROUND((ROUND(((AE558-(EU558))*I558),0)*BS558),0))</f>
        <v/>
      </c>
      <c r="R558">
        <f>(ROUND((ROUND(((EU558)*I558),0)*BS558),0)+ROUND((ROUND(((AE558-(EU558))*I558),0)*BS558),0))</f>
        <v/>
      </c>
      <c r="S558">
        <f>ROUND(CT558*I558,0)</f>
        <v/>
      </c>
      <c r="T558">
        <f>ROUND(CU558*I558,0)</f>
        <v/>
      </c>
      <c r="U558">
        <f>ROUND(CV558*I558,7)</f>
        <v/>
      </c>
      <c r="V558">
        <f>ROUND(CW558*I558,7)</f>
        <v/>
      </c>
      <c r="W558">
        <f>ROUND(CX558*I558,0)</f>
        <v/>
      </c>
      <c r="X558">
        <f>ROUND(CY558,0)</f>
        <v/>
      </c>
      <c r="Y558">
        <f>ROUND(CZ558,0)</f>
        <v/>
      </c>
      <c r="AA558" t="n">
        <v>78869116</v>
      </c>
      <c r="AB558">
        <f>ROUND((AC558+AD558+AF558),2)</f>
        <v/>
      </c>
      <c r="AC558">
        <f>ROUND((ES558),2)</f>
        <v/>
      </c>
      <c r="AD558">
        <f>ROUND((((ET558)-(EU558))+AE558),2)</f>
        <v/>
      </c>
      <c r="AE558">
        <f>ROUND((EU558),2)</f>
        <v/>
      </c>
      <c r="AF558">
        <f>ROUND((EV558),2)</f>
        <v/>
      </c>
      <c r="AG558">
        <f>ROUND((AP558),2)</f>
        <v/>
      </c>
      <c r="AH558">
        <f>(EW558)</f>
        <v/>
      </c>
      <c r="AI558">
        <f>(EX558)</f>
        <v/>
      </c>
      <c r="AJ558">
        <f>(AS558)</f>
        <v/>
      </c>
      <c r="AK558" t="n">
        <v>403.3</v>
      </c>
      <c r="AL558" t="n">
        <v>139.36</v>
      </c>
      <c r="AM558" t="n">
        <v>0.87</v>
      </c>
      <c r="AN558" t="n">
        <v>0</v>
      </c>
      <c r="AO558" t="n">
        <v>263.07</v>
      </c>
      <c r="AP558" t="n">
        <v>0</v>
      </c>
      <c r="AQ558" t="n">
        <v>32.2</v>
      </c>
      <c r="AR558" t="n">
        <v>0</v>
      </c>
      <c r="AS558" t="n">
        <v>0</v>
      </c>
      <c r="AT558" t="n">
        <v>103</v>
      </c>
      <c r="AU558" t="n">
        <v>52</v>
      </c>
      <c r="AV558" t="n">
        <v>1</v>
      </c>
      <c r="AW558" t="n">
        <v>1</v>
      </c>
      <c r="AZ558" t="n">
        <v>1</v>
      </c>
      <c r="BA558" t="n">
        <v>52.25</v>
      </c>
      <c r="BB558" t="n">
        <v>25.03</v>
      </c>
      <c r="BC558" t="n">
        <v>11.85</v>
      </c>
      <c r="BD558" t="inlineStr"/>
      <c r="BE558" t="inlineStr"/>
      <c r="BF558" t="inlineStr"/>
      <c r="BG558" t="inlineStr"/>
      <c r="BH558" t="n">
        <v>0</v>
      </c>
      <c r="BI558" t="n">
        <v>1</v>
      </c>
      <c r="BJ558" t="inlineStr">
        <is>
          <t>ТЕРр Московской обл., 65-10-1, приказ Минстроя России №675/пр от 28.02.2017 № 263/пр</t>
        </is>
      </c>
      <c r="BM558" t="n">
        <v>65007</v>
      </c>
      <c r="BN558" t="n">
        <v>0</v>
      </c>
      <c r="BO558" t="inlineStr">
        <is>
          <t>65-10-1</t>
        </is>
      </c>
      <c r="BP558" t="n">
        <v>1</v>
      </c>
      <c r="BQ558" t="n">
        <v>6</v>
      </c>
      <c r="BR558" t="n">
        <v>0</v>
      </c>
      <c r="BS558" t="n">
        <v>52.25</v>
      </c>
      <c r="BT558" t="n">
        <v>1</v>
      </c>
      <c r="BU558" t="n">
        <v>1</v>
      </c>
      <c r="BV558" t="n">
        <v>1</v>
      </c>
      <c r="BW558" t="n">
        <v>1</v>
      </c>
      <c r="BX558" t="n">
        <v>1</v>
      </c>
      <c r="BY558" t="inlineStr"/>
      <c r="BZ558" t="n">
        <v>103</v>
      </c>
      <c r="CA558" t="n">
        <v>52</v>
      </c>
      <c r="CB558" t="inlineStr"/>
      <c r="CE558" t="n">
        <v>12</v>
      </c>
      <c r="CF558" t="n">
        <v>0</v>
      </c>
      <c r="CG558" t="n">
        <v>0</v>
      </c>
      <c r="CM558" t="n">
        <v>0</v>
      </c>
      <c r="CN558" t="inlineStr"/>
      <c r="CO558" t="n">
        <v>0</v>
      </c>
      <c r="CP558">
        <f>(P558+Q558+S558)</f>
        <v/>
      </c>
      <c r="CQ558">
        <f>AC558*BC558</f>
        <v/>
      </c>
      <c r="CR558">
        <f>(ROUND((ROUND(((ET558)*1),0)*BB558),0)+ROUND((ROUND(((AE558-(EU558))*1),0)*BS558),0))</f>
        <v/>
      </c>
      <c r="CS558">
        <f>(ROUND((ROUND(((EU558)*1),0)*BS558),0)+ROUND((ROUND(((AE558-(EU558))*1),0)*BS558),0))</f>
        <v/>
      </c>
      <c r="CT558">
        <f>AF558*BA558</f>
        <v/>
      </c>
      <c r="CU558">
        <f>AG558</f>
        <v/>
      </c>
      <c r="CV558">
        <f>AH558</f>
        <v/>
      </c>
      <c r="CW558">
        <f>AI558</f>
        <v/>
      </c>
      <c r="CX558">
        <f>AJ558</f>
        <v/>
      </c>
      <c r="CY558">
        <f>(((S558+R558)*AT558)/100)</f>
        <v/>
      </c>
      <c r="CZ558">
        <f>(((S558+R558)*AU558)/100)</f>
        <v/>
      </c>
      <c r="DC558" t="inlineStr"/>
      <c r="DD558" t="inlineStr"/>
      <c r="DE558" t="inlineStr"/>
      <c r="DF558" t="inlineStr"/>
      <c r="DG558" t="inlineStr"/>
      <c r="DH558" t="inlineStr"/>
      <c r="DI558" t="inlineStr"/>
      <c r="DJ558" t="inlineStr"/>
      <c r="DK558" t="inlineStr"/>
      <c r="DL558" t="inlineStr"/>
      <c r="DM558" t="inlineStr"/>
      <c r="DN558" t="n">
        <v>0</v>
      </c>
      <c r="DO558" t="n">
        <v>0</v>
      </c>
      <c r="DP558" t="n">
        <v>1</v>
      </c>
      <c r="DQ558" t="n">
        <v>1</v>
      </c>
      <c r="DU558" t="n">
        <v>1013</v>
      </c>
      <c r="DV558" t="inlineStr">
        <is>
          <t>100 м трубопровода</t>
        </is>
      </c>
      <c r="DW558" t="inlineStr">
        <is>
          <t>100 м трубопровода</t>
        </is>
      </c>
      <c r="DX558" t="n">
        <v>1</v>
      </c>
      <c r="DZ558" t="inlineStr"/>
      <c r="EA558" t="inlineStr"/>
      <c r="EB558" t="inlineStr"/>
      <c r="EC558" t="inlineStr"/>
      <c r="EE558" t="n">
        <v>78726000</v>
      </c>
      <c r="EF558" t="n">
        <v>6</v>
      </c>
      <c r="EG558" t="inlineStr">
        <is>
          <t>Ремонтно-строительные работы</t>
        </is>
      </c>
      <c r="EH558" t="n">
        <v>99</v>
      </c>
      <c r="EI558" t="inlineStr">
        <is>
          <t>Внутренние санитарно-технические работы</t>
        </is>
      </c>
      <c r="EJ558" t="n">
        <v>1</v>
      </c>
      <c r="EK558" t="n">
        <v>65007</v>
      </c>
      <c r="EL558" t="inlineStr">
        <is>
          <t>Внутренние санитарнотехнические работы: смена труб, санприборов, запорной арматуры и другое</t>
        </is>
      </c>
      <c r="EM558" t="inlineStr">
        <is>
          <t>рФЕР-65</t>
        </is>
      </c>
      <c r="EO558" t="inlineStr"/>
      <c r="EQ558" t="n">
        <v>0</v>
      </c>
      <c r="ER558" t="n">
        <v>403.3</v>
      </c>
      <c r="ES558" t="n">
        <v>139.36</v>
      </c>
      <c r="ET558" t="n">
        <v>0.87</v>
      </c>
      <c r="EU558" t="n">
        <v>0</v>
      </c>
      <c r="EV558" t="n">
        <v>263.07</v>
      </c>
      <c r="EW558" t="n">
        <v>32.2</v>
      </c>
      <c r="EX558" t="n">
        <v>0</v>
      </c>
      <c r="EY558" t="n">
        <v>0</v>
      </c>
      <c r="FQ558" t="n">
        <v>0</v>
      </c>
      <c r="FR558" t="n">
        <v>0</v>
      </c>
      <c r="FS558" t="n">
        <v>0</v>
      </c>
      <c r="FX558" t="n">
        <v>103</v>
      </c>
      <c r="FY558" t="n">
        <v>52</v>
      </c>
      <c r="GA558" t="inlineStr"/>
      <c r="GD558" t="n">
        <v>1</v>
      </c>
      <c r="GF558" t="n">
        <v>-66904957</v>
      </c>
      <c r="GG558" t="n">
        <v>2</v>
      </c>
      <c r="GH558" t="n">
        <v>1</v>
      </c>
      <c r="GI558" t="n">
        <v>2</v>
      </c>
      <c r="GJ558" t="n">
        <v>0</v>
      </c>
      <c r="GK558" t="n">
        <v>0</v>
      </c>
      <c r="GL558">
        <f>ROUND(IF(AND(BH558=3,BI558=3,FS558&lt;&gt;0),P558,0),0)</f>
        <v/>
      </c>
      <c r="GM558">
        <f>ROUND(O558+X558+Y558,0)+GX558</f>
        <v/>
      </c>
      <c r="GN558">
        <f>IF(OR(BI558=0,BI558=1),GM558-GX558,0)</f>
        <v/>
      </c>
      <c r="GO558">
        <f>IF(BI558=2,GM558-GX558,0)</f>
        <v/>
      </c>
      <c r="GP558">
        <f>IF(BI558=4,GM558-GX558,0)</f>
        <v/>
      </c>
      <c r="GR558" t="n">
        <v>0</v>
      </c>
      <c r="GS558" t="n">
        <v>3</v>
      </c>
      <c r="GT558" t="n">
        <v>0</v>
      </c>
      <c r="GU558" t="inlineStr"/>
      <c r="GV558">
        <f>ROUND((GT558),2)</f>
        <v/>
      </c>
      <c r="GW558" t="n">
        <v>1</v>
      </c>
      <c r="GX558">
        <f>ROUND(HC558*I558,0)</f>
        <v/>
      </c>
      <c r="HA558" t="n">
        <v>0</v>
      </c>
      <c r="HB558" t="n">
        <v>0</v>
      </c>
      <c r="HC558">
        <f>GV558*GW558</f>
        <v/>
      </c>
      <c r="HE558" t="inlineStr"/>
      <c r="HF558" t="inlineStr"/>
      <c r="HM558" t="inlineStr"/>
      <c r="HN558" t="inlineStr">
        <is>
          <t>Пр/812-099.2-1</t>
        </is>
      </c>
      <c r="HO558" t="inlineStr">
        <is>
          <t>Пр/774-099.2</t>
        </is>
      </c>
      <c r="HP558" t="inlineStr">
        <is>
          <t>Внутренние санитарнотехнические работы: смена труб, санприборов, запорной арматуры и другое</t>
        </is>
      </c>
      <c r="HQ558" t="inlineStr">
        <is>
          <t>Внутренние санитарнотехнические работы: смена труб, санприборов, запорной арматуры и другое</t>
        </is>
      </c>
      <c r="HS558" t="n">
        <v>0</v>
      </c>
      <c r="IK558" t="n">
        <v>0</v>
      </c>
    </row>
    <row r="559">
      <c r="A559" t="n">
        <v>17</v>
      </c>
      <c r="B559" t="n">
        <v>0</v>
      </c>
      <c r="C559">
        <f>ROW(SmtRes!A276)</f>
        <v/>
      </c>
      <c r="D559">
        <f>ROW(EtalonRes!A254)</f>
        <v/>
      </c>
      <c r="E559" t="inlineStr">
        <is>
          <t>2</t>
        </is>
      </c>
      <c r="F559" t="inlineStr">
        <is>
          <t>65-5-1</t>
        </is>
      </c>
      <c r="G559" t="inlineStr">
        <is>
          <t>Смена вентилей и клапанов обратных муфтовых диаметром до 20 мм</t>
        </is>
      </c>
      <c r="H559" t="inlineStr">
        <is>
          <t>100 шт.</t>
        </is>
      </c>
      <c r="I559">
        <f>ROUND(ROUND(3/100,4),7)</f>
        <v/>
      </c>
      <c r="J559" t="n">
        <v>0</v>
      </c>
      <c r="K559">
        <f>ROUND(ROUND(3/100,4),7)</f>
        <v/>
      </c>
      <c r="O559">
        <f>ROUND(CP559,0)</f>
        <v/>
      </c>
      <c r="P559">
        <f>ROUND(CQ559*I559,0)</f>
        <v/>
      </c>
      <c r="Q559">
        <f>(ROUND((ROUND(((ET559)*I559),0)*BB559),0)+ROUND((ROUND(((AE559-(EU559))*I559),0)*BS559),0))</f>
        <v/>
      </c>
      <c r="R559">
        <f>(ROUND((ROUND(((EU559)*I559),0)*BS559),0)+ROUND((ROUND(((AE559-(EU559))*I559),0)*BS559),0))</f>
        <v/>
      </c>
      <c r="S559">
        <f>ROUND(CT559*I559,0)</f>
        <v/>
      </c>
      <c r="T559">
        <f>ROUND(CU559*I559,0)</f>
        <v/>
      </c>
      <c r="U559">
        <f>ROUND(CV559*I559,7)</f>
        <v/>
      </c>
      <c r="V559">
        <f>ROUND(CW559*I559,7)</f>
        <v/>
      </c>
      <c r="W559">
        <f>ROUND(CX559*I559,0)</f>
        <v/>
      </c>
      <c r="X559">
        <f>ROUND(CY559,0)</f>
        <v/>
      </c>
      <c r="Y559">
        <f>ROUND(CZ559,0)</f>
        <v/>
      </c>
      <c r="AA559" t="n">
        <v>78869116</v>
      </c>
      <c r="AB559">
        <f>ROUND((AC559+AD559+AF559),2)</f>
        <v/>
      </c>
      <c r="AC559">
        <f>ROUND((ES559),2)</f>
        <v/>
      </c>
      <c r="AD559">
        <f>ROUND((((ET559)-(EU559))+AE559),2)</f>
        <v/>
      </c>
      <c r="AE559">
        <f>ROUND((EU559),2)</f>
        <v/>
      </c>
      <c r="AF559">
        <f>ROUND((EV559),2)</f>
        <v/>
      </c>
      <c r="AG559">
        <f>ROUND((AP559),2)</f>
        <v/>
      </c>
      <c r="AH559">
        <f>(EW559)</f>
        <v/>
      </c>
      <c r="AI559">
        <f>(EX559)</f>
        <v/>
      </c>
      <c r="AJ559">
        <f>(AS559)</f>
        <v/>
      </c>
      <c r="AK559" t="n">
        <v>2979.16</v>
      </c>
      <c r="AL559" t="n">
        <v>2240.13</v>
      </c>
      <c r="AM559" t="n">
        <v>4.36</v>
      </c>
      <c r="AN559" t="n">
        <v>0</v>
      </c>
      <c r="AO559" t="n">
        <v>734.67</v>
      </c>
      <c r="AP559" t="n">
        <v>0</v>
      </c>
      <c r="AQ559" t="n">
        <v>81</v>
      </c>
      <c r="AR559" t="n">
        <v>0</v>
      </c>
      <c r="AS559" t="n">
        <v>0</v>
      </c>
      <c r="AT559" t="n">
        <v>103</v>
      </c>
      <c r="AU559" t="n">
        <v>52</v>
      </c>
      <c r="AV559" t="n">
        <v>1</v>
      </c>
      <c r="AW559" t="n">
        <v>1</v>
      </c>
      <c r="AZ559" t="n">
        <v>1</v>
      </c>
      <c r="BA559" t="n">
        <v>52.25</v>
      </c>
      <c r="BB559" t="n">
        <v>24.98</v>
      </c>
      <c r="BC559" t="n">
        <v>10.16</v>
      </c>
      <c r="BD559" t="inlineStr"/>
      <c r="BE559" t="inlineStr"/>
      <c r="BF559" t="inlineStr"/>
      <c r="BG559" t="inlineStr"/>
      <c r="BH559" t="n">
        <v>0</v>
      </c>
      <c r="BI559" t="n">
        <v>1</v>
      </c>
      <c r="BJ559" t="inlineStr">
        <is>
          <t>ТЕРр Московской обл., 65-5-1, приказ Минстроя России №675/пр от 28.02.2017 № 263/пр</t>
        </is>
      </c>
      <c r="BM559" t="n">
        <v>65007</v>
      </c>
      <c r="BN559" t="n">
        <v>0</v>
      </c>
      <c r="BO559" t="inlineStr">
        <is>
          <t>65-5-1</t>
        </is>
      </c>
      <c r="BP559" t="n">
        <v>1</v>
      </c>
      <c r="BQ559" t="n">
        <v>6</v>
      </c>
      <c r="BR559" t="n">
        <v>0</v>
      </c>
      <c r="BS559" t="n">
        <v>52.25</v>
      </c>
      <c r="BT559" t="n">
        <v>1</v>
      </c>
      <c r="BU559" t="n">
        <v>1</v>
      </c>
      <c r="BV559" t="n">
        <v>1</v>
      </c>
      <c r="BW559" t="n">
        <v>1</v>
      </c>
      <c r="BX559" t="n">
        <v>1</v>
      </c>
      <c r="BY559" t="inlineStr"/>
      <c r="BZ559" t="n">
        <v>103</v>
      </c>
      <c r="CA559" t="n">
        <v>52</v>
      </c>
      <c r="CB559" t="inlineStr"/>
      <c r="CE559" t="n">
        <v>12</v>
      </c>
      <c r="CF559" t="n">
        <v>0</v>
      </c>
      <c r="CG559" t="n">
        <v>0</v>
      </c>
      <c r="CM559" t="n">
        <v>0</v>
      </c>
      <c r="CN559" t="inlineStr"/>
      <c r="CO559" t="n">
        <v>0</v>
      </c>
      <c r="CP559">
        <f>(P559+Q559+S559)</f>
        <v/>
      </c>
      <c r="CQ559">
        <f>AC559*BC559</f>
        <v/>
      </c>
      <c r="CR559">
        <f>(ROUND((ROUND(((ET559)*1),0)*BB559),0)+ROUND((ROUND(((AE559-(EU559))*1),0)*BS559),0))</f>
        <v/>
      </c>
      <c r="CS559">
        <f>(ROUND((ROUND(((EU559)*1),0)*BS559),0)+ROUND((ROUND(((AE559-(EU559))*1),0)*BS559),0))</f>
        <v/>
      </c>
      <c r="CT559">
        <f>AF559*BA559</f>
        <v/>
      </c>
      <c r="CU559">
        <f>AG559</f>
        <v/>
      </c>
      <c r="CV559">
        <f>AH559</f>
        <v/>
      </c>
      <c r="CW559">
        <f>AI559</f>
        <v/>
      </c>
      <c r="CX559">
        <f>AJ559</f>
        <v/>
      </c>
      <c r="CY559">
        <f>(((S559+R559)*AT559)/100)</f>
        <v/>
      </c>
      <c r="CZ559">
        <f>(((S559+R559)*AU559)/100)</f>
        <v/>
      </c>
      <c r="DC559" t="inlineStr"/>
      <c r="DD559" t="inlineStr"/>
      <c r="DE559" t="inlineStr"/>
      <c r="DF559" t="inlineStr"/>
      <c r="DG559" t="inlineStr"/>
      <c r="DH559" t="inlineStr"/>
      <c r="DI559" t="inlineStr"/>
      <c r="DJ559" t="inlineStr"/>
      <c r="DK559" t="inlineStr"/>
      <c r="DL559" t="inlineStr"/>
      <c r="DM559" t="inlineStr"/>
      <c r="DN559" t="n">
        <v>0</v>
      </c>
      <c r="DO559" t="n">
        <v>0</v>
      </c>
      <c r="DP559" t="n">
        <v>1</v>
      </c>
      <c r="DQ559" t="n">
        <v>1</v>
      </c>
      <c r="DU559" t="n">
        <v>1010</v>
      </c>
      <c r="DV559" t="inlineStr">
        <is>
          <t>100 шт.</t>
        </is>
      </c>
      <c r="DW559" t="inlineStr">
        <is>
          <t>100 шт.</t>
        </is>
      </c>
      <c r="DX559" t="n">
        <v>100</v>
      </c>
      <c r="DZ559" t="inlineStr"/>
      <c r="EA559" t="inlineStr"/>
      <c r="EB559" t="inlineStr"/>
      <c r="EC559" t="inlineStr"/>
      <c r="EE559" t="n">
        <v>78726000</v>
      </c>
      <c r="EF559" t="n">
        <v>6</v>
      </c>
      <c r="EG559" t="inlineStr">
        <is>
          <t>Ремонтно-строительные работы</t>
        </is>
      </c>
      <c r="EH559" t="n">
        <v>99</v>
      </c>
      <c r="EI559" t="inlineStr">
        <is>
          <t>Внутренние санитарно-технические работы</t>
        </is>
      </c>
      <c r="EJ559" t="n">
        <v>1</v>
      </c>
      <c r="EK559" t="n">
        <v>65007</v>
      </c>
      <c r="EL559" t="inlineStr">
        <is>
          <t>Внутренние санитарнотехнические работы: смена труб, санприборов, запорной арматуры и другое</t>
        </is>
      </c>
      <c r="EM559" t="inlineStr">
        <is>
          <t>рФЕР-65</t>
        </is>
      </c>
      <c r="EO559" t="inlineStr"/>
      <c r="EQ559" t="n">
        <v>0</v>
      </c>
      <c r="ER559" t="n">
        <v>2979.16</v>
      </c>
      <c r="ES559" t="n">
        <v>2240.13</v>
      </c>
      <c r="ET559" t="n">
        <v>4.36</v>
      </c>
      <c r="EU559" t="n">
        <v>0</v>
      </c>
      <c r="EV559" t="n">
        <v>734.67</v>
      </c>
      <c r="EW559" t="n">
        <v>81</v>
      </c>
      <c r="EX559" t="n">
        <v>0</v>
      </c>
      <c r="EY559" t="n">
        <v>0</v>
      </c>
      <c r="FQ559" t="n">
        <v>0</v>
      </c>
      <c r="FR559" t="n">
        <v>0</v>
      </c>
      <c r="FS559" t="n">
        <v>0</v>
      </c>
      <c r="FX559" t="n">
        <v>103</v>
      </c>
      <c r="FY559" t="n">
        <v>52</v>
      </c>
      <c r="GA559" t="inlineStr"/>
      <c r="GD559" t="n">
        <v>1</v>
      </c>
      <c r="GF559" t="n">
        <v>152852496</v>
      </c>
      <c r="GG559" t="n">
        <v>2</v>
      </c>
      <c r="GH559" t="n">
        <v>1</v>
      </c>
      <c r="GI559" t="n">
        <v>2</v>
      </c>
      <c r="GJ559" t="n">
        <v>0</v>
      </c>
      <c r="GK559" t="n">
        <v>0</v>
      </c>
      <c r="GL559">
        <f>ROUND(IF(AND(BH559=3,BI559=3,FS559&lt;&gt;0),P559,0),0)</f>
        <v/>
      </c>
      <c r="GM559">
        <f>ROUND(O559+X559+Y559,0)+GX559</f>
        <v/>
      </c>
      <c r="GN559">
        <f>IF(OR(BI559=0,BI559=1),GM559-GX559,0)</f>
        <v/>
      </c>
      <c r="GO559">
        <f>IF(BI559=2,GM559-GX559,0)</f>
        <v/>
      </c>
      <c r="GP559">
        <f>IF(BI559=4,GM559-GX559,0)</f>
        <v/>
      </c>
      <c r="GR559" t="n">
        <v>0</v>
      </c>
      <c r="GS559" t="n">
        <v>3</v>
      </c>
      <c r="GT559" t="n">
        <v>0</v>
      </c>
      <c r="GU559" t="inlineStr"/>
      <c r="GV559">
        <f>ROUND((GT559),2)</f>
        <v/>
      </c>
      <c r="GW559" t="n">
        <v>1</v>
      </c>
      <c r="GX559">
        <f>ROUND(HC559*I559,0)</f>
        <v/>
      </c>
      <c r="HA559" t="n">
        <v>0</v>
      </c>
      <c r="HB559" t="n">
        <v>0</v>
      </c>
      <c r="HC559">
        <f>GV559*GW559</f>
        <v/>
      </c>
      <c r="HE559" t="inlineStr"/>
      <c r="HF559" t="inlineStr"/>
      <c r="HM559" t="inlineStr"/>
      <c r="HN559" t="inlineStr">
        <is>
          <t>Пр/812-099.2-1</t>
        </is>
      </c>
      <c r="HO559" t="inlineStr">
        <is>
          <t>Пр/774-099.2</t>
        </is>
      </c>
      <c r="HP559" t="inlineStr">
        <is>
          <t>Внутренние санитарнотехнические работы: смена труб, санприборов, запорной арматуры и другое</t>
        </is>
      </c>
      <c r="HQ559" t="inlineStr">
        <is>
          <t>Внутренние санитарнотехнические работы: смена труб, санприборов, запорной арматуры и другое</t>
        </is>
      </c>
      <c r="HS559" t="n">
        <v>0</v>
      </c>
      <c r="IK559" t="n">
        <v>0</v>
      </c>
    </row>
    <row r="560">
      <c r="A560" t="n">
        <v>18</v>
      </c>
      <c r="B560" t="n">
        <v>0</v>
      </c>
      <c r="C560" t="n">
        <v>276</v>
      </c>
      <c r="E560" t="inlineStr">
        <is>
          <t>2,1</t>
        </is>
      </c>
      <c r="F560" t="inlineStr">
        <is>
          <t>509-9899</t>
        </is>
      </c>
      <c r="G560" t="inlineStr">
        <is>
          <t>Строительный мусор и масса возвратных материалов</t>
        </is>
      </c>
      <c r="H560" t="inlineStr">
        <is>
          <t>т</t>
        </is>
      </c>
      <c r="I560">
        <f>I559*J560</f>
        <v/>
      </c>
      <c r="J560" t="n">
        <v>0.04</v>
      </c>
      <c r="K560" t="n">
        <v>0.04</v>
      </c>
      <c r="O560">
        <f>ROUND(CP560,0)</f>
        <v/>
      </c>
      <c r="P560">
        <f>ROUND(CQ560*I560,0)</f>
        <v/>
      </c>
      <c r="Q560">
        <f>(ROUND((ROUND(((ET560)*I560),0)*BB560),0)+ROUND((ROUND(((AE560-(EU560))*I560),0)*BS560),0))</f>
        <v/>
      </c>
      <c r="R560">
        <f>(ROUND((ROUND(((EU560)*I560),0)*BS560),0)+ROUND((ROUND(((AE560-(EU560))*I560),0)*BS560),0))</f>
        <v/>
      </c>
      <c r="S560">
        <f>ROUND(CT560*I560,0)</f>
        <v/>
      </c>
      <c r="T560">
        <f>ROUND(CU560*I560,0)</f>
        <v/>
      </c>
      <c r="U560">
        <f>ROUND(CV560*I560,7)</f>
        <v/>
      </c>
      <c r="V560">
        <f>ROUND(CW560*I560,7)</f>
        <v/>
      </c>
      <c r="W560">
        <f>ROUND(CX560*I560,0)</f>
        <v/>
      </c>
      <c r="X560">
        <f>ROUND(CY560,0)</f>
        <v/>
      </c>
      <c r="Y560">
        <f>ROUND(CZ560,0)</f>
        <v/>
      </c>
      <c r="AA560" t="n">
        <v>78869116</v>
      </c>
      <c r="AB560">
        <f>ROUND((AC560+AD560+AF560),2)</f>
        <v/>
      </c>
      <c r="AC560">
        <f>ROUND((ES560),2)</f>
        <v/>
      </c>
      <c r="AD560">
        <f>ROUND((((ET560)-(EU560))+AE560),2)</f>
        <v/>
      </c>
      <c r="AE560">
        <f>ROUND((EU560),2)</f>
        <v/>
      </c>
      <c r="AF560">
        <f>ROUND((EV560),2)</f>
        <v/>
      </c>
      <c r="AG560">
        <f>ROUND((AP560),2)</f>
        <v/>
      </c>
      <c r="AH560">
        <f>(EW560)</f>
        <v/>
      </c>
      <c r="AI560">
        <f>(EX560)</f>
        <v/>
      </c>
      <c r="AJ560">
        <f>(AS560)</f>
        <v/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  <c r="AS560" t="n">
        <v>0</v>
      </c>
      <c r="AT560" t="n">
        <v>103</v>
      </c>
      <c r="AU560" t="n">
        <v>52</v>
      </c>
      <c r="AV560" t="n">
        <v>1</v>
      </c>
      <c r="AW560" t="n">
        <v>1</v>
      </c>
      <c r="AZ560" t="n">
        <v>1</v>
      </c>
      <c r="BA560" t="n">
        <v>1</v>
      </c>
      <c r="BB560" t="n">
        <v>1</v>
      </c>
      <c r="BC560" t="n">
        <v>1</v>
      </c>
      <c r="BD560" t="inlineStr"/>
      <c r="BE560" t="inlineStr"/>
      <c r="BF560" t="inlineStr"/>
      <c r="BG560" t="inlineStr"/>
      <c r="BH560" t="n">
        <v>3</v>
      </c>
      <c r="BI560" t="n">
        <v>1</v>
      </c>
      <c r="BJ560" t="inlineStr">
        <is>
          <t>ТССЦ Московской обл., 509-9899, приказ Минстроя России №675/пр от 28.02.2017 № 258/пр</t>
        </is>
      </c>
      <c r="BM560" t="n">
        <v>65007</v>
      </c>
      <c r="BN560" t="n">
        <v>0</v>
      </c>
      <c r="BO560" t="inlineStr"/>
      <c r="BP560" t="n">
        <v>0</v>
      </c>
      <c r="BQ560" t="n">
        <v>6</v>
      </c>
      <c r="BR560" t="n">
        <v>0</v>
      </c>
      <c r="BS560" t="n">
        <v>1</v>
      </c>
      <c r="BT560" t="n">
        <v>1</v>
      </c>
      <c r="BU560" t="n">
        <v>1</v>
      </c>
      <c r="BV560" t="n">
        <v>1</v>
      </c>
      <c r="BW560" t="n">
        <v>1</v>
      </c>
      <c r="BX560" t="n">
        <v>1</v>
      </c>
      <c r="BY560" t="inlineStr"/>
      <c r="BZ560" t="n">
        <v>103</v>
      </c>
      <c r="CA560" t="n">
        <v>52</v>
      </c>
      <c r="CB560" t="inlineStr"/>
      <c r="CE560" t="n">
        <v>12</v>
      </c>
      <c r="CF560" t="n">
        <v>0</v>
      </c>
      <c r="CG560" t="n">
        <v>0</v>
      </c>
      <c r="CM560" t="n">
        <v>0</v>
      </c>
      <c r="CN560" t="inlineStr"/>
      <c r="CO560" t="n">
        <v>0</v>
      </c>
      <c r="CP560">
        <f>(P560+Q560+S560)</f>
        <v/>
      </c>
      <c r="CQ560">
        <f>AC560*BC560</f>
        <v/>
      </c>
      <c r="CR560">
        <f>(ROUND((ROUND(((ET560)*1),0)*BB560),0)+ROUND((ROUND(((AE560-(EU560))*1),0)*BS560),0))</f>
        <v/>
      </c>
      <c r="CS560">
        <f>(ROUND((ROUND(((EU560)*1),0)*BS560),0)+ROUND((ROUND(((AE560-(EU560))*1),0)*BS560),0))</f>
        <v/>
      </c>
      <c r="CT560">
        <f>AF560*BA560</f>
        <v/>
      </c>
      <c r="CU560">
        <f>AG560</f>
        <v/>
      </c>
      <c r="CV560">
        <f>AH560</f>
        <v/>
      </c>
      <c r="CW560">
        <f>AI560</f>
        <v/>
      </c>
      <c r="CX560">
        <f>AJ560</f>
        <v/>
      </c>
      <c r="CY560">
        <f>(((S560+R560)*AT560)/100)</f>
        <v/>
      </c>
      <c r="CZ560">
        <f>(((S560+R560)*AU560)/100)</f>
        <v/>
      </c>
      <c r="DC560" t="inlineStr"/>
      <c r="DD560" t="inlineStr"/>
      <c r="DE560" t="inlineStr"/>
      <c r="DF560" t="inlineStr"/>
      <c r="DG560" t="inlineStr"/>
      <c r="DH560" t="inlineStr"/>
      <c r="DI560" t="inlineStr"/>
      <c r="DJ560" t="inlineStr"/>
      <c r="DK560" t="inlineStr"/>
      <c r="DL560" t="inlineStr"/>
      <c r="DM560" t="inlineStr"/>
      <c r="DN560" t="n">
        <v>0</v>
      </c>
      <c r="DO560" t="n">
        <v>0</v>
      </c>
      <c r="DP560" t="n">
        <v>1</v>
      </c>
      <c r="DQ560" t="n">
        <v>1</v>
      </c>
      <c r="DU560" t="n">
        <v>1009</v>
      </c>
      <c r="DV560" t="inlineStr">
        <is>
          <t>т</t>
        </is>
      </c>
      <c r="DW560" t="inlineStr">
        <is>
          <t>т</t>
        </is>
      </c>
      <c r="DX560" t="n">
        <v>1000</v>
      </c>
      <c r="DZ560" t="inlineStr"/>
      <c r="EA560" t="inlineStr"/>
      <c r="EB560" t="inlineStr"/>
      <c r="EC560" t="inlineStr"/>
      <c r="EE560" t="n">
        <v>78726000</v>
      </c>
      <c r="EF560" t="n">
        <v>6</v>
      </c>
      <c r="EG560" t="inlineStr">
        <is>
          <t>Ремонтно-строительные работы</t>
        </is>
      </c>
      <c r="EH560" t="n">
        <v>99</v>
      </c>
      <c r="EI560" t="inlineStr">
        <is>
          <t>Внутренние санитарно-технические работы</t>
        </is>
      </c>
      <c r="EJ560" t="n">
        <v>1</v>
      </c>
      <c r="EK560" t="n">
        <v>65007</v>
      </c>
      <c r="EL560" t="inlineStr">
        <is>
          <t>Внутренние санитарнотехнические работы: смена труб, санприборов, запорной арматуры и другое</t>
        </is>
      </c>
      <c r="EM560" t="inlineStr">
        <is>
          <t>рФЕР-65</t>
        </is>
      </c>
      <c r="EO560" t="inlineStr"/>
      <c r="EQ560" t="n">
        <v>0</v>
      </c>
      <c r="ER560" t="n">
        <v>0</v>
      </c>
      <c r="ES560" t="n">
        <v>0</v>
      </c>
      <c r="ET560" t="n">
        <v>0</v>
      </c>
      <c r="EU560" t="n">
        <v>0</v>
      </c>
      <c r="EV560" t="n">
        <v>0</v>
      </c>
      <c r="EW560" t="n">
        <v>0</v>
      </c>
      <c r="EX560" t="n">
        <v>0</v>
      </c>
      <c r="FQ560" t="n">
        <v>0</v>
      </c>
      <c r="FR560" t="n">
        <v>0</v>
      </c>
      <c r="FS560" t="n">
        <v>0</v>
      </c>
      <c r="FX560" t="n">
        <v>103</v>
      </c>
      <c r="FY560" t="n">
        <v>52</v>
      </c>
      <c r="GA560" t="inlineStr"/>
      <c r="GD560" t="n">
        <v>1</v>
      </c>
      <c r="GF560" t="n">
        <v>1839160745</v>
      </c>
      <c r="GG560" t="n">
        <v>2</v>
      </c>
      <c r="GH560" t="n">
        <v>1</v>
      </c>
      <c r="GI560" t="n">
        <v>-2</v>
      </c>
      <c r="GJ560" t="n">
        <v>0</v>
      </c>
      <c r="GK560" t="n">
        <v>0</v>
      </c>
      <c r="GL560">
        <f>ROUND(IF(AND(BH560=3,BI560=3,FS560&lt;&gt;0),P560,0),0)</f>
        <v/>
      </c>
      <c r="GM560">
        <f>ROUND(O560+X560+Y560,0)+GX560</f>
        <v/>
      </c>
      <c r="GN560">
        <f>IF(OR(BI560=0,BI560=1),GM560-GX560,0)</f>
        <v/>
      </c>
      <c r="GO560">
        <f>IF(BI560=2,GM560-GX560,0)</f>
        <v/>
      </c>
      <c r="GP560">
        <f>IF(BI560=4,GM560-GX560,0)</f>
        <v/>
      </c>
      <c r="GR560" t="n">
        <v>0</v>
      </c>
      <c r="GS560" t="n">
        <v>3</v>
      </c>
      <c r="GT560" t="n">
        <v>0</v>
      </c>
      <c r="GU560" t="inlineStr"/>
      <c r="GV560">
        <f>ROUND((GT560),2)</f>
        <v/>
      </c>
      <c r="GW560" t="n">
        <v>1</v>
      </c>
      <c r="GX560">
        <f>ROUND(HC560*I560,0)</f>
        <v/>
      </c>
      <c r="HA560" t="n">
        <v>0</v>
      </c>
      <c r="HB560" t="n">
        <v>0</v>
      </c>
      <c r="HC560">
        <f>GV560*GW560</f>
        <v/>
      </c>
      <c r="HE560" t="inlineStr"/>
      <c r="HF560" t="inlineStr"/>
      <c r="HM560" t="inlineStr"/>
      <c r="HN560" t="inlineStr">
        <is>
          <t>Пр/812-099.2-1</t>
        </is>
      </c>
      <c r="HO560" t="inlineStr">
        <is>
          <t>Пр/774-099.2</t>
        </is>
      </c>
      <c r="HP560" t="inlineStr">
        <is>
          <t>Внутренние санитарнотехнические работы: смена труб, санприборов, запорной арматуры и другое</t>
        </is>
      </c>
      <c r="HQ560" t="inlineStr">
        <is>
          <t>Внутренние санитарнотехнические работы: смена труб, санприборов, запорной арматуры и другое</t>
        </is>
      </c>
      <c r="HS560" t="n">
        <v>0</v>
      </c>
      <c r="IK560" t="n">
        <v>0</v>
      </c>
    </row>
    <row r="561">
      <c r="A561" t="n">
        <v>18</v>
      </c>
      <c r="B561" t="n">
        <v>0</v>
      </c>
      <c r="C561" t="n">
        <v>274</v>
      </c>
      <c r="E561" t="inlineStr">
        <is>
          <t>2,2</t>
        </is>
      </c>
      <c r="F561" t="inlineStr">
        <is>
          <t>302-0062</t>
        </is>
      </c>
      <c r="G561" t="inlineStr">
        <is>
          <t>Кран шаровый муфтовый Valtec для воды диаметром 15 мм, тип в/в</t>
        </is>
      </c>
      <c r="H561" t="inlineStr">
        <is>
          <t>шт.</t>
        </is>
      </c>
      <c r="I561">
        <f>I559*J561</f>
        <v/>
      </c>
      <c r="J561" t="n">
        <v>100</v>
      </c>
      <c r="K561" t="n">
        <v>100</v>
      </c>
      <c r="O561">
        <f>ROUND(CP561,0)</f>
        <v/>
      </c>
      <c r="P561">
        <f>ROUND(CQ561*I561,0)</f>
        <v/>
      </c>
      <c r="Q561">
        <f>(ROUND((ROUND(((ET561)*I561),0)*BB561),0)+ROUND((ROUND(((AE561-(EU561))*I561),0)*BS561),0))</f>
        <v/>
      </c>
      <c r="R561">
        <f>(ROUND((ROUND(((EU561)*I561),0)*BS561),0)+ROUND((ROUND(((AE561-(EU561))*I561),0)*BS561),0))</f>
        <v/>
      </c>
      <c r="S561">
        <f>ROUND(CT561*I561,0)</f>
        <v/>
      </c>
      <c r="T561">
        <f>ROUND(CU561*I561,0)</f>
        <v/>
      </c>
      <c r="U561">
        <f>ROUND(CV561*I561,7)</f>
        <v/>
      </c>
      <c r="V561">
        <f>ROUND(CW561*I561,7)</f>
        <v/>
      </c>
      <c r="W561">
        <f>ROUND(CX561*I561,0)</f>
        <v/>
      </c>
      <c r="X561">
        <f>ROUND(CY561,0)</f>
        <v/>
      </c>
      <c r="Y561">
        <f>ROUND(CZ561,0)</f>
        <v/>
      </c>
      <c r="AA561" t="n">
        <v>78869116</v>
      </c>
      <c r="AB561">
        <f>ROUND((AC561+AD561+AF561),2)</f>
        <v/>
      </c>
      <c r="AC561">
        <f>ROUND((ES561),2)</f>
        <v/>
      </c>
      <c r="AD561">
        <f>ROUND((((ET561)-(EU561))+AE561),2)</f>
        <v/>
      </c>
      <c r="AE561">
        <f>ROUND((EU561),2)</f>
        <v/>
      </c>
      <c r="AF561">
        <f>ROUND((EV561),2)</f>
        <v/>
      </c>
      <c r="AG561">
        <f>ROUND((AP561),2)</f>
        <v/>
      </c>
      <c r="AH561">
        <f>(EW561)</f>
        <v/>
      </c>
      <c r="AI561">
        <f>(EX561)</f>
        <v/>
      </c>
      <c r="AJ561">
        <f>(AS561)</f>
        <v/>
      </c>
      <c r="AK561" t="n">
        <v>28.53</v>
      </c>
      <c r="AL561" t="n">
        <v>28.53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  <c r="AS561" t="n">
        <v>0.01</v>
      </c>
      <c r="AT561" t="n">
        <v>103</v>
      </c>
      <c r="AU561" t="n">
        <v>52</v>
      </c>
      <c r="AV561" t="n">
        <v>1</v>
      </c>
      <c r="AW561" t="n">
        <v>1</v>
      </c>
      <c r="AZ561" t="n">
        <v>1</v>
      </c>
      <c r="BA561" t="n">
        <v>1</v>
      </c>
      <c r="BB561" t="n">
        <v>1</v>
      </c>
      <c r="BC561" t="n">
        <v>13.47</v>
      </c>
      <c r="BD561" t="inlineStr"/>
      <c r="BE561" t="inlineStr"/>
      <c r="BF561" t="inlineStr"/>
      <c r="BG561" t="inlineStr"/>
      <c r="BH561" t="n">
        <v>3</v>
      </c>
      <c r="BI561" t="n">
        <v>1</v>
      </c>
      <c r="BJ561" t="inlineStr">
        <is>
          <t>ТССЦ Московской обл., 302-0062, приказ Минстроя России №675/пр от 28.02.2017 № 256/пр</t>
        </is>
      </c>
      <c r="BM561" t="n">
        <v>65007</v>
      </c>
      <c r="BN561" t="n">
        <v>0</v>
      </c>
      <c r="BO561" t="inlineStr">
        <is>
          <t>302-0062</t>
        </is>
      </c>
      <c r="BP561" t="n">
        <v>1</v>
      </c>
      <c r="BQ561" t="n">
        <v>6</v>
      </c>
      <c r="BR561" t="n">
        <v>0</v>
      </c>
      <c r="BS561" t="n">
        <v>1</v>
      </c>
      <c r="BT561" t="n">
        <v>1</v>
      </c>
      <c r="BU561" t="n">
        <v>1</v>
      </c>
      <c r="BV561" t="n">
        <v>1</v>
      </c>
      <c r="BW561" t="n">
        <v>1</v>
      </c>
      <c r="BX561" t="n">
        <v>1</v>
      </c>
      <c r="BY561" t="inlineStr"/>
      <c r="BZ561" t="n">
        <v>103</v>
      </c>
      <c r="CA561" t="n">
        <v>52</v>
      </c>
      <c r="CB561" t="inlineStr"/>
      <c r="CE561" t="n">
        <v>12</v>
      </c>
      <c r="CF561" t="n">
        <v>0</v>
      </c>
      <c r="CG561" t="n">
        <v>0</v>
      </c>
      <c r="CM561" t="n">
        <v>0</v>
      </c>
      <c r="CN561" t="inlineStr"/>
      <c r="CO561" t="n">
        <v>0</v>
      </c>
      <c r="CP561">
        <f>(P561+Q561+S561)</f>
        <v/>
      </c>
      <c r="CQ561">
        <f>AC561*BC561</f>
        <v/>
      </c>
      <c r="CR561">
        <f>(ROUND((ROUND(((ET561)*1),0)*BB561),0)+ROUND((ROUND(((AE561-(EU561))*1),0)*BS561),0))</f>
        <v/>
      </c>
      <c r="CS561">
        <f>(ROUND((ROUND(((EU561)*1),0)*BS561),0)+ROUND((ROUND(((AE561-(EU561))*1),0)*BS561),0))</f>
        <v/>
      </c>
      <c r="CT561">
        <f>AF561*BA561</f>
        <v/>
      </c>
      <c r="CU561">
        <f>AG561</f>
        <v/>
      </c>
      <c r="CV561">
        <f>AH561</f>
        <v/>
      </c>
      <c r="CW561">
        <f>AI561</f>
        <v/>
      </c>
      <c r="CX561">
        <f>AJ561</f>
        <v/>
      </c>
      <c r="CY561">
        <f>(((S561+R561)*AT561)/100)</f>
        <v/>
      </c>
      <c r="CZ561">
        <f>(((S561+R561)*AU561)/100)</f>
        <v/>
      </c>
      <c r="DC561" t="inlineStr"/>
      <c r="DD561" t="inlineStr"/>
      <c r="DE561" t="inlineStr"/>
      <c r="DF561" t="inlineStr"/>
      <c r="DG561" t="inlineStr"/>
      <c r="DH561" t="inlineStr"/>
      <c r="DI561" t="inlineStr"/>
      <c r="DJ561" t="inlineStr"/>
      <c r="DK561" t="inlineStr"/>
      <c r="DL561" t="inlineStr"/>
      <c r="DM561" t="inlineStr"/>
      <c r="DN561" t="n">
        <v>0</v>
      </c>
      <c r="DO561" t="n">
        <v>0</v>
      </c>
      <c r="DP561" t="n">
        <v>1</v>
      </c>
      <c r="DQ561" t="n">
        <v>1</v>
      </c>
      <c r="DU561" t="n">
        <v>1010</v>
      </c>
      <c r="DV561" t="inlineStr">
        <is>
          <t>шт.</t>
        </is>
      </c>
      <c r="DW561" t="inlineStr">
        <is>
          <t>шт.</t>
        </is>
      </c>
      <c r="DX561" t="n">
        <v>1</v>
      </c>
      <c r="DZ561" t="inlineStr"/>
      <c r="EA561" t="inlineStr"/>
      <c r="EB561" t="inlineStr"/>
      <c r="EC561" t="inlineStr"/>
      <c r="EE561" t="n">
        <v>78726000</v>
      </c>
      <c r="EF561" t="n">
        <v>6</v>
      </c>
      <c r="EG561" t="inlineStr">
        <is>
          <t>Ремонтно-строительные работы</t>
        </is>
      </c>
      <c r="EH561" t="n">
        <v>99</v>
      </c>
      <c r="EI561" t="inlineStr">
        <is>
          <t>Внутренние санитарно-технические работы</t>
        </is>
      </c>
      <c r="EJ561" t="n">
        <v>1</v>
      </c>
      <c r="EK561" t="n">
        <v>65007</v>
      </c>
      <c r="EL561" t="inlineStr">
        <is>
          <t>Внутренние санитарнотехнические работы: смена труб, санприборов, запорной арматуры и другое</t>
        </is>
      </c>
      <c r="EM561" t="inlineStr">
        <is>
          <t>рФЕР-65</t>
        </is>
      </c>
      <c r="EO561" t="inlineStr"/>
      <c r="EQ561" t="n">
        <v>0</v>
      </c>
      <c r="ER561" t="n">
        <v>28.53</v>
      </c>
      <c r="ES561" t="n">
        <v>28.53</v>
      </c>
      <c r="ET561" t="n">
        <v>0</v>
      </c>
      <c r="EU561" t="n">
        <v>0</v>
      </c>
      <c r="EV561" t="n">
        <v>0</v>
      </c>
      <c r="EW561" t="n">
        <v>0</v>
      </c>
      <c r="EX561" t="n">
        <v>0</v>
      </c>
      <c r="FQ561" t="n">
        <v>0</v>
      </c>
      <c r="FR561" t="n">
        <v>0</v>
      </c>
      <c r="FS561" t="n">
        <v>0</v>
      </c>
      <c r="FX561" t="n">
        <v>103</v>
      </c>
      <c r="FY561" t="n">
        <v>52</v>
      </c>
      <c r="GA561" t="inlineStr"/>
      <c r="GD561" t="n">
        <v>1</v>
      </c>
      <c r="GF561" t="n">
        <v>-1687406522</v>
      </c>
      <c r="GG561" t="n">
        <v>2</v>
      </c>
      <c r="GH561" t="n">
        <v>1</v>
      </c>
      <c r="GI561" t="n">
        <v>2</v>
      </c>
      <c r="GJ561" t="n">
        <v>0</v>
      </c>
      <c r="GK561" t="n">
        <v>0</v>
      </c>
      <c r="GL561">
        <f>ROUND(IF(AND(BH561=3,BI561=3,FS561&lt;&gt;0),P561,0),0)</f>
        <v/>
      </c>
      <c r="GM561">
        <f>ROUND(O561+X561+Y561,0)+GX561</f>
        <v/>
      </c>
      <c r="GN561">
        <f>IF(OR(BI561=0,BI561=1),GM561-GX561,0)</f>
        <v/>
      </c>
      <c r="GO561">
        <f>IF(BI561=2,GM561-GX561,0)</f>
        <v/>
      </c>
      <c r="GP561">
        <f>IF(BI561=4,GM561-GX561,0)</f>
        <v/>
      </c>
      <c r="GR561" t="n">
        <v>0</v>
      </c>
      <c r="GS561" t="n">
        <v>3</v>
      </c>
      <c r="GT561" t="n">
        <v>0</v>
      </c>
      <c r="GU561" t="inlineStr"/>
      <c r="GV561">
        <f>ROUND((GT561),2)</f>
        <v/>
      </c>
      <c r="GW561" t="n">
        <v>1</v>
      </c>
      <c r="GX561">
        <f>ROUND(HC561*I561,0)</f>
        <v/>
      </c>
      <c r="HA561" t="n">
        <v>0</v>
      </c>
      <c r="HB561" t="n">
        <v>0</v>
      </c>
      <c r="HC561">
        <f>GV561*GW561</f>
        <v/>
      </c>
      <c r="HE561" t="inlineStr"/>
      <c r="HF561" t="inlineStr"/>
      <c r="HM561" t="inlineStr"/>
      <c r="HN561" t="inlineStr">
        <is>
          <t>Пр/812-099.2-1</t>
        </is>
      </c>
      <c r="HO561" t="inlineStr">
        <is>
          <t>Пр/774-099.2</t>
        </is>
      </c>
      <c r="HP561" t="inlineStr">
        <is>
          <t>Внутренние санитарнотехнические работы: смена труб, санприборов, запорной арматуры и другое</t>
        </is>
      </c>
      <c r="HQ561" t="inlineStr">
        <is>
          <t>Внутренние санитарнотехнические работы: смена труб, санприборов, запорной арматуры и другое</t>
        </is>
      </c>
      <c r="HS561" t="n">
        <v>0</v>
      </c>
      <c r="IK561" t="n">
        <v>0</v>
      </c>
    </row>
    <row r="562">
      <c r="A562" t="n">
        <v>17</v>
      </c>
      <c r="B562" t="n">
        <v>0</v>
      </c>
      <c r="C562">
        <f>ROW(SmtRes!A282)</f>
        <v/>
      </c>
      <c r="D562">
        <f>ROW(EtalonRes!A260)</f>
        <v/>
      </c>
      <c r="E562" t="inlineStr">
        <is>
          <t>3</t>
        </is>
      </c>
      <c r="F562" t="inlineStr">
        <is>
          <t>16-07-005-1</t>
        </is>
      </c>
      <c r="G5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62" t="inlineStr">
        <is>
          <t>100 м трубопровода</t>
        </is>
      </c>
      <c r="I562">
        <f>ROUND(ROUND(60/100,4),7)</f>
        <v/>
      </c>
      <c r="J562" t="n">
        <v>0</v>
      </c>
      <c r="K562">
        <f>ROUND(ROUND(60/100,4),7)</f>
        <v/>
      </c>
      <c r="O562">
        <f>ROUND(CP562,0)</f>
        <v/>
      </c>
      <c r="P562">
        <f>ROUND(CQ562*I562,0)</f>
        <v/>
      </c>
      <c r="Q562">
        <f>(ROUND((ROUND((((ET562*ROUND(5,7)))*I562),0)*BB562),0)+ROUND((ROUND(((AE562-((EU562*ROUND(5,7))))*I562),0)*BS562),0))</f>
        <v/>
      </c>
      <c r="R562">
        <f>(ROUND((ROUND((((EU562*ROUND(5,7)))*I562),0)*BS562),0)+ROUND((ROUND(((AE562-((EU562*ROUND(5,7))))*I562),0)*BS562),0))</f>
        <v/>
      </c>
      <c r="S562">
        <f>ROUND(CT562*I562,0)</f>
        <v/>
      </c>
      <c r="T562">
        <f>ROUND(CU562*I562,0)</f>
        <v/>
      </c>
      <c r="U562">
        <f>ROUND(CV562*I562,7)</f>
        <v/>
      </c>
      <c r="V562">
        <f>ROUND(CW562*I562,7)</f>
        <v/>
      </c>
      <c r="W562">
        <f>ROUND(CX562*I562,0)</f>
        <v/>
      </c>
      <c r="X562">
        <f>ROUND(CY562,0)</f>
        <v/>
      </c>
      <c r="Y562">
        <f>ROUND(CZ562,0)</f>
        <v/>
      </c>
      <c r="AA562" t="n">
        <v>78869116</v>
      </c>
      <c r="AB562">
        <f>ROUND((AC562+AD562+AF562),2)</f>
        <v/>
      </c>
      <c r="AC562">
        <f>ROUND(((ES562*ROUND(5,7))),2)</f>
        <v/>
      </c>
      <c r="AD562">
        <f>ROUND(((((ET562*ROUND(5,7)))-((EU562*ROUND(5,7))))+AE562),2)</f>
        <v/>
      </c>
      <c r="AE562">
        <f>ROUND(((EU562*ROUND(5,7))),2)</f>
        <v/>
      </c>
      <c r="AF562">
        <f>ROUND(((EV562*ROUND(5,7))),2)</f>
        <v/>
      </c>
      <c r="AG562">
        <f>ROUND((AP562),2)</f>
        <v/>
      </c>
      <c r="AH562">
        <f>((EW562*ROUND(5,7)))</f>
        <v/>
      </c>
      <c r="AI562">
        <f>((EX562*ROUND(5,7)))</f>
        <v/>
      </c>
      <c r="AJ562">
        <f>(AS562)</f>
        <v/>
      </c>
      <c r="AK562" t="n">
        <v>107.11</v>
      </c>
      <c r="AL562" t="n">
        <v>4.28</v>
      </c>
      <c r="AM562" t="n">
        <v>44.51</v>
      </c>
      <c r="AN562" t="n">
        <v>0</v>
      </c>
      <c r="AO562" t="n">
        <v>58.32</v>
      </c>
      <c r="AP562" t="n">
        <v>0</v>
      </c>
      <c r="AQ562" t="n">
        <v>5.01</v>
      </c>
      <c r="AR562" t="n">
        <v>0</v>
      </c>
      <c r="AS562" t="n">
        <v>0</v>
      </c>
      <c r="AT562" t="n">
        <v>121</v>
      </c>
      <c r="AU562" t="n">
        <v>72</v>
      </c>
      <c r="AV562" t="n">
        <v>1</v>
      </c>
      <c r="AW562" t="n">
        <v>1</v>
      </c>
      <c r="AZ562" t="n">
        <v>1</v>
      </c>
      <c r="BA562" t="n">
        <v>52.25</v>
      </c>
      <c r="BB562" t="n">
        <v>5.97</v>
      </c>
      <c r="BC562" t="n">
        <v>11.38</v>
      </c>
      <c r="BD562" t="inlineStr"/>
      <c r="BE562" t="inlineStr"/>
      <c r="BF562" t="inlineStr"/>
      <c r="BG562" t="inlineStr"/>
      <c r="BH562" t="n">
        <v>0</v>
      </c>
      <c r="BI562" t="n">
        <v>1</v>
      </c>
      <c r="BJ562" t="inlineStr">
        <is>
          <t>ТЕР Московской обл., 16-07-005-1, приказ Минстроя России №675/пр от 28.02.2017 № 260/пр</t>
        </is>
      </c>
      <c r="BM562" t="n">
        <v>16001</v>
      </c>
      <c r="BN562" t="n">
        <v>0</v>
      </c>
      <c r="BO562" t="inlineStr">
        <is>
          <t>16-07-005-1</t>
        </is>
      </c>
      <c r="BP562" t="n">
        <v>1</v>
      </c>
      <c r="BQ562" t="n">
        <v>2</v>
      </c>
      <c r="BR562" t="n">
        <v>0</v>
      </c>
      <c r="BS562" t="n">
        <v>52.25</v>
      </c>
      <c r="BT562" t="n">
        <v>1</v>
      </c>
      <c r="BU562" t="n">
        <v>1</v>
      </c>
      <c r="BV562" t="n">
        <v>1</v>
      </c>
      <c r="BW562" t="n">
        <v>1</v>
      </c>
      <c r="BX562" t="n">
        <v>1</v>
      </c>
      <c r="BY562" t="inlineStr"/>
      <c r="BZ562" t="n">
        <v>121</v>
      </c>
      <c r="CA562" t="n">
        <v>72</v>
      </c>
      <c r="CB562" t="inlineStr"/>
      <c r="CE562" t="n">
        <v>12</v>
      </c>
      <c r="CF562" t="n">
        <v>0</v>
      </c>
      <c r="CG562" t="n">
        <v>0</v>
      </c>
      <c r="CM562" t="n">
        <v>0</v>
      </c>
      <c r="CN562" t="inlineStr"/>
      <c r="CO562" t="n">
        <v>0</v>
      </c>
      <c r="CP562">
        <f>(P562+Q562+S562)</f>
        <v/>
      </c>
      <c r="CQ562">
        <f>AC562*BC562</f>
        <v/>
      </c>
      <c r="CR562">
        <f>(ROUND((ROUND((((ET562*ROUND(5,7)))*1),0)*BB562),0)+ROUND((ROUND(((AE562-((EU562*ROUND(5,7))))*1),0)*BS562),0))</f>
        <v/>
      </c>
      <c r="CS562">
        <f>(ROUND((ROUND((((EU562*ROUND(5,7)))*1),0)*BS562),0)+ROUND((ROUND(((AE562-((EU562*ROUND(5,7))))*1),0)*BS562),0))</f>
        <v/>
      </c>
      <c r="CT562">
        <f>AF562*BA562</f>
        <v/>
      </c>
      <c r="CU562">
        <f>AG562</f>
        <v/>
      </c>
      <c r="CV562">
        <f>AH562</f>
        <v/>
      </c>
      <c r="CW562">
        <f>AI562</f>
        <v/>
      </c>
      <c r="CX562">
        <f>AJ562</f>
        <v/>
      </c>
      <c r="CY562">
        <f>(((S562+R562)*AT562)/100)</f>
        <v/>
      </c>
      <c r="CZ562">
        <f>(((S562+R562)*AU562)/100)</f>
        <v/>
      </c>
      <c r="DC562" t="inlineStr"/>
      <c r="DD562" t="inlineStr">
        <is>
          <t>)*5</t>
        </is>
      </c>
      <c r="DE562" t="inlineStr">
        <is>
          <t>)*5</t>
        </is>
      </c>
      <c r="DF562" t="inlineStr">
        <is>
          <t>)*5</t>
        </is>
      </c>
      <c r="DG562" t="inlineStr">
        <is>
          <t>)*5</t>
        </is>
      </c>
      <c r="DH562" t="inlineStr"/>
      <c r="DI562" t="inlineStr">
        <is>
          <t>)*5</t>
        </is>
      </c>
      <c r="DJ562" t="inlineStr">
        <is>
          <t>)*5</t>
        </is>
      </c>
      <c r="DK562" t="inlineStr"/>
      <c r="DL562" t="inlineStr"/>
      <c r="DM562" t="inlineStr"/>
      <c r="DN562" t="n">
        <v>0</v>
      </c>
      <c r="DO562" t="n">
        <v>0</v>
      </c>
      <c r="DP562" t="n">
        <v>1</v>
      </c>
      <c r="DQ562" t="n">
        <v>1</v>
      </c>
      <c r="DU562" t="n">
        <v>1013</v>
      </c>
      <c r="DV562" t="inlineStr">
        <is>
          <t>100 м трубопровода</t>
        </is>
      </c>
      <c r="DW562" t="inlineStr">
        <is>
          <t>100 м трубопровода</t>
        </is>
      </c>
      <c r="DX562" t="n">
        <v>1</v>
      </c>
      <c r="DZ562" t="inlineStr"/>
      <c r="EA562" t="inlineStr"/>
      <c r="EB562" t="inlineStr"/>
      <c r="EC562" t="inlineStr"/>
      <c r="EE562" t="n">
        <v>78725882</v>
      </c>
      <c r="EF562" t="n">
        <v>2</v>
      </c>
      <c r="EG562" t="inlineStr">
        <is>
          <t>Общестроительные работы</t>
        </is>
      </c>
      <c r="EH562" t="n">
        <v>16</v>
      </c>
      <c r="EI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62" t="n">
        <v>1</v>
      </c>
      <c r="EK562" t="n">
        <v>16001</v>
      </c>
      <c r="EL562" t="inlineStr">
        <is>
          <t>Трубопроводы внутренние</t>
        </is>
      </c>
      <c r="EM562" t="inlineStr">
        <is>
          <t>ФЕР-16</t>
        </is>
      </c>
      <c r="EO562" t="inlineStr"/>
      <c r="EQ562" t="n">
        <v>0</v>
      </c>
      <c r="ER562" t="n">
        <v>107.11</v>
      </c>
      <c r="ES562" t="n">
        <v>4.28</v>
      </c>
      <c r="ET562" t="n">
        <v>44.51</v>
      </c>
      <c r="EU562" t="n">
        <v>0</v>
      </c>
      <c r="EV562" t="n">
        <v>58.32</v>
      </c>
      <c r="EW562" t="n">
        <v>5.01</v>
      </c>
      <c r="EX562" t="n">
        <v>0</v>
      </c>
      <c r="EY562" t="n">
        <v>0</v>
      </c>
      <c r="FQ562" t="n">
        <v>0</v>
      </c>
      <c r="FR562" t="n">
        <v>0</v>
      </c>
      <c r="FS562" t="n">
        <v>0</v>
      </c>
      <c r="FX562" t="n">
        <v>121</v>
      </c>
      <c r="FY562" t="n">
        <v>72</v>
      </c>
      <c r="GA562" t="inlineStr"/>
      <c r="GD562" t="n">
        <v>1</v>
      </c>
      <c r="GF562" t="n">
        <v>635989612</v>
      </c>
      <c r="GG562" t="n">
        <v>2</v>
      </c>
      <c r="GH562" t="n">
        <v>1</v>
      </c>
      <c r="GI562" t="n">
        <v>2</v>
      </c>
      <c r="GJ562" t="n">
        <v>0</v>
      </c>
      <c r="GK562" t="n">
        <v>0</v>
      </c>
      <c r="GL562">
        <f>ROUND(IF(AND(BH562=3,BI562=3,FS562&lt;&gt;0),P562,0),0)</f>
        <v/>
      </c>
      <c r="GM562">
        <f>ROUND(O562+X562+Y562,0)+GX562</f>
        <v/>
      </c>
      <c r="GN562">
        <f>IF(OR(BI562=0,BI562=1),GM562-GX562,0)</f>
        <v/>
      </c>
      <c r="GO562">
        <f>IF(BI562=2,GM562-GX562,0)</f>
        <v/>
      </c>
      <c r="GP562">
        <f>IF(BI562=4,GM562-GX562,0)</f>
        <v/>
      </c>
      <c r="GR562" t="n">
        <v>0</v>
      </c>
      <c r="GS562" t="n">
        <v>3</v>
      </c>
      <c r="GT562" t="n">
        <v>0</v>
      </c>
      <c r="GU562" t="inlineStr"/>
      <c r="GV562">
        <f>ROUND((GT562),2)</f>
        <v/>
      </c>
      <c r="GW562" t="n">
        <v>1</v>
      </c>
      <c r="GX562">
        <f>ROUND(HC562*I562,0)</f>
        <v/>
      </c>
      <c r="HA562" t="n">
        <v>0</v>
      </c>
      <c r="HB562" t="n">
        <v>0</v>
      </c>
      <c r="HC562">
        <f>GV562*GW562</f>
        <v/>
      </c>
      <c r="HE562" t="inlineStr"/>
      <c r="HF562" t="inlineStr"/>
      <c r="HM562" t="inlineStr"/>
      <c r="HN562" t="inlineStr">
        <is>
          <t>Пр/812-016.0-1</t>
        </is>
      </c>
      <c r="HO562" t="inlineStr">
        <is>
          <t>Пр/774-016.0</t>
        </is>
      </c>
      <c r="HP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62" t="n">
        <v>0</v>
      </c>
      <c r="IK562" t="n">
        <v>0</v>
      </c>
    </row>
    <row r="563"/>
    <row r="564">
      <c r="A564" s="402" t="n">
        <v>51</v>
      </c>
      <c r="B564" s="402">
        <f>B554</f>
        <v/>
      </c>
      <c r="C564" s="402">
        <f>A554</f>
        <v/>
      </c>
      <c r="D564" s="402">
        <f>ROW(A554)</f>
        <v/>
      </c>
      <c r="E564" s="402" t="n"/>
      <c r="F564" s="402">
        <f>IF(F554&lt;&gt;"",F554,"")</f>
        <v/>
      </c>
      <c r="G564" s="402">
        <f>IF(G554&lt;&gt;"",G554,"")</f>
        <v/>
      </c>
      <c r="H564" s="402" t="n">
        <v>0</v>
      </c>
      <c r="I564" s="402" t="n"/>
      <c r="J564" s="402" t="n"/>
      <c r="K564" s="402" t="n"/>
      <c r="L564" s="402" t="n"/>
      <c r="M564" s="402" t="n"/>
      <c r="N564" s="402" t="n"/>
      <c r="O564" s="402" t="n">
        <v>0</v>
      </c>
      <c r="P564" s="402" t="n">
        <v>0</v>
      </c>
      <c r="Q564" s="402" t="n">
        <v>0</v>
      </c>
      <c r="R564" s="402" t="n">
        <v>0</v>
      </c>
      <c r="S564" s="402" t="n">
        <v>0</v>
      </c>
      <c r="T564" s="402" t="n">
        <v>0</v>
      </c>
      <c r="U564" s="402" t="n">
        <v>0</v>
      </c>
      <c r="V564" s="402" t="n">
        <v>0</v>
      </c>
      <c r="W564" s="402" t="n">
        <v>0</v>
      </c>
      <c r="X564" s="402" t="n">
        <v>0</v>
      </c>
      <c r="Y564" s="402" t="n">
        <v>0</v>
      </c>
      <c r="Z564" s="402" t="n"/>
      <c r="AA564" s="402" t="n"/>
      <c r="AB564" s="402" t="n"/>
      <c r="AC564" s="402" t="n"/>
      <c r="AD564" s="402" t="n"/>
      <c r="AE564" s="402" t="n"/>
      <c r="AF564" s="402" t="n"/>
      <c r="AG564" s="402" t="n"/>
      <c r="AH564" s="402" t="n"/>
      <c r="AI564" s="402" t="n"/>
      <c r="AJ564" s="402" t="n"/>
      <c r="AK564" s="402" t="n"/>
      <c r="AL564" s="402" t="n"/>
      <c r="AM564" s="402" t="n"/>
      <c r="AN564" s="402" t="n"/>
      <c r="AO564" s="402">
        <f>ROUND(BX564,0)</f>
        <v/>
      </c>
      <c r="AP564" s="402">
        <f>ROUND(BY564,0)</f>
        <v/>
      </c>
      <c r="AQ564" s="402">
        <f>ROUND(BZ564,0)</f>
        <v/>
      </c>
      <c r="AR564" s="402">
        <f>ROUND(CA564,0)</f>
        <v/>
      </c>
      <c r="AS564" s="402">
        <f>ROUND(CB564,0)</f>
        <v/>
      </c>
      <c r="AT564" s="402">
        <f>ROUND(CC564,0)</f>
        <v/>
      </c>
      <c r="AU564" s="402">
        <f>ROUND(CD564,0)</f>
        <v/>
      </c>
      <c r="AV564" s="402">
        <f>ROUND(CE564,0)</f>
        <v/>
      </c>
      <c r="AW564" s="402">
        <f>ROUND(CF564,0)</f>
        <v/>
      </c>
      <c r="AX564" s="402">
        <f>ROUND(CG564,0)</f>
        <v/>
      </c>
      <c r="AY564" s="402">
        <f>ROUND(CH564,0)</f>
        <v/>
      </c>
      <c r="AZ564" s="402">
        <f>ROUND(CI564,0)</f>
        <v/>
      </c>
      <c r="BA564" s="402">
        <f>ROUND(CJ564,0)</f>
        <v/>
      </c>
      <c r="BB564" s="402">
        <f>ROUND(CK564,0)</f>
        <v/>
      </c>
      <c r="BC564" s="402">
        <f>ROUND(CL564,0)</f>
        <v/>
      </c>
      <c r="BD564" s="402">
        <f>ROUND(CM564,0)</f>
        <v/>
      </c>
      <c r="BE564" s="402" t="n"/>
      <c r="BF564" s="402" t="n"/>
      <c r="BG564" s="402" t="n"/>
      <c r="BH564" s="402" t="n"/>
      <c r="BI564" s="402" t="n"/>
      <c r="BJ564" s="402" t="n"/>
      <c r="BK564" s="402" t="n"/>
      <c r="BL564" s="402" t="n"/>
      <c r="BM564" s="402" t="n"/>
      <c r="BN564" s="402" t="n"/>
      <c r="BO564" s="402" t="n"/>
      <c r="BP564" s="402" t="n"/>
      <c r="BQ564" s="402" t="n"/>
      <c r="BR564" s="402" t="n"/>
      <c r="BS564" s="402" t="n"/>
      <c r="BT564" s="402" t="n"/>
      <c r="BU564" s="402" t="n"/>
      <c r="BV564" s="402" t="n"/>
      <c r="BW564" s="402" t="n"/>
      <c r="BX564" s="402" t="n"/>
      <c r="BY564" s="402" t="n"/>
      <c r="BZ564" s="402" t="n"/>
      <c r="CA564" s="402" t="n"/>
      <c r="CB564" s="402" t="n"/>
      <c r="CC564" s="402" t="n"/>
      <c r="CD564" s="402" t="n"/>
      <c r="CE564" s="402" t="n"/>
      <c r="CF564" s="402" t="n"/>
      <c r="CG564" s="402" t="n"/>
      <c r="CH564" s="402" t="n"/>
      <c r="CI564" s="402" t="n"/>
      <c r="CJ564" s="402" t="n"/>
      <c r="CK564" s="402" t="n"/>
      <c r="CL564" s="402" t="n"/>
      <c r="CM564" s="402" t="n"/>
      <c r="CN564" s="402" t="n"/>
      <c r="CO564" s="402" t="n"/>
      <c r="CP564" s="402" t="n"/>
      <c r="CQ564" s="402" t="n"/>
      <c r="CR564" s="402" t="n"/>
      <c r="CS564" s="402" t="n"/>
      <c r="CT564" s="402" t="n"/>
      <c r="CU564" s="402" t="n"/>
      <c r="CV564" s="402" t="n"/>
      <c r="CW564" s="402" t="n"/>
      <c r="CX564" s="402" t="n"/>
      <c r="CY564" s="402" t="n"/>
      <c r="CZ564" s="402" t="n"/>
      <c r="DA564" s="402" t="n"/>
      <c r="DB564" s="402" t="n"/>
      <c r="DC564" s="402" t="n"/>
      <c r="DD564" s="402" t="n"/>
      <c r="DE564" s="402" t="n"/>
      <c r="DF564" s="402" t="n"/>
      <c r="DG564" s="403" t="n"/>
      <c r="DH564" s="403" t="n"/>
      <c r="DI564" s="403" t="n"/>
      <c r="DJ564" s="403" t="n"/>
      <c r="DK564" s="403" t="n"/>
      <c r="DL564" s="403" t="n"/>
      <c r="DM564" s="403" t="n"/>
      <c r="DN564" s="403" t="n"/>
      <c r="DO564" s="403" t="n"/>
      <c r="DP564" s="403" t="n"/>
      <c r="DQ564" s="403" t="n"/>
      <c r="DR564" s="403" t="n"/>
      <c r="DS564" s="403" t="n"/>
      <c r="DT564" s="403" t="n"/>
      <c r="DU564" s="403" t="n"/>
      <c r="DV564" s="403" t="n"/>
      <c r="DW564" s="403" t="n"/>
      <c r="DX564" s="403" t="n"/>
      <c r="DY564" s="403" t="n"/>
      <c r="DZ564" s="403" t="n"/>
      <c r="EA564" s="403" t="n"/>
      <c r="EB564" s="403" t="n"/>
      <c r="EC564" s="403" t="n"/>
      <c r="ED564" s="403" t="n"/>
      <c r="EE564" s="403" t="n"/>
      <c r="EF564" s="403" t="n"/>
      <c r="EG564" s="403" t="n"/>
      <c r="EH564" s="403" t="n"/>
      <c r="EI564" s="403" t="n"/>
      <c r="EJ564" s="403" t="n"/>
      <c r="EK564" s="403" t="n"/>
      <c r="EL564" s="403" t="n"/>
      <c r="EM564" s="403" t="n"/>
      <c r="EN564" s="403" t="n"/>
      <c r="EO564" s="403" t="n"/>
      <c r="EP564" s="403" t="n"/>
      <c r="EQ564" s="403" t="n"/>
      <c r="ER564" s="403" t="n"/>
      <c r="ES564" s="403" t="n"/>
      <c r="ET564" s="403" t="n"/>
      <c r="EU564" s="403" t="n"/>
      <c r="EV564" s="403" t="n"/>
      <c r="EW564" s="403" t="n"/>
      <c r="EX564" s="403" t="n"/>
      <c r="EY564" s="403" t="n"/>
      <c r="EZ564" s="403" t="n"/>
      <c r="FA564" s="403" t="n"/>
      <c r="FB564" s="403" t="n"/>
      <c r="FC564" s="403" t="n"/>
      <c r="FD564" s="403" t="n"/>
      <c r="FE564" s="403" t="n"/>
      <c r="FF564" s="403" t="n"/>
      <c r="FG564" s="403" t="n"/>
      <c r="FH564" s="403" t="n"/>
      <c r="FI564" s="403" t="n"/>
      <c r="FJ564" s="403" t="n"/>
      <c r="FK564" s="403" t="n"/>
      <c r="FL564" s="403" t="n"/>
      <c r="FM564" s="403" t="n"/>
      <c r="FN564" s="403" t="n"/>
      <c r="FO564" s="403" t="n"/>
      <c r="FP564" s="403" t="n"/>
      <c r="FQ564" s="403" t="n"/>
      <c r="FR564" s="403" t="n"/>
      <c r="FS564" s="403" t="n"/>
      <c r="FT564" s="403" t="n"/>
      <c r="FU564" s="403" t="n"/>
      <c r="FV564" s="403" t="n"/>
      <c r="FW564" s="403" t="n"/>
      <c r="FX564" s="403" t="n"/>
      <c r="FY564" s="403" t="n"/>
      <c r="FZ564" s="403" t="n"/>
      <c r="GA564" s="403" t="n"/>
      <c r="GB564" s="403" t="n"/>
      <c r="GC564" s="403" t="n"/>
      <c r="GD564" s="403" t="n"/>
      <c r="GE564" s="403" t="n"/>
      <c r="GF564" s="403" t="n"/>
      <c r="GG564" s="403" t="n"/>
      <c r="GH564" s="403" t="n"/>
      <c r="GI564" s="403" t="n"/>
      <c r="GJ564" s="403" t="n"/>
      <c r="GK564" s="403" t="n"/>
      <c r="GL564" s="403" t="n"/>
      <c r="GM564" s="403" t="n"/>
      <c r="GN564" s="403" t="n"/>
      <c r="GO564" s="403" t="n"/>
      <c r="GP564" s="403" t="n"/>
      <c r="GQ564" s="403" t="n"/>
      <c r="GR564" s="403" t="n"/>
      <c r="GS564" s="403" t="n"/>
      <c r="GT564" s="403" t="n"/>
      <c r="GU564" s="403" t="n"/>
      <c r="GV564" s="403" t="n"/>
      <c r="GW564" s="403" t="n"/>
      <c r="GX564" s="403" t="n">
        <v>0</v>
      </c>
    </row>
    <row r="565"/>
    <row r="566">
      <c r="A566" s="404" t="n">
        <v>50</v>
      </c>
      <c r="B566" s="404" t="n">
        <v>0</v>
      </c>
      <c r="C566" s="404" t="n">
        <v>0</v>
      </c>
      <c r="D566" s="404" t="n">
        <v>1</v>
      </c>
      <c r="E566" s="404" t="n">
        <v>201</v>
      </c>
      <c r="F566" s="404">
        <f>ROUND(Source!O564,O566)</f>
        <v/>
      </c>
      <c r="G566" s="404" t="inlineStr">
        <is>
          <t>ПЗ</t>
        </is>
      </c>
      <c r="H566" s="404" t="inlineStr">
        <is>
          <t>Прямые затраты</t>
        </is>
      </c>
      <c r="I566" s="404" t="n"/>
      <c r="J566" s="404" t="n"/>
      <c r="K566" s="404" t="n">
        <v>201</v>
      </c>
      <c r="L566" s="404" t="n">
        <v>1</v>
      </c>
      <c r="M566" s="404" t="n">
        <v>3</v>
      </c>
      <c r="N566" s="404" t="inlineStr"/>
      <c r="O566" s="404" t="n">
        <v>0</v>
      </c>
      <c r="P566" s="404" t="n"/>
      <c r="Q566" s="404" t="n"/>
      <c r="R566" s="404" t="n"/>
      <c r="S566" s="404" t="n"/>
      <c r="T566" s="404" t="n"/>
      <c r="U566" s="404" t="n"/>
      <c r="V566" s="404" t="n"/>
      <c r="W566" s="404" t="n">
        <v>0</v>
      </c>
      <c r="X566" s="404" t="n">
        <v>1</v>
      </c>
      <c r="Y566" s="404" t="n">
        <v>0</v>
      </c>
      <c r="Z566" s="404" t="n"/>
      <c r="AA566" s="404" t="n"/>
      <c r="AB566" s="404" t="n"/>
    </row>
    <row r="567">
      <c r="A567" s="404" t="n">
        <v>50</v>
      </c>
      <c r="B567" s="404" t="n">
        <v>0</v>
      </c>
      <c r="C567" s="404" t="n">
        <v>0</v>
      </c>
      <c r="D567" s="404" t="n">
        <v>1</v>
      </c>
      <c r="E567" s="404" t="n">
        <v>202</v>
      </c>
      <c r="F567" s="404">
        <f>ROUND(Source!P564,O567)</f>
        <v/>
      </c>
      <c r="G567" s="404" t="inlineStr">
        <is>
          <t>СтМатОб</t>
        </is>
      </c>
      <c r="H567" s="404" t="inlineStr">
        <is>
          <t>Стоимость материальных ресурсов (всего)</t>
        </is>
      </c>
      <c r="I567" s="404" t="n"/>
      <c r="J567" s="404" t="n"/>
      <c r="K567" s="404" t="n">
        <v>202</v>
      </c>
      <c r="L567" s="404" t="n">
        <v>2</v>
      </c>
      <c r="M567" s="404" t="n">
        <v>3</v>
      </c>
      <c r="N567" s="404" t="inlineStr"/>
      <c r="O567" s="404" t="n">
        <v>0</v>
      </c>
      <c r="P567" s="404" t="n"/>
      <c r="Q567" s="404" t="n"/>
      <c r="R567" s="404" t="n"/>
      <c r="S567" s="404" t="n"/>
      <c r="T567" s="404" t="n"/>
      <c r="U567" s="404" t="n"/>
      <c r="V567" s="404" t="n"/>
      <c r="W567" s="404" t="n">
        <v>0</v>
      </c>
      <c r="X567" s="404" t="n">
        <v>1</v>
      </c>
      <c r="Y567" s="404" t="n">
        <v>0</v>
      </c>
      <c r="Z567" s="404" t="n"/>
      <c r="AA567" s="404" t="n"/>
      <c r="AB567" s="404" t="n"/>
    </row>
    <row r="568">
      <c r="A568" s="404" t="n">
        <v>50</v>
      </c>
      <c r="B568" s="404" t="n">
        <v>0</v>
      </c>
      <c r="C568" s="404" t="n">
        <v>0</v>
      </c>
      <c r="D568" s="404" t="n">
        <v>1</v>
      </c>
      <c r="E568" s="404" t="n">
        <v>222</v>
      </c>
      <c r="F568" s="404">
        <f>ROUND(Source!AO564,O568)</f>
        <v/>
      </c>
      <c r="G568" s="404" t="inlineStr">
        <is>
          <t>СтМатОбЗак</t>
        </is>
      </c>
      <c r="H568" s="404" t="inlineStr">
        <is>
          <t>Стоимость материалов и оборудования заказчика</t>
        </is>
      </c>
      <c r="I568" s="404" t="n"/>
      <c r="J568" s="404" t="n"/>
      <c r="K568" s="404" t="n">
        <v>222</v>
      </c>
      <c r="L568" s="404" t="n">
        <v>3</v>
      </c>
      <c r="M568" s="404" t="n">
        <v>3</v>
      </c>
      <c r="N568" s="404" t="inlineStr"/>
      <c r="O568" s="404" t="n">
        <v>0</v>
      </c>
      <c r="P568" s="404" t="n"/>
      <c r="Q568" s="404" t="n"/>
      <c r="R568" s="404" t="n"/>
      <c r="S568" s="404" t="n"/>
      <c r="T568" s="404" t="n"/>
      <c r="U568" s="404" t="n"/>
      <c r="V568" s="404" t="n"/>
      <c r="W568" s="404" t="n">
        <v>0</v>
      </c>
      <c r="X568" s="404" t="n">
        <v>1</v>
      </c>
      <c r="Y568" s="404" t="n">
        <v>0</v>
      </c>
      <c r="Z568" s="404" t="n"/>
      <c r="AA568" s="404" t="n"/>
      <c r="AB568" s="404" t="n"/>
    </row>
    <row r="569">
      <c r="A569" s="404" t="n">
        <v>50</v>
      </c>
      <c r="B569" s="404" t="n">
        <v>0</v>
      </c>
      <c r="C569" s="404" t="n">
        <v>0</v>
      </c>
      <c r="D569" s="404" t="n">
        <v>1</v>
      </c>
      <c r="E569" s="404" t="n">
        <v>225</v>
      </c>
      <c r="F569" s="404">
        <f>ROUND(Source!AV564,O569)</f>
        <v/>
      </c>
      <c r="G569" s="404" t="inlineStr">
        <is>
          <t>СтМатОбПод</t>
        </is>
      </c>
      <c r="H569" s="404" t="inlineStr">
        <is>
          <t>Стоимость материалов и оборудования подрядчика</t>
        </is>
      </c>
      <c r="I569" s="404" t="n"/>
      <c r="J569" s="404" t="n"/>
      <c r="K569" s="404" t="n">
        <v>225</v>
      </c>
      <c r="L569" s="404" t="n">
        <v>4</v>
      </c>
      <c r="M569" s="404" t="n">
        <v>3</v>
      </c>
      <c r="N569" s="404" t="inlineStr"/>
      <c r="O569" s="404" t="n">
        <v>0</v>
      </c>
      <c r="P569" s="404" t="n"/>
      <c r="Q569" s="404" t="n"/>
      <c r="R569" s="404" t="n"/>
      <c r="S569" s="404" t="n"/>
      <c r="T569" s="404" t="n"/>
      <c r="U569" s="404" t="n"/>
      <c r="V569" s="404" t="n"/>
      <c r="W569" s="404" t="n">
        <v>0</v>
      </c>
      <c r="X569" s="404" t="n">
        <v>1</v>
      </c>
      <c r="Y569" s="404" t="n">
        <v>0</v>
      </c>
      <c r="Z569" s="404" t="n"/>
      <c r="AA569" s="404" t="n"/>
      <c r="AB569" s="404" t="n"/>
    </row>
    <row r="570">
      <c r="A570" s="404" t="n">
        <v>50</v>
      </c>
      <c r="B570" s="404" t="n">
        <v>0</v>
      </c>
      <c r="C570" s="404" t="n">
        <v>0</v>
      </c>
      <c r="D570" s="404" t="n">
        <v>1</v>
      </c>
      <c r="E570" s="404" t="n">
        <v>226</v>
      </c>
      <c r="F570" s="404">
        <f>ROUND(Source!AW564,O570)</f>
        <v/>
      </c>
      <c r="G570" s="404" t="inlineStr">
        <is>
          <t>СтМат</t>
        </is>
      </c>
      <c r="H570" s="404" t="inlineStr">
        <is>
          <t>Стоимость материалов (всего)</t>
        </is>
      </c>
      <c r="I570" s="404" t="n"/>
      <c r="J570" s="404" t="n"/>
      <c r="K570" s="404" t="n">
        <v>226</v>
      </c>
      <c r="L570" s="404" t="n">
        <v>5</v>
      </c>
      <c r="M570" s="404" t="n">
        <v>3</v>
      </c>
      <c r="N570" s="404" t="inlineStr"/>
      <c r="O570" s="404" t="n">
        <v>0</v>
      </c>
      <c r="P570" s="404" t="n"/>
      <c r="Q570" s="404" t="n"/>
      <c r="R570" s="404" t="n"/>
      <c r="S570" s="404" t="n"/>
      <c r="T570" s="404" t="n"/>
      <c r="U570" s="404" t="n"/>
      <c r="V570" s="404" t="n"/>
      <c r="W570" s="404" t="n">
        <v>0</v>
      </c>
      <c r="X570" s="404" t="n">
        <v>1</v>
      </c>
      <c r="Y570" s="404" t="n">
        <v>0</v>
      </c>
      <c r="Z570" s="404" t="n"/>
      <c r="AA570" s="404" t="n"/>
      <c r="AB570" s="404" t="n"/>
    </row>
    <row r="571">
      <c r="A571" s="404" t="n">
        <v>50</v>
      </c>
      <c r="B571" s="404" t="n">
        <v>0</v>
      </c>
      <c r="C571" s="404" t="n">
        <v>0</v>
      </c>
      <c r="D571" s="404" t="n">
        <v>1</v>
      </c>
      <c r="E571" s="404" t="n">
        <v>227</v>
      </c>
      <c r="F571" s="404">
        <f>ROUND(Source!AX564,O571)</f>
        <v/>
      </c>
      <c r="G571" s="404" t="inlineStr">
        <is>
          <t>СтМатЗак</t>
        </is>
      </c>
      <c r="H571" s="404" t="inlineStr">
        <is>
          <t>Стоимость материалов заказчика</t>
        </is>
      </c>
      <c r="I571" s="404" t="n"/>
      <c r="J571" s="404" t="n"/>
      <c r="K571" s="404" t="n">
        <v>227</v>
      </c>
      <c r="L571" s="404" t="n">
        <v>6</v>
      </c>
      <c r="M571" s="404" t="n">
        <v>3</v>
      </c>
      <c r="N571" s="404" t="inlineStr"/>
      <c r="O571" s="404" t="n">
        <v>0</v>
      </c>
      <c r="P571" s="404" t="n"/>
      <c r="Q571" s="404" t="n"/>
      <c r="R571" s="404" t="n"/>
      <c r="S571" s="404" t="n"/>
      <c r="T571" s="404" t="n"/>
      <c r="U571" s="404" t="n"/>
      <c r="V571" s="404" t="n"/>
      <c r="W571" s="404" t="n">
        <v>0</v>
      </c>
      <c r="X571" s="404" t="n">
        <v>1</v>
      </c>
      <c r="Y571" s="404" t="n">
        <v>0</v>
      </c>
      <c r="Z571" s="404" t="n"/>
      <c r="AA571" s="404" t="n"/>
      <c r="AB571" s="404" t="n"/>
    </row>
    <row r="572">
      <c r="A572" s="404" t="n">
        <v>50</v>
      </c>
      <c r="B572" s="404" t="n">
        <v>0</v>
      </c>
      <c r="C572" s="404" t="n">
        <v>0</v>
      </c>
      <c r="D572" s="404" t="n">
        <v>1</v>
      </c>
      <c r="E572" s="404" t="n">
        <v>228</v>
      </c>
      <c r="F572" s="404">
        <f>ROUND(Source!AY564,O572)</f>
        <v/>
      </c>
      <c r="G572" s="404" t="inlineStr">
        <is>
          <t>СтМатПод</t>
        </is>
      </c>
      <c r="H572" s="404" t="inlineStr">
        <is>
          <t>Стоимость материалов подрядчика</t>
        </is>
      </c>
      <c r="I572" s="404" t="n"/>
      <c r="J572" s="404" t="n"/>
      <c r="K572" s="404" t="n">
        <v>228</v>
      </c>
      <c r="L572" s="404" t="n">
        <v>7</v>
      </c>
      <c r="M572" s="404" t="n">
        <v>3</v>
      </c>
      <c r="N572" s="404" t="inlineStr"/>
      <c r="O572" s="404" t="n">
        <v>0</v>
      </c>
      <c r="P572" s="404" t="n"/>
      <c r="Q572" s="404" t="n"/>
      <c r="R572" s="404" t="n"/>
      <c r="S572" s="404" t="n"/>
      <c r="T572" s="404" t="n"/>
      <c r="U572" s="404" t="n"/>
      <c r="V572" s="404" t="n"/>
      <c r="W572" s="404" t="n">
        <v>0</v>
      </c>
      <c r="X572" s="404" t="n">
        <v>1</v>
      </c>
      <c r="Y572" s="404" t="n">
        <v>0</v>
      </c>
      <c r="Z572" s="404" t="n"/>
      <c r="AA572" s="404" t="n"/>
      <c r="AB572" s="404" t="n"/>
    </row>
    <row r="573">
      <c r="A573" s="404" t="n">
        <v>50</v>
      </c>
      <c r="B573" s="404" t="n">
        <v>0</v>
      </c>
      <c r="C573" s="404" t="n">
        <v>0</v>
      </c>
      <c r="D573" s="404" t="n">
        <v>1</v>
      </c>
      <c r="E573" s="404" t="n">
        <v>216</v>
      </c>
      <c r="F573" s="404">
        <f>ROUND(Source!AP564,O573)</f>
        <v/>
      </c>
      <c r="G573" s="404" t="inlineStr">
        <is>
          <t>Оборуд</t>
        </is>
      </c>
      <c r="H573" s="404" t="inlineStr">
        <is>
          <t>Стоимость оборудования (всего)</t>
        </is>
      </c>
      <c r="I573" s="404" t="n"/>
      <c r="J573" s="404" t="n"/>
      <c r="K573" s="404" t="n">
        <v>216</v>
      </c>
      <c r="L573" s="404" t="n">
        <v>8</v>
      </c>
      <c r="M573" s="404" t="n">
        <v>3</v>
      </c>
      <c r="N573" s="404" t="inlineStr"/>
      <c r="O573" s="404" t="n">
        <v>0</v>
      </c>
      <c r="P573" s="404" t="n"/>
      <c r="Q573" s="404" t="n"/>
      <c r="R573" s="404" t="n"/>
      <c r="S573" s="404" t="n"/>
      <c r="T573" s="404" t="n"/>
      <c r="U573" s="404" t="n"/>
      <c r="V573" s="404" t="n"/>
      <c r="W573" s="404" t="n">
        <v>0</v>
      </c>
      <c r="X573" s="404" t="n">
        <v>1</v>
      </c>
      <c r="Y573" s="404" t="n">
        <v>0</v>
      </c>
      <c r="Z573" s="404" t="n"/>
      <c r="AA573" s="404" t="n"/>
      <c r="AB573" s="404" t="n"/>
    </row>
    <row r="574">
      <c r="A574" s="404" t="n">
        <v>50</v>
      </c>
      <c r="B574" s="404" t="n">
        <v>0</v>
      </c>
      <c r="C574" s="404" t="n">
        <v>0</v>
      </c>
      <c r="D574" s="404" t="n">
        <v>1</v>
      </c>
      <c r="E574" s="404" t="n">
        <v>223</v>
      </c>
      <c r="F574" s="404">
        <f>ROUND(Source!AQ564,O574)</f>
        <v/>
      </c>
      <c r="G574" s="404" t="inlineStr">
        <is>
          <t>ОборудЗак</t>
        </is>
      </c>
      <c r="H574" s="404" t="inlineStr">
        <is>
          <t>Стоимость оборудования заказчика</t>
        </is>
      </c>
      <c r="I574" s="404" t="n"/>
      <c r="J574" s="404" t="n"/>
      <c r="K574" s="404" t="n">
        <v>223</v>
      </c>
      <c r="L574" s="404" t="n">
        <v>9</v>
      </c>
      <c r="M574" s="404" t="n">
        <v>3</v>
      </c>
      <c r="N574" s="404" t="inlineStr"/>
      <c r="O574" s="404" t="n">
        <v>0</v>
      </c>
      <c r="P574" s="404" t="n"/>
      <c r="Q574" s="404" t="n"/>
      <c r="R574" s="404" t="n"/>
      <c r="S574" s="404" t="n"/>
      <c r="T574" s="404" t="n"/>
      <c r="U574" s="404" t="n"/>
      <c r="V574" s="404" t="n"/>
      <c r="W574" s="404" t="n">
        <v>0</v>
      </c>
      <c r="X574" s="404" t="n">
        <v>1</v>
      </c>
      <c r="Y574" s="404" t="n">
        <v>0</v>
      </c>
      <c r="Z574" s="404" t="n"/>
      <c r="AA574" s="404" t="n"/>
      <c r="AB574" s="404" t="n"/>
    </row>
    <row r="575">
      <c r="A575" s="404" t="n">
        <v>50</v>
      </c>
      <c r="B575" s="404" t="n">
        <v>0</v>
      </c>
      <c r="C575" s="404" t="n">
        <v>0</v>
      </c>
      <c r="D575" s="404" t="n">
        <v>1</v>
      </c>
      <c r="E575" s="404" t="n">
        <v>229</v>
      </c>
      <c r="F575" s="404">
        <f>ROUND(Source!AZ564,O575)</f>
        <v/>
      </c>
      <c r="G575" s="404" t="inlineStr">
        <is>
          <t>ОборудПод</t>
        </is>
      </c>
      <c r="H575" s="404" t="inlineStr">
        <is>
          <t>Стоимость оборудования подрядчика</t>
        </is>
      </c>
      <c r="I575" s="404" t="n"/>
      <c r="J575" s="404" t="n"/>
      <c r="K575" s="404" t="n">
        <v>229</v>
      </c>
      <c r="L575" s="404" t="n">
        <v>10</v>
      </c>
      <c r="M575" s="404" t="n">
        <v>3</v>
      </c>
      <c r="N575" s="404" t="inlineStr"/>
      <c r="O575" s="404" t="n">
        <v>0</v>
      </c>
      <c r="P575" s="404" t="n"/>
      <c r="Q575" s="404" t="n"/>
      <c r="R575" s="404" t="n"/>
      <c r="S575" s="404" t="n"/>
      <c r="T575" s="404" t="n"/>
      <c r="U575" s="404" t="n"/>
      <c r="V575" s="404" t="n"/>
      <c r="W575" s="404" t="n">
        <v>0</v>
      </c>
      <c r="X575" s="404" t="n">
        <v>1</v>
      </c>
      <c r="Y575" s="404" t="n">
        <v>0</v>
      </c>
      <c r="Z575" s="404" t="n"/>
      <c r="AA575" s="404" t="n"/>
      <c r="AB575" s="404" t="n"/>
    </row>
    <row r="576">
      <c r="A576" s="404" t="n">
        <v>50</v>
      </c>
      <c r="B576" s="404" t="n">
        <v>0</v>
      </c>
      <c r="C576" s="404" t="n">
        <v>0</v>
      </c>
      <c r="D576" s="404" t="n">
        <v>1</v>
      </c>
      <c r="E576" s="404" t="n">
        <v>203</v>
      </c>
      <c r="F576" s="404">
        <f>ROUND(Source!Q564,O576)</f>
        <v/>
      </c>
      <c r="G576" s="404" t="inlineStr">
        <is>
          <t>ЭММ</t>
        </is>
      </c>
      <c r="H576" s="404" t="inlineStr">
        <is>
          <t>Эксплуатация машин</t>
        </is>
      </c>
      <c r="I576" s="404" t="n"/>
      <c r="J576" s="404" t="n"/>
      <c r="K576" s="404" t="n">
        <v>203</v>
      </c>
      <c r="L576" s="404" t="n">
        <v>11</v>
      </c>
      <c r="M576" s="404" t="n">
        <v>3</v>
      </c>
      <c r="N576" s="404" t="inlineStr"/>
      <c r="O576" s="404" t="n">
        <v>0</v>
      </c>
      <c r="P576" s="404" t="n"/>
      <c r="Q576" s="404" t="n"/>
      <c r="R576" s="404" t="n"/>
      <c r="S576" s="404" t="n"/>
      <c r="T576" s="404" t="n"/>
      <c r="U576" s="404" t="n"/>
      <c r="V576" s="404" t="n"/>
      <c r="W576" s="404" t="n">
        <v>0</v>
      </c>
      <c r="X576" s="404" t="n">
        <v>1</v>
      </c>
      <c r="Y576" s="404" t="n">
        <v>0</v>
      </c>
      <c r="Z576" s="404" t="n"/>
      <c r="AA576" s="404" t="n"/>
      <c r="AB576" s="404" t="n"/>
    </row>
    <row r="577">
      <c r="A577" s="404" t="n">
        <v>50</v>
      </c>
      <c r="B577" s="404" t="n">
        <v>0</v>
      </c>
      <c r="C577" s="404" t="n">
        <v>0</v>
      </c>
      <c r="D577" s="404" t="n">
        <v>1</v>
      </c>
      <c r="E577" s="404" t="n">
        <v>231</v>
      </c>
      <c r="F577" s="404">
        <f>ROUND(Source!BB564,O577)</f>
        <v/>
      </c>
      <c r="G577" s="404" t="inlineStr">
        <is>
          <t>ЭММсНРиСП</t>
        </is>
      </c>
      <c r="H577" s="404" t="inlineStr">
        <is>
          <t>Эксплуатация машин по ТСН-2001.16</t>
        </is>
      </c>
      <c r="I577" s="404" t="n"/>
      <c r="J577" s="404" t="n"/>
      <c r="K577" s="404" t="n">
        <v>231</v>
      </c>
      <c r="L577" s="404" t="n">
        <v>12</v>
      </c>
      <c r="M577" s="404" t="n">
        <v>3</v>
      </c>
      <c r="N577" s="404" t="inlineStr"/>
      <c r="O577" s="404" t="n">
        <v>0</v>
      </c>
      <c r="P577" s="404" t="n"/>
      <c r="Q577" s="404" t="n"/>
      <c r="R577" s="404" t="n"/>
      <c r="S577" s="404" t="n"/>
      <c r="T577" s="404" t="n"/>
      <c r="U577" s="404" t="n"/>
      <c r="V577" s="404" t="n"/>
      <c r="W577" s="404" t="n">
        <v>0</v>
      </c>
      <c r="X577" s="404" t="n">
        <v>1</v>
      </c>
      <c r="Y577" s="404" t="n">
        <v>0</v>
      </c>
      <c r="Z577" s="404" t="n"/>
      <c r="AA577" s="404" t="n"/>
      <c r="AB577" s="404" t="n"/>
    </row>
    <row r="578">
      <c r="A578" s="404" t="n">
        <v>50</v>
      </c>
      <c r="B578" s="404" t="n">
        <v>0</v>
      </c>
      <c r="C578" s="404" t="n">
        <v>0</v>
      </c>
      <c r="D578" s="404" t="n">
        <v>1</v>
      </c>
      <c r="E578" s="404" t="n">
        <v>204</v>
      </c>
      <c r="F578" s="404">
        <f>ROUND(Source!R564,O578)</f>
        <v/>
      </c>
      <c r="G578" s="404" t="inlineStr">
        <is>
          <t>ЗПМ</t>
        </is>
      </c>
      <c r="H578" s="404" t="inlineStr">
        <is>
          <t>ЗП машинистов</t>
        </is>
      </c>
      <c r="I578" s="404" t="n"/>
      <c r="J578" s="404" t="n"/>
      <c r="K578" s="404" t="n">
        <v>204</v>
      </c>
      <c r="L578" s="404" t="n">
        <v>13</v>
      </c>
      <c r="M578" s="404" t="n">
        <v>3</v>
      </c>
      <c r="N578" s="404" t="inlineStr"/>
      <c r="O578" s="404" t="n">
        <v>0</v>
      </c>
      <c r="P578" s="404" t="n"/>
      <c r="Q578" s="404" t="n"/>
      <c r="R578" s="404" t="n"/>
      <c r="S578" s="404" t="n"/>
      <c r="T578" s="404" t="n"/>
      <c r="U578" s="404" t="n"/>
      <c r="V578" s="404" t="n"/>
      <c r="W578" s="404" t="n">
        <v>0</v>
      </c>
      <c r="X578" s="404" t="n">
        <v>1</v>
      </c>
      <c r="Y578" s="404" t="n">
        <v>0</v>
      </c>
      <c r="Z578" s="404" t="n"/>
      <c r="AA578" s="404" t="n"/>
      <c r="AB578" s="404" t="n"/>
    </row>
    <row r="579">
      <c r="A579" s="404" t="n">
        <v>50</v>
      </c>
      <c r="B579" s="404" t="n">
        <v>0</v>
      </c>
      <c r="C579" s="404" t="n">
        <v>0</v>
      </c>
      <c r="D579" s="404" t="n">
        <v>1</v>
      </c>
      <c r="E579" s="404" t="n">
        <v>205</v>
      </c>
      <c r="F579" s="404">
        <f>ROUND(Source!S564,O579)</f>
        <v/>
      </c>
      <c r="G579" s="404" t="inlineStr">
        <is>
          <t>ОЗП</t>
        </is>
      </c>
      <c r="H579" s="404" t="inlineStr">
        <is>
          <t>Основная ЗП рабочих</t>
        </is>
      </c>
      <c r="I579" s="404" t="n"/>
      <c r="J579" s="404" t="n"/>
      <c r="K579" s="404" t="n">
        <v>205</v>
      </c>
      <c r="L579" s="404" t="n">
        <v>14</v>
      </c>
      <c r="M579" s="404" t="n">
        <v>3</v>
      </c>
      <c r="N579" s="404" t="inlineStr"/>
      <c r="O579" s="404" t="n">
        <v>0</v>
      </c>
      <c r="P579" s="404" t="n"/>
      <c r="Q579" s="404" t="n"/>
      <c r="R579" s="404" t="n"/>
      <c r="S579" s="404" t="n"/>
      <c r="T579" s="404" t="n"/>
      <c r="U579" s="404" t="n"/>
      <c r="V579" s="404" t="n"/>
      <c r="W579" s="404" t="n">
        <v>0</v>
      </c>
      <c r="X579" s="404" t="n">
        <v>1</v>
      </c>
      <c r="Y579" s="404" t="n">
        <v>0</v>
      </c>
      <c r="Z579" s="404" t="n"/>
      <c r="AA579" s="404" t="n"/>
      <c r="AB579" s="404" t="n"/>
    </row>
    <row r="580">
      <c r="A580" s="404" t="n">
        <v>50</v>
      </c>
      <c r="B580" s="404" t="n">
        <v>0</v>
      </c>
      <c r="C580" s="404" t="n">
        <v>0</v>
      </c>
      <c r="D580" s="404" t="n">
        <v>1</v>
      </c>
      <c r="E580" s="404" t="n">
        <v>232</v>
      </c>
      <c r="F580" s="404">
        <f>ROUND(Source!BC564,O580)</f>
        <v/>
      </c>
      <c r="G580" s="404" t="inlineStr">
        <is>
          <t>ОЗПсНРиСП</t>
        </is>
      </c>
      <c r="H580" s="404" t="inlineStr">
        <is>
          <t>Основная ЗП рабочих по ТСН-2001.16</t>
        </is>
      </c>
      <c r="I580" s="404" t="n"/>
      <c r="J580" s="404" t="n"/>
      <c r="K580" s="404" t="n">
        <v>232</v>
      </c>
      <c r="L580" s="404" t="n">
        <v>15</v>
      </c>
      <c r="M580" s="404" t="n">
        <v>3</v>
      </c>
      <c r="N580" s="404" t="inlineStr"/>
      <c r="O580" s="404" t="n">
        <v>0</v>
      </c>
      <c r="P580" s="404" t="n"/>
      <c r="Q580" s="404" t="n"/>
      <c r="R580" s="404" t="n"/>
      <c r="S580" s="404" t="n"/>
      <c r="T580" s="404" t="n"/>
      <c r="U580" s="404" t="n"/>
      <c r="V580" s="404" t="n"/>
      <c r="W580" s="404" t="n">
        <v>0</v>
      </c>
      <c r="X580" s="404" t="n">
        <v>1</v>
      </c>
      <c r="Y580" s="404" t="n">
        <v>0</v>
      </c>
      <c r="Z580" s="404" t="n"/>
      <c r="AA580" s="404" t="n"/>
      <c r="AB580" s="404" t="n"/>
    </row>
    <row r="581">
      <c r="A581" s="404" t="n">
        <v>50</v>
      </c>
      <c r="B581" s="404" t="n">
        <v>0</v>
      </c>
      <c r="C581" s="404" t="n">
        <v>0</v>
      </c>
      <c r="D581" s="404" t="n">
        <v>1</v>
      </c>
      <c r="E581" s="404" t="n">
        <v>214</v>
      </c>
      <c r="F581" s="404">
        <f>ROUND(Source!AS564,O581)</f>
        <v/>
      </c>
      <c r="G581" s="404" t="inlineStr">
        <is>
          <t>Строит</t>
        </is>
      </c>
      <c r="H581" s="404" t="inlineStr">
        <is>
          <t>Строительные работы с НР и СП</t>
        </is>
      </c>
      <c r="I581" s="404" t="n"/>
      <c r="J581" s="404" t="n"/>
      <c r="K581" s="404" t="n">
        <v>214</v>
      </c>
      <c r="L581" s="404" t="n">
        <v>16</v>
      </c>
      <c r="M581" s="404" t="n">
        <v>3</v>
      </c>
      <c r="N581" s="404" t="inlineStr"/>
      <c r="O581" s="404" t="n">
        <v>0</v>
      </c>
      <c r="P581" s="404" t="n"/>
      <c r="Q581" s="404" t="n"/>
      <c r="R581" s="404" t="n"/>
      <c r="S581" s="404" t="n"/>
      <c r="T581" s="404" t="n"/>
      <c r="U581" s="404" t="n"/>
      <c r="V581" s="404" t="n"/>
      <c r="W581" s="404" t="n">
        <v>0</v>
      </c>
      <c r="X581" s="404" t="n">
        <v>1</v>
      </c>
      <c r="Y581" s="404" t="n">
        <v>0</v>
      </c>
      <c r="Z581" s="404" t="n"/>
      <c r="AA581" s="404" t="n"/>
      <c r="AB581" s="404" t="n"/>
    </row>
    <row r="582">
      <c r="A582" s="404" t="n">
        <v>50</v>
      </c>
      <c r="B582" s="404" t="n">
        <v>0</v>
      </c>
      <c r="C582" s="404" t="n">
        <v>0</v>
      </c>
      <c r="D582" s="404" t="n">
        <v>1</v>
      </c>
      <c r="E582" s="404" t="n">
        <v>215</v>
      </c>
      <c r="F582" s="404">
        <f>ROUND(Source!AT564,O582)</f>
        <v/>
      </c>
      <c r="G582" s="404" t="inlineStr">
        <is>
          <t>Монтаж</t>
        </is>
      </c>
      <c r="H582" s="404" t="inlineStr">
        <is>
          <t>Монтажные работы с НР и СП</t>
        </is>
      </c>
      <c r="I582" s="404" t="n"/>
      <c r="J582" s="404" t="n"/>
      <c r="K582" s="404" t="n">
        <v>215</v>
      </c>
      <c r="L582" s="404" t="n">
        <v>17</v>
      </c>
      <c r="M582" s="404" t="n">
        <v>3</v>
      </c>
      <c r="N582" s="404" t="inlineStr"/>
      <c r="O582" s="404" t="n">
        <v>0</v>
      </c>
      <c r="P582" s="404" t="n"/>
      <c r="Q582" s="404" t="n"/>
      <c r="R582" s="404" t="n"/>
      <c r="S582" s="404" t="n"/>
      <c r="T582" s="404" t="n"/>
      <c r="U582" s="404" t="n"/>
      <c r="V582" s="404" t="n"/>
      <c r="W582" s="404" t="n">
        <v>0</v>
      </c>
      <c r="X582" s="404" t="n">
        <v>1</v>
      </c>
      <c r="Y582" s="404" t="n">
        <v>0</v>
      </c>
      <c r="Z582" s="404" t="n"/>
      <c r="AA582" s="404" t="n"/>
      <c r="AB582" s="404" t="n"/>
    </row>
    <row r="583">
      <c r="A583" s="404" t="n">
        <v>50</v>
      </c>
      <c r="B583" s="404" t="n">
        <v>0</v>
      </c>
      <c r="C583" s="404" t="n">
        <v>0</v>
      </c>
      <c r="D583" s="404" t="n">
        <v>1</v>
      </c>
      <c r="E583" s="404" t="n">
        <v>217</v>
      </c>
      <c r="F583" s="404">
        <f>ROUND(Source!AU564,O583)</f>
        <v/>
      </c>
      <c r="G583" s="404" t="inlineStr">
        <is>
          <t>Прочие</t>
        </is>
      </c>
      <c r="H583" s="404" t="inlineStr">
        <is>
          <t>Прочие работы с НР и СП</t>
        </is>
      </c>
      <c r="I583" s="404" t="n"/>
      <c r="J583" s="404" t="n"/>
      <c r="K583" s="404" t="n">
        <v>217</v>
      </c>
      <c r="L583" s="404" t="n">
        <v>18</v>
      </c>
      <c r="M583" s="404" t="n">
        <v>3</v>
      </c>
      <c r="N583" s="404" t="inlineStr"/>
      <c r="O583" s="404" t="n">
        <v>0</v>
      </c>
      <c r="P583" s="404" t="n"/>
      <c r="Q583" s="404" t="n"/>
      <c r="R583" s="404" t="n"/>
      <c r="S583" s="404" t="n"/>
      <c r="T583" s="404" t="n"/>
      <c r="U583" s="404" t="n"/>
      <c r="V583" s="404" t="n"/>
      <c r="W583" s="404" t="n">
        <v>0</v>
      </c>
      <c r="X583" s="404" t="n">
        <v>1</v>
      </c>
      <c r="Y583" s="404" t="n">
        <v>0</v>
      </c>
      <c r="Z583" s="404" t="n"/>
      <c r="AA583" s="404" t="n"/>
      <c r="AB583" s="404" t="n"/>
    </row>
    <row r="584">
      <c r="A584" s="404" t="n">
        <v>50</v>
      </c>
      <c r="B584" s="404" t="n">
        <v>0</v>
      </c>
      <c r="C584" s="404" t="n">
        <v>0</v>
      </c>
      <c r="D584" s="404" t="n">
        <v>1</v>
      </c>
      <c r="E584" s="404" t="n">
        <v>230</v>
      </c>
      <c r="F584" s="404">
        <f>ROUND(Source!BA564,O584)</f>
        <v/>
      </c>
      <c r="G584" s="404" t="inlineStr">
        <is>
          <t>ПрочиеЗатр</t>
        </is>
      </c>
      <c r="H584" s="404" t="inlineStr">
        <is>
          <t>Прочие затраты по ТСН-2001.16</t>
        </is>
      </c>
      <c r="I584" s="404" t="n"/>
      <c r="J584" s="404" t="n"/>
      <c r="K584" s="404" t="n">
        <v>230</v>
      </c>
      <c r="L584" s="404" t="n">
        <v>19</v>
      </c>
      <c r="M584" s="404" t="n">
        <v>3</v>
      </c>
      <c r="N584" s="404" t="inlineStr"/>
      <c r="O584" s="404" t="n">
        <v>0</v>
      </c>
      <c r="P584" s="404" t="n"/>
      <c r="Q584" s="404" t="n"/>
      <c r="R584" s="404" t="n"/>
      <c r="S584" s="404" t="n"/>
      <c r="T584" s="404" t="n"/>
      <c r="U584" s="404" t="n"/>
      <c r="V584" s="404" t="n"/>
      <c r="W584" s="404" t="n">
        <v>0</v>
      </c>
      <c r="X584" s="404" t="n">
        <v>1</v>
      </c>
      <c r="Y584" s="404" t="n">
        <v>0</v>
      </c>
      <c r="Z584" s="404" t="n"/>
      <c r="AA584" s="404" t="n"/>
      <c r="AB584" s="404" t="n"/>
    </row>
    <row r="585">
      <c r="A585" s="404" t="n">
        <v>50</v>
      </c>
      <c r="B585" s="404" t="n">
        <v>0</v>
      </c>
      <c r="C585" s="404" t="n">
        <v>0</v>
      </c>
      <c r="D585" s="404" t="n">
        <v>1</v>
      </c>
      <c r="E585" s="404" t="n">
        <v>206</v>
      </c>
      <c r="F585" s="404">
        <f>ROUND(Source!T564,O585)</f>
        <v/>
      </c>
      <c r="G585" s="404" t="inlineStr">
        <is>
          <t>ВозврМат</t>
        </is>
      </c>
      <c r="H585" s="404" t="inlineStr">
        <is>
          <t>Возврат материалов</t>
        </is>
      </c>
      <c r="I585" s="404" t="n"/>
      <c r="J585" s="404" t="n"/>
      <c r="K585" s="404" t="n">
        <v>206</v>
      </c>
      <c r="L585" s="404" t="n">
        <v>20</v>
      </c>
      <c r="M585" s="404" t="n">
        <v>3</v>
      </c>
      <c r="N585" s="404" t="inlineStr"/>
      <c r="O585" s="404" t="n">
        <v>0</v>
      </c>
      <c r="P585" s="404" t="n"/>
      <c r="Q585" s="404" t="n"/>
      <c r="R585" s="404" t="n"/>
      <c r="S585" s="404" t="n"/>
      <c r="T585" s="404" t="n"/>
      <c r="U585" s="404" t="n"/>
      <c r="V585" s="404" t="n"/>
      <c r="W585" s="404" t="n">
        <v>0</v>
      </c>
      <c r="X585" s="404" t="n">
        <v>1</v>
      </c>
      <c r="Y585" s="404" t="n">
        <v>0</v>
      </c>
      <c r="Z585" s="404" t="n"/>
      <c r="AA585" s="404" t="n"/>
      <c r="AB585" s="404" t="n"/>
    </row>
    <row r="586">
      <c r="A586" s="404" t="n">
        <v>50</v>
      </c>
      <c r="B586" s="404" t="n">
        <v>0</v>
      </c>
      <c r="C586" s="404" t="n">
        <v>0</v>
      </c>
      <c r="D586" s="404" t="n">
        <v>1</v>
      </c>
      <c r="E586" s="404" t="n">
        <v>207</v>
      </c>
      <c r="F586" s="404">
        <f>ROUND(Source!U564,O586)</f>
        <v/>
      </c>
      <c r="G586" s="404" t="inlineStr">
        <is>
          <t>ТрудСтр</t>
        </is>
      </c>
      <c r="H586" s="404" t="inlineStr">
        <is>
          <t>Трудозатраты строителей</t>
        </is>
      </c>
      <c r="I586" s="404" t="n"/>
      <c r="J586" s="404" t="n"/>
      <c r="K586" s="404" t="n">
        <v>207</v>
      </c>
      <c r="L586" s="404" t="n">
        <v>21</v>
      </c>
      <c r="M586" s="404" t="n">
        <v>3</v>
      </c>
      <c r="N586" s="404" t="inlineStr"/>
      <c r="O586" s="404" t="n">
        <v>7</v>
      </c>
      <c r="P586" s="404" t="n"/>
      <c r="Q586" s="404" t="n"/>
      <c r="R586" s="404" t="n"/>
      <c r="S586" s="404" t="n"/>
      <c r="T586" s="404" t="n"/>
      <c r="U586" s="404" t="n"/>
      <c r="V586" s="404" t="n"/>
      <c r="W586" s="404" t="n">
        <v>0</v>
      </c>
      <c r="X586" s="404" t="n">
        <v>1</v>
      </c>
      <c r="Y586" s="404" t="n">
        <v>0</v>
      </c>
      <c r="Z586" s="404" t="n"/>
      <c r="AA586" s="404" t="n"/>
      <c r="AB586" s="404" t="n"/>
    </row>
    <row r="587">
      <c r="A587" s="404" t="n">
        <v>50</v>
      </c>
      <c r="B587" s="404" t="n">
        <v>0</v>
      </c>
      <c r="C587" s="404" t="n">
        <v>0</v>
      </c>
      <c r="D587" s="404" t="n">
        <v>1</v>
      </c>
      <c r="E587" s="404" t="n">
        <v>208</v>
      </c>
      <c r="F587" s="404">
        <f>ROUND(Source!V564,O587)</f>
        <v/>
      </c>
      <c r="G587" s="404" t="inlineStr">
        <is>
          <t>ТрудМаш</t>
        </is>
      </c>
      <c r="H587" s="404" t="inlineStr">
        <is>
          <t>Трудозатраты машинистов</t>
        </is>
      </c>
      <c r="I587" s="404" t="n"/>
      <c r="J587" s="404" t="n"/>
      <c r="K587" s="404" t="n">
        <v>208</v>
      </c>
      <c r="L587" s="404" t="n">
        <v>22</v>
      </c>
      <c r="M587" s="404" t="n">
        <v>3</v>
      </c>
      <c r="N587" s="404" t="inlineStr"/>
      <c r="O587" s="404" t="n">
        <v>7</v>
      </c>
      <c r="P587" s="404" t="n"/>
      <c r="Q587" s="404" t="n"/>
      <c r="R587" s="404" t="n"/>
      <c r="S587" s="404" t="n"/>
      <c r="T587" s="404" t="n"/>
      <c r="U587" s="404" t="n"/>
      <c r="V587" s="404" t="n"/>
      <c r="W587" s="404" t="n">
        <v>0</v>
      </c>
      <c r="X587" s="404" t="n">
        <v>1</v>
      </c>
      <c r="Y587" s="404" t="n">
        <v>0</v>
      </c>
      <c r="Z587" s="404" t="n"/>
      <c r="AA587" s="404" t="n"/>
      <c r="AB587" s="404" t="n"/>
    </row>
    <row r="588">
      <c r="A588" s="404" t="n">
        <v>50</v>
      </c>
      <c r="B588" s="404" t="n">
        <v>0</v>
      </c>
      <c r="C588" s="404" t="n">
        <v>0</v>
      </c>
      <c r="D588" s="404" t="n">
        <v>1</v>
      </c>
      <c r="E588" s="404" t="n">
        <v>209</v>
      </c>
      <c r="F588" s="404">
        <f>ROUND(Source!W564,O588)</f>
        <v/>
      </c>
      <c r="G588" s="404" t="inlineStr">
        <is>
          <t>ТранспМат</t>
        </is>
      </c>
      <c r="H588" s="404" t="inlineStr">
        <is>
          <t>Транспорт материалов</t>
        </is>
      </c>
      <c r="I588" s="404" t="n"/>
      <c r="J588" s="404" t="n"/>
      <c r="K588" s="404" t="n">
        <v>209</v>
      </c>
      <c r="L588" s="404" t="n">
        <v>23</v>
      </c>
      <c r="M588" s="404" t="n">
        <v>3</v>
      </c>
      <c r="N588" s="404" t="inlineStr"/>
      <c r="O588" s="404" t="n">
        <v>0</v>
      </c>
      <c r="P588" s="404" t="n"/>
      <c r="Q588" s="404" t="n"/>
      <c r="R588" s="404" t="n"/>
      <c r="S588" s="404" t="n"/>
      <c r="T588" s="404" t="n"/>
      <c r="U588" s="404" t="n"/>
      <c r="V588" s="404" t="n"/>
      <c r="W588" s="404" t="n">
        <v>0</v>
      </c>
      <c r="X588" s="404" t="n">
        <v>1</v>
      </c>
      <c r="Y588" s="404" t="n">
        <v>0</v>
      </c>
      <c r="Z588" s="404" t="n"/>
      <c r="AA588" s="404" t="n"/>
      <c r="AB588" s="404" t="n"/>
    </row>
    <row r="589">
      <c r="A589" s="404" t="n">
        <v>50</v>
      </c>
      <c r="B589" s="404" t="n">
        <v>0</v>
      </c>
      <c r="C589" s="404" t="n">
        <v>0</v>
      </c>
      <c r="D589" s="404" t="n">
        <v>1</v>
      </c>
      <c r="E589" s="404" t="n">
        <v>233</v>
      </c>
      <c r="F589" s="404">
        <f>ROUND(Source!BD564,O589)</f>
        <v/>
      </c>
      <c r="G589" s="404" t="inlineStr">
        <is>
          <t>Перевозка</t>
        </is>
      </c>
      <c r="H589" s="404" t="inlineStr">
        <is>
          <t>Перевозка грузов</t>
        </is>
      </c>
      <c r="I589" s="404" t="n"/>
      <c r="J589" s="404" t="n"/>
      <c r="K589" s="404" t="n">
        <v>233</v>
      </c>
      <c r="L589" s="404" t="n">
        <v>24</v>
      </c>
      <c r="M589" s="404" t="n">
        <v>3</v>
      </c>
      <c r="N589" s="404" t="inlineStr"/>
      <c r="O589" s="404" t="n">
        <v>0</v>
      </c>
      <c r="P589" s="404" t="n"/>
      <c r="Q589" s="404" t="n"/>
      <c r="R589" s="404" t="n"/>
      <c r="S589" s="404" t="n"/>
      <c r="T589" s="404" t="n"/>
      <c r="U589" s="404" t="n"/>
      <c r="V589" s="404" t="n"/>
      <c r="W589" s="404" t="n">
        <v>0</v>
      </c>
      <c r="X589" s="404" t="n">
        <v>1</v>
      </c>
      <c r="Y589" s="404" t="n">
        <v>0</v>
      </c>
      <c r="Z589" s="404" t="n"/>
      <c r="AA589" s="404" t="n"/>
      <c r="AB589" s="404" t="n"/>
    </row>
    <row r="590">
      <c r="A590" s="404" t="n">
        <v>50</v>
      </c>
      <c r="B590" s="404" t="n">
        <v>0</v>
      </c>
      <c r="C590" s="404" t="n">
        <v>0</v>
      </c>
      <c r="D590" s="404" t="n">
        <v>1</v>
      </c>
      <c r="E590" s="404" t="n">
        <v>210</v>
      </c>
      <c r="F590" s="404">
        <f>ROUND(Source!X564,O590)</f>
        <v/>
      </c>
      <c r="G590" s="404" t="inlineStr">
        <is>
          <t>НР</t>
        </is>
      </c>
      <c r="H590" s="404" t="inlineStr">
        <is>
          <t>Накладные расходы</t>
        </is>
      </c>
      <c r="I590" s="404" t="n"/>
      <c r="J590" s="404" t="n"/>
      <c r="K590" s="404" t="n">
        <v>210</v>
      </c>
      <c r="L590" s="404" t="n">
        <v>25</v>
      </c>
      <c r="M590" s="404" t="n">
        <v>3</v>
      </c>
      <c r="N590" s="404" t="inlineStr"/>
      <c r="O590" s="404" t="n">
        <v>0</v>
      </c>
      <c r="P590" s="404" t="n"/>
      <c r="Q590" s="404" t="n"/>
      <c r="R590" s="404" t="n"/>
      <c r="S590" s="404" t="n"/>
      <c r="T590" s="404" t="n"/>
      <c r="U590" s="404" t="n"/>
      <c r="V590" s="404" t="n"/>
      <c r="W590" s="404" t="n">
        <v>0</v>
      </c>
      <c r="X590" s="404" t="n">
        <v>1</v>
      </c>
      <c r="Y590" s="404" t="n">
        <v>0</v>
      </c>
      <c r="Z590" s="404" t="n"/>
      <c r="AA590" s="404" t="n"/>
      <c r="AB590" s="404" t="n"/>
    </row>
    <row r="591">
      <c r="A591" s="404" t="n">
        <v>50</v>
      </c>
      <c r="B591" s="404" t="n">
        <v>0</v>
      </c>
      <c r="C591" s="404" t="n">
        <v>0</v>
      </c>
      <c r="D591" s="404" t="n">
        <v>1</v>
      </c>
      <c r="E591" s="404" t="n">
        <v>211</v>
      </c>
      <c r="F591" s="404">
        <f>ROUND(Source!Y564,O591)</f>
        <v/>
      </c>
      <c r="G591" s="404" t="inlineStr">
        <is>
          <t>СмПриб</t>
        </is>
      </c>
      <c r="H591" s="404" t="inlineStr">
        <is>
          <t>Сметная прибыль</t>
        </is>
      </c>
      <c r="I591" s="404" t="n"/>
      <c r="J591" s="404" t="n"/>
      <c r="K591" s="404" t="n">
        <v>211</v>
      </c>
      <c r="L591" s="404" t="n">
        <v>26</v>
      </c>
      <c r="M591" s="404" t="n">
        <v>3</v>
      </c>
      <c r="N591" s="404" t="inlineStr"/>
      <c r="O591" s="404" t="n">
        <v>0</v>
      </c>
      <c r="P591" s="404" t="n"/>
      <c r="Q591" s="404" t="n"/>
      <c r="R591" s="404" t="n"/>
      <c r="S591" s="404" t="n"/>
      <c r="T591" s="404" t="n"/>
      <c r="U591" s="404" t="n"/>
      <c r="V591" s="404" t="n"/>
      <c r="W591" s="404" t="n">
        <v>0</v>
      </c>
      <c r="X591" s="404" t="n">
        <v>1</v>
      </c>
      <c r="Y591" s="404" t="n">
        <v>0</v>
      </c>
      <c r="Z591" s="404" t="n"/>
      <c r="AA591" s="404" t="n"/>
      <c r="AB591" s="404" t="n"/>
    </row>
    <row r="592">
      <c r="A592" s="404" t="n">
        <v>50</v>
      </c>
      <c r="B592" s="404" t="n">
        <v>0</v>
      </c>
      <c r="C592" s="404" t="n">
        <v>0</v>
      </c>
      <c r="D592" s="404" t="n">
        <v>1</v>
      </c>
      <c r="E592" s="404" t="n">
        <v>224</v>
      </c>
      <c r="F592" s="404">
        <f>ROUND(Source!AR564,O592)</f>
        <v/>
      </c>
      <c r="G592" s="404" t="inlineStr">
        <is>
          <t>Всего</t>
        </is>
      </c>
      <c r="H592" s="404" t="inlineStr">
        <is>
          <t>Всего с НР и СП</t>
        </is>
      </c>
      <c r="I592" s="404" t="n"/>
      <c r="J592" s="404" t="n"/>
      <c r="K592" s="404" t="n">
        <v>224</v>
      </c>
      <c r="L592" s="404" t="n">
        <v>27</v>
      </c>
      <c r="M592" s="404" t="n">
        <v>3</v>
      </c>
      <c r="N592" s="404" t="inlineStr"/>
      <c r="O592" s="404" t="n">
        <v>0</v>
      </c>
      <c r="P592" s="404" t="n"/>
      <c r="Q592" s="404" t="n"/>
      <c r="R592" s="404" t="n"/>
      <c r="S592" s="404" t="n"/>
      <c r="T592" s="404" t="n"/>
      <c r="U592" s="404" t="n"/>
      <c r="V592" s="404" t="n"/>
      <c r="W592" s="404" t="n">
        <v>0</v>
      </c>
      <c r="X592" s="404" t="n">
        <v>1</v>
      </c>
      <c r="Y592" s="404" t="n">
        <v>0</v>
      </c>
      <c r="Z592" s="404" t="n"/>
      <c r="AA592" s="404" t="n"/>
      <c r="AB592" s="404" t="n"/>
    </row>
    <row r="593">
      <c r="A593" s="404" t="n">
        <v>50</v>
      </c>
      <c r="B593" s="404" t="n">
        <v>0</v>
      </c>
      <c r="C593" s="404" t="n">
        <v>0</v>
      </c>
      <c r="D593" s="404" t="n">
        <v>2</v>
      </c>
      <c r="E593" s="404" t="n">
        <v>0</v>
      </c>
      <c r="F593" s="404">
        <f>ROUND(F592,O593)</f>
        <v/>
      </c>
      <c r="G593" s="404" t="inlineStr">
        <is>
          <t>и1</t>
        </is>
      </c>
      <c r="H593" s="404" t="inlineStr">
        <is>
          <t>Итого</t>
        </is>
      </c>
      <c r="I593" s="404" t="n"/>
      <c r="J593" s="404" t="n"/>
      <c r="K593" s="404" t="n">
        <v>212</v>
      </c>
      <c r="L593" s="404" t="n">
        <v>28</v>
      </c>
      <c r="M593" s="404" t="n">
        <v>0</v>
      </c>
      <c r="N593" s="404" t="inlineStr"/>
      <c r="O593" s="404" t="n">
        <v>0</v>
      </c>
      <c r="P593" s="404" t="n"/>
      <c r="Q593" s="404" t="n"/>
      <c r="R593" s="404" t="n"/>
      <c r="S593" s="404" t="n"/>
      <c r="T593" s="404" t="n"/>
      <c r="U593" s="404" t="n"/>
      <c r="V593" s="404" t="n"/>
      <c r="W593" s="404" t="n">
        <v>0</v>
      </c>
      <c r="X593" s="404" t="n">
        <v>1</v>
      </c>
      <c r="Y593" s="404" t="n">
        <v>0</v>
      </c>
      <c r="Z593" s="404" t="n"/>
      <c r="AA593" s="404" t="n"/>
      <c r="AB593" s="404" t="n"/>
    </row>
    <row r="594">
      <c r="A594" s="404" t="n">
        <v>50</v>
      </c>
      <c r="B594" s="404" t="n">
        <v>0</v>
      </c>
      <c r="C594" s="404" t="n">
        <v>0</v>
      </c>
      <c r="D594" s="404" t="n">
        <v>2</v>
      </c>
      <c r="E594" s="404" t="n">
        <v>0</v>
      </c>
      <c r="F594" s="404">
        <f>ROUND(F593*0.22,O594)</f>
        <v/>
      </c>
      <c r="G594" s="404" t="inlineStr">
        <is>
          <t>и2</t>
        </is>
      </c>
      <c r="H594" s="404" t="inlineStr">
        <is>
          <t>НДС 22%</t>
        </is>
      </c>
      <c r="I594" s="404" t="n"/>
      <c r="J594" s="404" t="n"/>
      <c r="K594" s="404" t="n">
        <v>212</v>
      </c>
      <c r="L594" s="404" t="n">
        <v>29</v>
      </c>
      <c r="M594" s="404" t="n">
        <v>0</v>
      </c>
      <c r="N594" s="404" t="inlineStr"/>
      <c r="O594" s="404" t="n">
        <v>0</v>
      </c>
      <c r="P594" s="404" t="n"/>
      <c r="Q594" s="404" t="n"/>
      <c r="R594" s="404" t="n"/>
      <c r="S594" s="404" t="n"/>
      <c r="T594" s="404" t="n"/>
      <c r="U594" s="404" t="n"/>
      <c r="V594" s="404" t="n"/>
      <c r="W594" s="404" t="n">
        <v>0</v>
      </c>
      <c r="X594" s="404" t="n">
        <v>1</v>
      </c>
      <c r="Y594" s="404" t="n">
        <v>0</v>
      </c>
      <c r="Z594" s="404" t="n"/>
      <c r="AA594" s="404" t="n"/>
      <c r="AB594" s="404" t="n"/>
    </row>
    <row r="595">
      <c r="A595" s="404" t="n">
        <v>50</v>
      </c>
      <c r="B595" s="404" t="n">
        <v>0</v>
      </c>
      <c r="C595" s="404" t="n">
        <v>0</v>
      </c>
      <c r="D595" s="404" t="n">
        <v>2</v>
      </c>
      <c r="E595" s="404" t="n">
        <v>213</v>
      </c>
      <c r="F595" s="404">
        <f>ROUND(F593+F594,O595)</f>
        <v/>
      </c>
      <c r="G595" s="404" t="inlineStr">
        <is>
          <t>и3</t>
        </is>
      </c>
      <c r="H595" s="404" t="inlineStr">
        <is>
          <t>Всего</t>
        </is>
      </c>
      <c r="I595" s="404" t="n"/>
      <c r="J595" s="404" t="n"/>
      <c r="K595" s="404" t="n">
        <v>212</v>
      </c>
      <c r="L595" s="404" t="n">
        <v>30</v>
      </c>
      <c r="M595" s="404" t="n">
        <v>0</v>
      </c>
      <c r="N595" s="404" t="inlineStr"/>
      <c r="O595" s="404" t="n">
        <v>0</v>
      </c>
      <c r="P595" s="404" t="n"/>
      <c r="Q595" s="404" t="n"/>
      <c r="R595" s="404" t="n"/>
      <c r="S595" s="404" t="n"/>
      <c r="T595" s="404" t="n"/>
      <c r="U595" s="404" t="n"/>
      <c r="V595" s="404" t="n"/>
      <c r="W595" s="404" t="n">
        <v>0</v>
      </c>
      <c r="X595" s="404" t="n">
        <v>1</v>
      </c>
      <c r="Y595" s="404" t="n">
        <v>0</v>
      </c>
      <c r="Z595" s="404" t="n"/>
      <c r="AA595" s="404" t="n"/>
      <c r="AB595" s="404" t="n"/>
    </row>
    <row r="596"/>
    <row r="597">
      <c r="A597" s="401" t="n">
        <v>3</v>
      </c>
      <c r="B597" s="401" t="n">
        <v>1</v>
      </c>
      <c r="C597" s="401" t="n"/>
      <c r="D597" s="401">
        <f>ROW(A621)</f>
        <v/>
      </c>
      <c r="E597" s="401" t="n"/>
      <c r="F597" s="401" t="inlineStr">
        <is>
          <t>Новая локальная смета</t>
        </is>
      </c>
      <c r="G597" s="401" t="inlineStr">
        <is>
          <t>Молодежная 8</t>
        </is>
      </c>
      <c r="H597" s="401" t="inlineStr"/>
      <c r="I597" s="401" t="n">
        <v>0</v>
      </c>
      <c r="J597" s="401" t="inlineStr"/>
      <c r="K597" s="401" t="n">
        <v>0</v>
      </c>
      <c r="L597" s="401" t="inlineStr">
        <is>
          <t>Новая локальная смета</t>
        </is>
      </c>
      <c r="M597" s="401" t="inlineStr"/>
      <c r="N597" s="401" t="n"/>
      <c r="O597" s="401" t="n"/>
      <c r="P597" s="401" t="n"/>
      <c r="Q597" s="401" t="n"/>
      <c r="R597" s="401" t="n"/>
      <c r="S597" s="401" t="n">
        <v>0</v>
      </c>
      <c r="T597" s="401" t="n"/>
      <c r="U597" s="401" t="inlineStr"/>
      <c r="V597" s="401" t="n">
        <v>0</v>
      </c>
      <c r="W597" s="401" t="n"/>
      <c r="X597" s="401" t="n"/>
      <c r="Y597" s="401" t="n"/>
      <c r="Z597" s="401" t="n"/>
      <c r="AA597" s="401" t="n"/>
      <c r="AB597" s="401" t="inlineStr"/>
      <c r="AC597" s="401" t="inlineStr"/>
      <c r="AD597" s="401" t="inlineStr"/>
      <c r="AE597" s="401" t="inlineStr"/>
      <c r="AF597" s="401" t="inlineStr"/>
      <c r="AG597" s="401" t="inlineStr"/>
      <c r="AH597" s="401" t="n"/>
      <c r="AI597" s="401" t="n"/>
      <c r="AJ597" s="401" t="n"/>
      <c r="AK597" s="401" t="n"/>
      <c r="AL597" s="401" t="n"/>
      <c r="AM597" s="401" t="n"/>
      <c r="AN597" s="401" t="n"/>
      <c r="AO597" s="401" t="n"/>
      <c r="AP597" s="401" t="inlineStr"/>
      <c r="AQ597" s="401" t="inlineStr"/>
      <c r="AR597" s="401" t="inlineStr"/>
      <c r="AS597" s="401" t="n"/>
      <c r="AT597" s="401" t="n"/>
      <c r="AU597" s="401" t="n"/>
      <c r="AV597" s="401" t="n"/>
      <c r="AW597" s="401" t="n"/>
      <c r="AX597" s="401" t="n"/>
      <c r="AY597" s="401" t="n"/>
      <c r="AZ597" s="401" t="inlineStr"/>
      <c r="BA597" s="401" t="n"/>
      <c r="BB597" s="401" t="inlineStr"/>
      <c r="BC597" s="401" t="inlineStr"/>
      <c r="BD597" s="401" t="inlineStr"/>
      <c r="BE597" s="401" t="inlineStr"/>
      <c r="BF597" s="401" t="inlineStr"/>
      <c r="BG597" s="401" t="inlineStr"/>
      <c r="BH597" s="401" t="inlineStr"/>
      <c r="BI597" s="401" t="inlineStr"/>
      <c r="BJ597" s="401" t="inlineStr"/>
      <c r="BK597" s="401" t="inlineStr"/>
      <c r="BL597" s="401" t="inlineStr"/>
      <c r="BM597" s="401" t="inlineStr"/>
      <c r="BN597" s="401" t="inlineStr"/>
      <c r="BO597" s="401" t="inlineStr"/>
      <c r="BP597" s="401" t="inlineStr"/>
      <c r="BQ597" s="401" t="n"/>
      <c r="BR597" s="401" t="n"/>
      <c r="BS597" s="401" t="n"/>
      <c r="BT597" s="401" t="n"/>
      <c r="BU597" s="401" t="n"/>
      <c r="BV597" s="401" t="n"/>
      <c r="BW597" s="401" t="n"/>
      <c r="BX597" s="401" t="n">
        <v>0</v>
      </c>
      <c r="BY597" s="401" t="n"/>
      <c r="BZ597" s="401" t="n"/>
      <c r="CA597" s="401" t="n"/>
      <c r="CB597" s="401" t="n"/>
      <c r="CC597" s="401" t="n"/>
      <c r="CD597" s="401" t="n"/>
      <c r="CE597" s="401" t="n"/>
      <c r="CF597" s="401" t="n">
        <v>0</v>
      </c>
      <c r="CG597" s="401" t="n">
        <v>0</v>
      </c>
      <c r="CH597" s="401" t="n"/>
      <c r="CI597" s="401" t="inlineStr"/>
      <c r="CJ597" s="401" t="inlineStr"/>
      <c r="CK597" t="inlineStr"/>
      <c r="CL597" t="inlineStr"/>
      <c r="CM597" t="inlineStr"/>
      <c r="CN597" t="inlineStr"/>
      <c r="CO597" t="inlineStr"/>
      <c r="CP597" t="inlineStr"/>
      <c r="CQ597" t="inlineStr"/>
    </row>
    <row r="598"/>
    <row r="599">
      <c r="A599" s="402" t="n">
        <v>52</v>
      </c>
      <c r="B599" s="402">
        <f>B621</f>
        <v/>
      </c>
      <c r="C599" s="402">
        <f>C621</f>
        <v/>
      </c>
      <c r="D599" s="402">
        <f>D621</f>
        <v/>
      </c>
      <c r="E599" s="402">
        <f>E621</f>
        <v/>
      </c>
      <c r="F599" s="402">
        <f>F621</f>
        <v/>
      </c>
      <c r="G599" s="402">
        <f>G621</f>
        <v/>
      </c>
      <c r="H599" s="402" t="n"/>
      <c r="I599" s="402" t="n"/>
      <c r="J599" s="402" t="n"/>
      <c r="K599" s="402" t="n"/>
      <c r="L599" s="402" t="n"/>
      <c r="M599" s="402" t="n"/>
      <c r="N599" s="402" t="n"/>
      <c r="O599" s="402">
        <f>O621</f>
        <v/>
      </c>
      <c r="P599" s="402">
        <f>P621</f>
        <v/>
      </c>
      <c r="Q599" s="402">
        <f>Q621</f>
        <v/>
      </c>
      <c r="R599" s="402">
        <f>R621</f>
        <v/>
      </c>
      <c r="S599" s="402">
        <f>S621</f>
        <v/>
      </c>
      <c r="T599" s="402">
        <f>T621</f>
        <v/>
      </c>
      <c r="U599" s="402">
        <f>U621</f>
        <v/>
      </c>
      <c r="V599" s="402">
        <f>V621</f>
        <v/>
      </c>
      <c r="W599" s="402">
        <f>W621</f>
        <v/>
      </c>
      <c r="X599" s="402">
        <f>X621</f>
        <v/>
      </c>
      <c r="Y599" s="402">
        <f>Y621</f>
        <v/>
      </c>
      <c r="Z599" s="402">
        <f>Z621</f>
        <v/>
      </c>
      <c r="AA599" s="402">
        <f>AA621</f>
        <v/>
      </c>
      <c r="AB599" s="402">
        <f>AB621</f>
        <v/>
      </c>
      <c r="AC599" s="402">
        <f>AC621</f>
        <v/>
      </c>
      <c r="AD599" s="402">
        <f>AD621</f>
        <v/>
      </c>
      <c r="AE599" s="402">
        <f>AE621</f>
        <v/>
      </c>
      <c r="AF599" s="402">
        <f>AF621</f>
        <v/>
      </c>
      <c r="AG599" s="402">
        <f>AG621</f>
        <v/>
      </c>
      <c r="AH599" s="402">
        <f>AH621</f>
        <v/>
      </c>
      <c r="AI599" s="402">
        <f>AI621</f>
        <v/>
      </c>
      <c r="AJ599" s="402">
        <f>AJ621</f>
        <v/>
      </c>
      <c r="AK599" s="402">
        <f>AK621</f>
        <v/>
      </c>
      <c r="AL599" s="402">
        <f>AL621</f>
        <v/>
      </c>
      <c r="AM599" s="402">
        <f>AM621</f>
        <v/>
      </c>
      <c r="AN599" s="402">
        <f>AN621</f>
        <v/>
      </c>
      <c r="AO599" s="402">
        <f>AO621</f>
        <v/>
      </c>
      <c r="AP599" s="402">
        <f>AP621</f>
        <v/>
      </c>
      <c r="AQ599" s="402">
        <f>AQ621</f>
        <v/>
      </c>
      <c r="AR599" s="402">
        <f>AR621</f>
        <v/>
      </c>
      <c r="AS599" s="402">
        <f>AS621</f>
        <v/>
      </c>
      <c r="AT599" s="402">
        <f>AT621</f>
        <v/>
      </c>
      <c r="AU599" s="402">
        <f>AU621</f>
        <v/>
      </c>
      <c r="AV599" s="402">
        <f>AV621</f>
        <v/>
      </c>
      <c r="AW599" s="402">
        <f>AW621</f>
        <v/>
      </c>
      <c r="AX599" s="402">
        <f>AX621</f>
        <v/>
      </c>
      <c r="AY599" s="402">
        <f>AY621</f>
        <v/>
      </c>
      <c r="AZ599" s="402">
        <f>AZ621</f>
        <v/>
      </c>
      <c r="BA599" s="402">
        <f>BA621</f>
        <v/>
      </c>
      <c r="BB599" s="402">
        <f>BB621</f>
        <v/>
      </c>
      <c r="BC599" s="402">
        <f>BC621</f>
        <v/>
      </c>
      <c r="BD599" s="402">
        <f>BD621</f>
        <v/>
      </c>
      <c r="BE599" s="402">
        <f>BE621</f>
        <v/>
      </c>
      <c r="BF599" s="402">
        <f>BF621</f>
        <v/>
      </c>
      <c r="BG599" s="402">
        <f>BG621</f>
        <v/>
      </c>
      <c r="BH599" s="402">
        <f>BH621</f>
        <v/>
      </c>
      <c r="BI599" s="402">
        <f>BI621</f>
        <v/>
      </c>
      <c r="BJ599" s="402">
        <f>BJ621</f>
        <v/>
      </c>
      <c r="BK599" s="402">
        <f>BK621</f>
        <v/>
      </c>
      <c r="BL599" s="402">
        <f>BL621</f>
        <v/>
      </c>
      <c r="BM599" s="402">
        <f>BM621</f>
        <v/>
      </c>
      <c r="BN599" s="402">
        <f>BN621</f>
        <v/>
      </c>
      <c r="BO599" s="402">
        <f>BO621</f>
        <v/>
      </c>
      <c r="BP599" s="402">
        <f>BP621</f>
        <v/>
      </c>
      <c r="BQ599" s="402">
        <f>BQ621</f>
        <v/>
      </c>
      <c r="BR599" s="402">
        <f>BR621</f>
        <v/>
      </c>
      <c r="BS599" s="402">
        <f>BS621</f>
        <v/>
      </c>
      <c r="BT599" s="402">
        <f>BT621</f>
        <v/>
      </c>
      <c r="BU599" s="402">
        <f>BU621</f>
        <v/>
      </c>
      <c r="BV599" s="402">
        <f>BV621</f>
        <v/>
      </c>
      <c r="BW599" s="402">
        <f>BW621</f>
        <v/>
      </c>
      <c r="BX599" s="402">
        <f>BX621</f>
        <v/>
      </c>
      <c r="BY599" s="402">
        <f>BY621</f>
        <v/>
      </c>
      <c r="BZ599" s="402">
        <f>BZ621</f>
        <v/>
      </c>
      <c r="CA599" s="402">
        <f>CA621</f>
        <v/>
      </c>
      <c r="CB599" s="402">
        <f>CB621</f>
        <v/>
      </c>
      <c r="CC599" s="402">
        <f>CC621</f>
        <v/>
      </c>
      <c r="CD599" s="402">
        <f>CD621</f>
        <v/>
      </c>
      <c r="CE599" s="402">
        <f>CE621</f>
        <v/>
      </c>
      <c r="CF599" s="402">
        <f>CF621</f>
        <v/>
      </c>
      <c r="CG599" s="402">
        <f>CG621</f>
        <v/>
      </c>
      <c r="CH599" s="402">
        <f>CH621</f>
        <v/>
      </c>
      <c r="CI599" s="402">
        <f>CI621</f>
        <v/>
      </c>
      <c r="CJ599" s="402">
        <f>CJ621</f>
        <v/>
      </c>
      <c r="CK599" s="402">
        <f>CK621</f>
        <v/>
      </c>
      <c r="CL599" s="402">
        <f>CL621</f>
        <v/>
      </c>
      <c r="CM599" s="402">
        <f>CM621</f>
        <v/>
      </c>
      <c r="CN599" s="402">
        <f>CN621</f>
        <v/>
      </c>
      <c r="CO599" s="402">
        <f>CO621</f>
        <v/>
      </c>
      <c r="CP599" s="402">
        <f>CP621</f>
        <v/>
      </c>
      <c r="CQ599" s="402">
        <f>CQ621</f>
        <v/>
      </c>
      <c r="CR599" s="402">
        <f>CR621</f>
        <v/>
      </c>
      <c r="CS599" s="402">
        <f>CS621</f>
        <v/>
      </c>
      <c r="CT599" s="402">
        <f>CT621</f>
        <v/>
      </c>
      <c r="CU599" s="402">
        <f>CU621</f>
        <v/>
      </c>
      <c r="CV599" s="402">
        <f>CV621</f>
        <v/>
      </c>
      <c r="CW599" s="402">
        <f>CW621</f>
        <v/>
      </c>
      <c r="CX599" s="402">
        <f>CX621</f>
        <v/>
      </c>
      <c r="CY599" s="402">
        <f>CY621</f>
        <v/>
      </c>
      <c r="CZ599" s="402">
        <f>CZ621</f>
        <v/>
      </c>
      <c r="DA599" s="402">
        <f>DA621</f>
        <v/>
      </c>
      <c r="DB599" s="402">
        <f>DB621</f>
        <v/>
      </c>
      <c r="DC599" s="402">
        <f>DC621</f>
        <v/>
      </c>
      <c r="DD599" s="402">
        <f>DD621</f>
        <v/>
      </c>
      <c r="DE599" s="402">
        <f>DE621</f>
        <v/>
      </c>
      <c r="DF599" s="402">
        <f>DF621</f>
        <v/>
      </c>
      <c r="DG599" s="403">
        <f>DG621</f>
        <v/>
      </c>
      <c r="DH599" s="403">
        <f>DH621</f>
        <v/>
      </c>
      <c r="DI599" s="403">
        <f>DI621</f>
        <v/>
      </c>
      <c r="DJ599" s="403">
        <f>DJ621</f>
        <v/>
      </c>
      <c r="DK599" s="403">
        <f>DK621</f>
        <v/>
      </c>
      <c r="DL599" s="403">
        <f>DL621</f>
        <v/>
      </c>
      <c r="DM599" s="403">
        <f>DM621</f>
        <v/>
      </c>
      <c r="DN599" s="403">
        <f>DN621</f>
        <v/>
      </c>
      <c r="DO599" s="403">
        <f>DO621</f>
        <v/>
      </c>
      <c r="DP599" s="403">
        <f>DP621</f>
        <v/>
      </c>
      <c r="DQ599" s="403">
        <f>DQ621</f>
        <v/>
      </c>
      <c r="DR599" s="403">
        <f>DR621</f>
        <v/>
      </c>
      <c r="DS599" s="403">
        <f>DS621</f>
        <v/>
      </c>
      <c r="DT599" s="403">
        <f>DT621</f>
        <v/>
      </c>
      <c r="DU599" s="403">
        <f>DU621</f>
        <v/>
      </c>
      <c r="DV599" s="403">
        <f>DV621</f>
        <v/>
      </c>
      <c r="DW599" s="403">
        <f>DW621</f>
        <v/>
      </c>
      <c r="DX599" s="403">
        <f>DX621</f>
        <v/>
      </c>
      <c r="DY599" s="403">
        <f>DY621</f>
        <v/>
      </c>
      <c r="DZ599" s="403">
        <f>DZ621</f>
        <v/>
      </c>
      <c r="EA599" s="403">
        <f>EA621</f>
        <v/>
      </c>
      <c r="EB599" s="403">
        <f>EB621</f>
        <v/>
      </c>
      <c r="EC599" s="403">
        <f>EC621</f>
        <v/>
      </c>
      <c r="ED599" s="403">
        <f>ED621</f>
        <v/>
      </c>
      <c r="EE599" s="403">
        <f>EE621</f>
        <v/>
      </c>
      <c r="EF599" s="403">
        <f>EF621</f>
        <v/>
      </c>
      <c r="EG599" s="403">
        <f>EG621</f>
        <v/>
      </c>
      <c r="EH599" s="403">
        <f>EH621</f>
        <v/>
      </c>
      <c r="EI599" s="403">
        <f>EI621</f>
        <v/>
      </c>
      <c r="EJ599" s="403">
        <f>EJ621</f>
        <v/>
      </c>
      <c r="EK599" s="403">
        <f>EK621</f>
        <v/>
      </c>
      <c r="EL599" s="403">
        <f>EL621</f>
        <v/>
      </c>
      <c r="EM599" s="403">
        <f>EM621</f>
        <v/>
      </c>
      <c r="EN599" s="403">
        <f>EN621</f>
        <v/>
      </c>
      <c r="EO599" s="403">
        <f>EO621</f>
        <v/>
      </c>
      <c r="EP599" s="403">
        <f>EP621</f>
        <v/>
      </c>
      <c r="EQ599" s="403">
        <f>EQ621</f>
        <v/>
      </c>
      <c r="ER599" s="403">
        <f>ER621</f>
        <v/>
      </c>
      <c r="ES599" s="403">
        <f>ES621</f>
        <v/>
      </c>
      <c r="ET599" s="403">
        <f>ET621</f>
        <v/>
      </c>
      <c r="EU599" s="403">
        <f>EU621</f>
        <v/>
      </c>
      <c r="EV599" s="403">
        <f>EV621</f>
        <v/>
      </c>
      <c r="EW599" s="403">
        <f>EW621</f>
        <v/>
      </c>
      <c r="EX599" s="403">
        <f>EX621</f>
        <v/>
      </c>
      <c r="EY599" s="403">
        <f>EY621</f>
        <v/>
      </c>
      <c r="EZ599" s="403">
        <f>EZ621</f>
        <v/>
      </c>
      <c r="FA599" s="403">
        <f>FA621</f>
        <v/>
      </c>
      <c r="FB599" s="403">
        <f>FB621</f>
        <v/>
      </c>
      <c r="FC599" s="403">
        <f>FC621</f>
        <v/>
      </c>
      <c r="FD599" s="403">
        <f>FD621</f>
        <v/>
      </c>
      <c r="FE599" s="403">
        <f>FE621</f>
        <v/>
      </c>
      <c r="FF599" s="403">
        <f>FF621</f>
        <v/>
      </c>
      <c r="FG599" s="403">
        <f>FG621</f>
        <v/>
      </c>
      <c r="FH599" s="403">
        <f>FH621</f>
        <v/>
      </c>
      <c r="FI599" s="403">
        <f>FI621</f>
        <v/>
      </c>
      <c r="FJ599" s="403">
        <f>FJ621</f>
        <v/>
      </c>
      <c r="FK599" s="403">
        <f>FK621</f>
        <v/>
      </c>
      <c r="FL599" s="403">
        <f>FL621</f>
        <v/>
      </c>
      <c r="FM599" s="403">
        <f>FM621</f>
        <v/>
      </c>
      <c r="FN599" s="403">
        <f>FN621</f>
        <v/>
      </c>
      <c r="FO599" s="403">
        <f>FO621</f>
        <v/>
      </c>
      <c r="FP599" s="403">
        <f>FP621</f>
        <v/>
      </c>
      <c r="FQ599" s="403">
        <f>FQ621</f>
        <v/>
      </c>
      <c r="FR599" s="403">
        <f>FR621</f>
        <v/>
      </c>
      <c r="FS599" s="403">
        <f>FS621</f>
        <v/>
      </c>
      <c r="FT599" s="403">
        <f>FT621</f>
        <v/>
      </c>
      <c r="FU599" s="403">
        <f>FU621</f>
        <v/>
      </c>
      <c r="FV599" s="403">
        <f>FV621</f>
        <v/>
      </c>
      <c r="FW599" s="403">
        <f>FW621</f>
        <v/>
      </c>
      <c r="FX599" s="403">
        <f>FX621</f>
        <v/>
      </c>
      <c r="FY599" s="403">
        <f>FY621</f>
        <v/>
      </c>
      <c r="FZ599" s="403">
        <f>FZ621</f>
        <v/>
      </c>
      <c r="GA599" s="403">
        <f>GA621</f>
        <v/>
      </c>
      <c r="GB599" s="403">
        <f>GB621</f>
        <v/>
      </c>
      <c r="GC599" s="403">
        <f>GC621</f>
        <v/>
      </c>
      <c r="GD599" s="403">
        <f>GD621</f>
        <v/>
      </c>
      <c r="GE599" s="403">
        <f>GE621</f>
        <v/>
      </c>
      <c r="GF599" s="403">
        <f>GF621</f>
        <v/>
      </c>
      <c r="GG599" s="403">
        <f>GG621</f>
        <v/>
      </c>
      <c r="GH599" s="403">
        <f>GH621</f>
        <v/>
      </c>
      <c r="GI599" s="403">
        <f>GI621</f>
        <v/>
      </c>
      <c r="GJ599" s="403">
        <f>GJ621</f>
        <v/>
      </c>
      <c r="GK599" s="403">
        <f>GK621</f>
        <v/>
      </c>
      <c r="GL599" s="403">
        <f>GL621</f>
        <v/>
      </c>
      <c r="GM599" s="403">
        <f>GM621</f>
        <v/>
      </c>
      <c r="GN599" s="403">
        <f>GN621</f>
        <v/>
      </c>
      <c r="GO599" s="403">
        <f>GO621</f>
        <v/>
      </c>
      <c r="GP599" s="403">
        <f>GP621</f>
        <v/>
      </c>
      <c r="GQ599" s="403">
        <f>GQ621</f>
        <v/>
      </c>
      <c r="GR599" s="403">
        <f>GR621</f>
        <v/>
      </c>
      <c r="GS599" s="403">
        <f>GS621</f>
        <v/>
      </c>
      <c r="GT599" s="403">
        <f>GT621</f>
        <v/>
      </c>
      <c r="GU599" s="403">
        <f>GU621</f>
        <v/>
      </c>
      <c r="GV599" s="403">
        <f>GV621</f>
        <v/>
      </c>
      <c r="GW599" s="403">
        <f>GW621</f>
        <v/>
      </c>
      <c r="GX599" s="403">
        <f>GX621</f>
        <v/>
      </c>
    </row>
    <row r="600"/>
    <row r="601">
      <c r="A601" t="n">
        <v>17</v>
      </c>
      <c r="B601" t="n">
        <v>1</v>
      </c>
      <c r="C601">
        <f>ROW(SmtRes!A287)</f>
        <v/>
      </c>
      <c r="D601">
        <f>ROW(EtalonRes!A265)</f>
        <v/>
      </c>
      <c r="E601" t="inlineStr">
        <is>
          <t>1</t>
        </is>
      </c>
      <c r="F601" t="inlineStr">
        <is>
          <t>65-10-1</t>
        </is>
      </c>
      <c r="G601" t="inlineStr">
        <is>
          <t>Очистка канализационной сети внутренней</t>
        </is>
      </c>
      <c r="H601" t="inlineStr">
        <is>
          <t>100 м трубопровода</t>
        </is>
      </c>
      <c r="I601">
        <f>ROUND(ROUND(75/100,4),7)</f>
        <v/>
      </c>
      <c r="J601" t="n">
        <v>0</v>
      </c>
      <c r="K601">
        <f>ROUND(ROUND(75/100,4),7)</f>
        <v/>
      </c>
      <c r="O601">
        <f>ROUND(CP601,0)</f>
        <v/>
      </c>
      <c r="P601">
        <f>ROUND(CQ601*I601,0)</f>
        <v/>
      </c>
      <c r="Q601">
        <f>(ROUND((ROUND(((ET601)*I601),0)*BB601),0)+ROUND((ROUND(((AE601-(EU601))*I601),0)*BS601),0))</f>
        <v/>
      </c>
      <c r="R601">
        <f>(ROUND((ROUND(((EU601)*I601),0)*BS601),0)+ROUND((ROUND(((AE601-(EU601))*I601),0)*BS601),0))</f>
        <v/>
      </c>
      <c r="S601">
        <f>ROUND(CT601*I601,0)</f>
        <v/>
      </c>
      <c r="T601">
        <f>ROUND(CU601*I601,0)</f>
        <v/>
      </c>
      <c r="U601">
        <f>ROUND(CV601*I601,7)</f>
        <v/>
      </c>
      <c r="V601">
        <f>ROUND(CW601*I601,7)</f>
        <v/>
      </c>
      <c r="W601">
        <f>ROUND(CX601*I601,0)</f>
        <v/>
      </c>
      <c r="X601">
        <f>ROUND(CY601,0)</f>
        <v/>
      </c>
      <c r="Y601">
        <f>ROUND(CZ601,0)</f>
        <v/>
      </c>
      <c r="AA601" t="n">
        <v>78869116</v>
      </c>
      <c r="AB601">
        <f>ROUND((AC601+AD601+AF601),2)</f>
        <v/>
      </c>
      <c r="AC601">
        <f>ROUND((ES601),2)</f>
        <v/>
      </c>
      <c r="AD601">
        <f>ROUND((((ET601)-(EU601))+AE601),2)</f>
        <v/>
      </c>
      <c r="AE601">
        <f>ROUND((EU601),2)</f>
        <v/>
      </c>
      <c r="AF601">
        <f>ROUND((EV601),2)</f>
        <v/>
      </c>
      <c r="AG601">
        <f>ROUND((AP601),2)</f>
        <v/>
      </c>
      <c r="AH601">
        <f>(EW601)</f>
        <v/>
      </c>
      <c r="AI601">
        <f>(EX601)</f>
        <v/>
      </c>
      <c r="AJ601">
        <f>(AS601)</f>
        <v/>
      </c>
      <c r="AK601" t="n">
        <v>403.3</v>
      </c>
      <c r="AL601" t="n">
        <v>139.36</v>
      </c>
      <c r="AM601" t="n">
        <v>0.87</v>
      </c>
      <c r="AN601" t="n">
        <v>0</v>
      </c>
      <c r="AO601" t="n">
        <v>263.07</v>
      </c>
      <c r="AP601" t="n">
        <v>0</v>
      </c>
      <c r="AQ601" t="n">
        <v>32.2</v>
      </c>
      <c r="AR601" t="n">
        <v>0</v>
      </c>
      <c r="AS601" t="n">
        <v>0</v>
      </c>
      <c r="AT601" t="n">
        <v>103</v>
      </c>
      <c r="AU601" t="n">
        <v>52</v>
      </c>
      <c r="AV601" t="n">
        <v>1</v>
      </c>
      <c r="AW601" t="n">
        <v>1</v>
      </c>
      <c r="AZ601" t="n">
        <v>1</v>
      </c>
      <c r="BA601" t="n">
        <v>52.25</v>
      </c>
      <c r="BB601" t="n">
        <v>25.03</v>
      </c>
      <c r="BC601" t="n">
        <v>11.85</v>
      </c>
      <c r="BD601" t="inlineStr"/>
      <c r="BE601" t="inlineStr"/>
      <c r="BF601" t="inlineStr"/>
      <c r="BG601" t="inlineStr"/>
      <c r="BH601" t="n">
        <v>0</v>
      </c>
      <c r="BI601" t="n">
        <v>1</v>
      </c>
      <c r="BJ601" t="inlineStr">
        <is>
          <t>ТЕРр Московской обл., 65-10-1, приказ Минстроя России №675/пр от 28.02.2017 № 263/пр</t>
        </is>
      </c>
      <c r="BM601" t="n">
        <v>65007</v>
      </c>
      <c r="BN601" t="n">
        <v>0</v>
      </c>
      <c r="BO601" t="inlineStr">
        <is>
          <t>65-10-1</t>
        </is>
      </c>
      <c r="BP601" t="n">
        <v>1</v>
      </c>
      <c r="BQ601" t="n">
        <v>6</v>
      </c>
      <c r="BR601" t="n">
        <v>0</v>
      </c>
      <c r="BS601" t="n">
        <v>52.25</v>
      </c>
      <c r="BT601" t="n">
        <v>1</v>
      </c>
      <c r="BU601" t="n">
        <v>1</v>
      </c>
      <c r="BV601" t="n">
        <v>1</v>
      </c>
      <c r="BW601" t="n">
        <v>1</v>
      </c>
      <c r="BX601" t="n">
        <v>1</v>
      </c>
      <c r="BY601" t="inlineStr"/>
      <c r="BZ601" t="n">
        <v>103</v>
      </c>
      <c r="CA601" t="n">
        <v>52</v>
      </c>
      <c r="CB601" t="inlineStr"/>
      <c r="CE601" t="n">
        <v>12</v>
      </c>
      <c r="CF601" t="n">
        <v>0</v>
      </c>
      <c r="CG601" t="n">
        <v>0</v>
      </c>
      <c r="CM601" t="n">
        <v>0</v>
      </c>
      <c r="CN601" t="inlineStr"/>
      <c r="CO601" t="n">
        <v>0</v>
      </c>
      <c r="CP601">
        <f>(P601+Q601+S601)</f>
        <v/>
      </c>
      <c r="CQ601">
        <f>AC601*BC601</f>
        <v/>
      </c>
      <c r="CR601">
        <f>(ROUND((ROUND(((ET601)*1),0)*BB601),0)+ROUND((ROUND(((AE601-(EU601))*1),0)*BS601),0))</f>
        <v/>
      </c>
      <c r="CS601">
        <f>(ROUND((ROUND(((EU601)*1),0)*BS601),0)+ROUND((ROUND(((AE601-(EU601))*1),0)*BS601),0))</f>
        <v/>
      </c>
      <c r="CT601">
        <f>AF601*BA601</f>
        <v/>
      </c>
      <c r="CU601">
        <f>AG601</f>
        <v/>
      </c>
      <c r="CV601">
        <f>AH601</f>
        <v/>
      </c>
      <c r="CW601">
        <f>AI601</f>
        <v/>
      </c>
      <c r="CX601">
        <f>AJ601</f>
        <v/>
      </c>
      <c r="CY601">
        <f>(((S601+R601)*AT601)/100)</f>
        <v/>
      </c>
      <c r="CZ601">
        <f>(((S601+R601)*AU601)/100)</f>
        <v/>
      </c>
      <c r="DC601" t="inlineStr"/>
      <c r="DD601" t="inlineStr"/>
      <c r="DE601" t="inlineStr"/>
      <c r="DF601" t="inlineStr"/>
      <c r="DG601" t="inlineStr"/>
      <c r="DH601" t="inlineStr"/>
      <c r="DI601" t="inlineStr"/>
      <c r="DJ601" t="inlineStr"/>
      <c r="DK601" t="inlineStr"/>
      <c r="DL601" t="inlineStr"/>
      <c r="DM601" t="inlineStr"/>
      <c r="DN601" t="n">
        <v>0</v>
      </c>
      <c r="DO601" t="n">
        <v>0</v>
      </c>
      <c r="DP601" t="n">
        <v>1</v>
      </c>
      <c r="DQ601" t="n">
        <v>1</v>
      </c>
      <c r="DU601" t="n">
        <v>1013</v>
      </c>
      <c r="DV601" t="inlineStr">
        <is>
          <t>100 м трубопровода</t>
        </is>
      </c>
      <c r="DW601" t="inlineStr">
        <is>
          <t>100 м трубопровода</t>
        </is>
      </c>
      <c r="DX601" t="n">
        <v>1</v>
      </c>
      <c r="DZ601" t="inlineStr"/>
      <c r="EA601" t="inlineStr"/>
      <c r="EB601" t="inlineStr"/>
      <c r="EC601" t="inlineStr"/>
      <c r="EE601" t="n">
        <v>78726000</v>
      </c>
      <c r="EF601" t="n">
        <v>6</v>
      </c>
      <c r="EG601" t="inlineStr">
        <is>
          <t>Ремонтно-строительные работы</t>
        </is>
      </c>
      <c r="EH601" t="n">
        <v>99</v>
      </c>
      <c r="EI601" t="inlineStr">
        <is>
          <t>Внутренние санитарно-технические работы</t>
        </is>
      </c>
      <c r="EJ601" t="n">
        <v>1</v>
      </c>
      <c r="EK601" t="n">
        <v>65007</v>
      </c>
      <c r="EL601" t="inlineStr">
        <is>
          <t>Внутренние санитарнотехнические работы: смена труб, санприборов, запорной арматуры и другое</t>
        </is>
      </c>
      <c r="EM601" t="inlineStr">
        <is>
          <t>рФЕР-65</t>
        </is>
      </c>
      <c r="EO601" t="inlineStr"/>
      <c r="EQ601" t="n">
        <v>0</v>
      </c>
      <c r="ER601" t="n">
        <v>403.3</v>
      </c>
      <c r="ES601" t="n">
        <v>139.36</v>
      </c>
      <c r="ET601" t="n">
        <v>0.87</v>
      </c>
      <c r="EU601" t="n">
        <v>0</v>
      </c>
      <c r="EV601" t="n">
        <v>263.07</v>
      </c>
      <c r="EW601" t="n">
        <v>32.2</v>
      </c>
      <c r="EX601" t="n">
        <v>0</v>
      </c>
      <c r="EY601" t="n">
        <v>0</v>
      </c>
      <c r="FQ601" t="n">
        <v>0</v>
      </c>
      <c r="FR601" t="n">
        <v>0</v>
      </c>
      <c r="FS601" t="n">
        <v>0</v>
      </c>
      <c r="FX601" t="n">
        <v>103</v>
      </c>
      <c r="FY601" t="n">
        <v>52</v>
      </c>
      <c r="GA601" t="inlineStr"/>
      <c r="GD601" t="n">
        <v>1</v>
      </c>
      <c r="GF601" t="n">
        <v>-66904957</v>
      </c>
      <c r="GG601" t="n">
        <v>2</v>
      </c>
      <c r="GH601" t="n">
        <v>1</v>
      </c>
      <c r="GI601" t="n">
        <v>2</v>
      </c>
      <c r="GJ601" t="n">
        <v>0</v>
      </c>
      <c r="GK601" t="n">
        <v>0</v>
      </c>
      <c r="GL601">
        <f>ROUND(IF(AND(BH601=3,BI601=3,FS601&lt;&gt;0),P601,0),0)</f>
        <v/>
      </c>
      <c r="GM601">
        <f>ROUND(O601+X601+Y601,0)+GX601</f>
        <v/>
      </c>
      <c r="GN601">
        <f>IF(OR(BI601=0,BI601=1),GM601-GX601,0)</f>
        <v/>
      </c>
      <c r="GO601">
        <f>IF(BI601=2,GM601-GX601,0)</f>
        <v/>
      </c>
      <c r="GP601">
        <f>IF(BI601=4,GM601-GX601,0)</f>
        <v/>
      </c>
      <c r="GR601" t="n">
        <v>0</v>
      </c>
      <c r="GS601" t="n">
        <v>3</v>
      </c>
      <c r="GT601" t="n">
        <v>0</v>
      </c>
      <c r="GU601" t="inlineStr"/>
      <c r="GV601">
        <f>ROUND((GT601),2)</f>
        <v/>
      </c>
      <c r="GW601" t="n">
        <v>1</v>
      </c>
      <c r="GX601">
        <f>ROUND(HC601*I601,0)</f>
        <v/>
      </c>
      <c r="HA601" t="n">
        <v>0</v>
      </c>
      <c r="HB601" t="n">
        <v>0</v>
      </c>
      <c r="HC601">
        <f>GV601*GW601</f>
        <v/>
      </c>
      <c r="HE601" t="inlineStr"/>
      <c r="HF601" t="inlineStr"/>
      <c r="HM601" t="inlineStr"/>
      <c r="HN601" t="inlineStr">
        <is>
          <t>Пр/812-099.2-1</t>
        </is>
      </c>
      <c r="HO601" t="inlineStr">
        <is>
          <t>Пр/774-099.2</t>
        </is>
      </c>
      <c r="HP601" t="inlineStr">
        <is>
          <t>Внутренние санитарнотехнические работы: смена труб, санприборов, запорной арматуры и другое</t>
        </is>
      </c>
      <c r="HQ601" t="inlineStr">
        <is>
          <t>Внутренние санитарнотехнические работы: смена труб, санприборов, запорной арматуры и другое</t>
        </is>
      </c>
      <c r="HS601" t="n">
        <v>0</v>
      </c>
      <c r="IK601" t="n">
        <v>0</v>
      </c>
    </row>
    <row r="602">
      <c r="A602" t="n">
        <v>17</v>
      </c>
      <c r="B602" t="n">
        <v>1</v>
      </c>
      <c r="C602">
        <f>ROW(SmtRes!A293)</f>
        <v/>
      </c>
      <c r="D602">
        <f>ROW(EtalonRes!A271)</f>
        <v/>
      </c>
      <c r="E602" t="inlineStr">
        <is>
          <t>2</t>
        </is>
      </c>
      <c r="F602" t="inlineStr">
        <is>
          <t>16-07-005-1</t>
        </is>
      </c>
      <c r="G60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02" t="inlineStr">
        <is>
          <t>100 м трубопровода</t>
        </is>
      </c>
      <c r="I602">
        <f>ROUND(ROUND(60/100,4),7)</f>
        <v/>
      </c>
      <c r="J602" t="n">
        <v>0</v>
      </c>
      <c r="K602">
        <f>ROUND(ROUND(60/100,4),7)</f>
        <v/>
      </c>
      <c r="O602">
        <f>ROUND(CP602,0)</f>
        <v/>
      </c>
      <c r="P602">
        <f>ROUND(CQ602*I602,0)</f>
        <v/>
      </c>
      <c r="Q602">
        <f>(ROUND((ROUND((((ET602*ROUND(5,7)))*I602),0)*BB602),0)+ROUND((ROUND(((AE602-((EU602*ROUND(5,7))))*I602),0)*BS602),0))</f>
        <v/>
      </c>
      <c r="R602">
        <f>(ROUND((ROUND((((EU602*ROUND(5,7)))*I602),0)*BS602),0)+ROUND((ROUND(((AE602-((EU602*ROUND(5,7))))*I602),0)*BS602),0))</f>
        <v/>
      </c>
      <c r="S602">
        <f>ROUND(CT602*I602,0)</f>
        <v/>
      </c>
      <c r="T602">
        <f>ROUND(CU602*I602,0)</f>
        <v/>
      </c>
      <c r="U602">
        <f>ROUND(CV602*I602,7)</f>
        <v/>
      </c>
      <c r="V602">
        <f>ROUND(CW602*I602,7)</f>
        <v/>
      </c>
      <c r="W602">
        <f>ROUND(CX602*I602,0)</f>
        <v/>
      </c>
      <c r="X602">
        <f>ROUND(CY602,0)</f>
        <v/>
      </c>
      <c r="Y602">
        <f>ROUND(CZ602,0)</f>
        <v/>
      </c>
      <c r="AA602" t="n">
        <v>78869116</v>
      </c>
      <c r="AB602">
        <f>ROUND((AC602+AD602+AF602),2)</f>
        <v/>
      </c>
      <c r="AC602">
        <f>ROUND(((ES602*ROUND(5,7))),2)</f>
        <v/>
      </c>
      <c r="AD602">
        <f>ROUND(((((ET602*ROUND(5,7)))-((EU602*ROUND(5,7))))+AE602),2)</f>
        <v/>
      </c>
      <c r="AE602">
        <f>ROUND(((EU602*ROUND(5,7))),2)</f>
        <v/>
      </c>
      <c r="AF602">
        <f>ROUND(((EV602*ROUND(5,7))),2)</f>
        <v/>
      </c>
      <c r="AG602">
        <f>ROUND((AP602),2)</f>
        <v/>
      </c>
      <c r="AH602">
        <f>((EW602*ROUND(5,7)))</f>
        <v/>
      </c>
      <c r="AI602">
        <f>((EX602*ROUND(5,7)))</f>
        <v/>
      </c>
      <c r="AJ602">
        <f>(AS602)</f>
        <v/>
      </c>
      <c r="AK602" t="n">
        <v>107.11</v>
      </c>
      <c r="AL602" t="n">
        <v>4.28</v>
      </c>
      <c r="AM602" t="n">
        <v>44.51</v>
      </c>
      <c r="AN602" t="n">
        <v>0</v>
      </c>
      <c r="AO602" t="n">
        <v>58.32</v>
      </c>
      <c r="AP602" t="n">
        <v>0</v>
      </c>
      <c r="AQ602" t="n">
        <v>5.01</v>
      </c>
      <c r="AR602" t="n">
        <v>0</v>
      </c>
      <c r="AS602" t="n">
        <v>0</v>
      </c>
      <c r="AT602" t="n">
        <v>121</v>
      </c>
      <c r="AU602" t="n">
        <v>72</v>
      </c>
      <c r="AV602" t="n">
        <v>1</v>
      </c>
      <c r="AW602" t="n">
        <v>1</v>
      </c>
      <c r="AZ602" t="n">
        <v>1</v>
      </c>
      <c r="BA602" t="n">
        <v>52.25</v>
      </c>
      <c r="BB602" t="n">
        <v>5.97</v>
      </c>
      <c r="BC602" t="n">
        <v>11.38</v>
      </c>
      <c r="BD602" t="inlineStr"/>
      <c r="BE602" t="inlineStr"/>
      <c r="BF602" t="inlineStr"/>
      <c r="BG602" t="inlineStr"/>
      <c r="BH602" t="n">
        <v>0</v>
      </c>
      <c r="BI602" t="n">
        <v>1</v>
      </c>
      <c r="BJ602" t="inlineStr">
        <is>
          <t>ТЕР Московской обл., 16-07-005-1, приказ Минстроя России №675/пр от 28.02.2017 № 260/пр</t>
        </is>
      </c>
      <c r="BM602" t="n">
        <v>16001</v>
      </c>
      <c r="BN602" t="n">
        <v>0</v>
      </c>
      <c r="BO602" t="inlineStr">
        <is>
          <t>16-07-005-1</t>
        </is>
      </c>
      <c r="BP602" t="n">
        <v>1</v>
      </c>
      <c r="BQ602" t="n">
        <v>2</v>
      </c>
      <c r="BR602" t="n">
        <v>0</v>
      </c>
      <c r="BS602" t="n">
        <v>52.25</v>
      </c>
      <c r="BT602" t="n">
        <v>1</v>
      </c>
      <c r="BU602" t="n">
        <v>1</v>
      </c>
      <c r="BV602" t="n">
        <v>1</v>
      </c>
      <c r="BW602" t="n">
        <v>1</v>
      </c>
      <c r="BX602" t="n">
        <v>1</v>
      </c>
      <c r="BY602" t="inlineStr"/>
      <c r="BZ602" t="n">
        <v>121</v>
      </c>
      <c r="CA602" t="n">
        <v>72</v>
      </c>
      <c r="CB602" t="inlineStr"/>
      <c r="CE602" t="n">
        <v>12</v>
      </c>
      <c r="CF602" t="n">
        <v>0</v>
      </c>
      <c r="CG602" t="n">
        <v>0</v>
      </c>
      <c r="CM602" t="n">
        <v>0</v>
      </c>
      <c r="CN602" t="inlineStr"/>
      <c r="CO602" t="n">
        <v>0</v>
      </c>
      <c r="CP602">
        <f>(P602+Q602+S602)</f>
        <v/>
      </c>
      <c r="CQ602">
        <f>AC602*BC602</f>
        <v/>
      </c>
      <c r="CR602">
        <f>(ROUND((ROUND((((ET602*ROUND(5,7)))*1),0)*BB602),0)+ROUND((ROUND(((AE602-((EU602*ROUND(5,7))))*1),0)*BS602),0))</f>
        <v/>
      </c>
      <c r="CS602">
        <f>(ROUND((ROUND((((EU602*ROUND(5,7)))*1),0)*BS602),0)+ROUND((ROUND(((AE602-((EU602*ROUND(5,7))))*1),0)*BS602),0))</f>
        <v/>
      </c>
      <c r="CT602">
        <f>AF602*BA602</f>
        <v/>
      </c>
      <c r="CU602">
        <f>AG602</f>
        <v/>
      </c>
      <c r="CV602">
        <f>AH602</f>
        <v/>
      </c>
      <c r="CW602">
        <f>AI602</f>
        <v/>
      </c>
      <c r="CX602">
        <f>AJ602</f>
        <v/>
      </c>
      <c r="CY602">
        <f>(((S602+R602)*AT602)/100)</f>
        <v/>
      </c>
      <c r="CZ602">
        <f>(((S602+R602)*AU602)/100)</f>
        <v/>
      </c>
      <c r="DC602" t="inlineStr"/>
      <c r="DD602" t="inlineStr">
        <is>
          <t>)*5</t>
        </is>
      </c>
      <c r="DE602" t="inlineStr">
        <is>
          <t>)*5</t>
        </is>
      </c>
      <c r="DF602" t="inlineStr">
        <is>
          <t>)*5</t>
        </is>
      </c>
      <c r="DG602" t="inlineStr">
        <is>
          <t>)*5</t>
        </is>
      </c>
      <c r="DH602" t="inlineStr"/>
      <c r="DI602" t="inlineStr">
        <is>
          <t>)*5</t>
        </is>
      </c>
      <c r="DJ602" t="inlineStr">
        <is>
          <t>)*5</t>
        </is>
      </c>
      <c r="DK602" t="inlineStr"/>
      <c r="DL602" t="inlineStr"/>
      <c r="DM602" t="inlineStr"/>
      <c r="DN602" t="n">
        <v>0</v>
      </c>
      <c r="DO602" t="n">
        <v>0</v>
      </c>
      <c r="DP602" t="n">
        <v>1</v>
      </c>
      <c r="DQ602" t="n">
        <v>1</v>
      </c>
      <c r="DU602" t="n">
        <v>1013</v>
      </c>
      <c r="DV602" t="inlineStr">
        <is>
          <t>100 м трубопровода</t>
        </is>
      </c>
      <c r="DW602" t="inlineStr">
        <is>
          <t>100 м трубопровода</t>
        </is>
      </c>
      <c r="DX602" t="n">
        <v>1</v>
      </c>
      <c r="DZ602" t="inlineStr"/>
      <c r="EA602" t="inlineStr"/>
      <c r="EB602" t="inlineStr"/>
      <c r="EC602" t="inlineStr"/>
      <c r="EE602" t="n">
        <v>78725882</v>
      </c>
      <c r="EF602" t="n">
        <v>2</v>
      </c>
      <c r="EG602" t="inlineStr">
        <is>
          <t>Общестроительные работы</t>
        </is>
      </c>
      <c r="EH602" t="n">
        <v>16</v>
      </c>
      <c r="EI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2" t="n">
        <v>1</v>
      </c>
      <c r="EK602" t="n">
        <v>16001</v>
      </c>
      <c r="EL602" t="inlineStr">
        <is>
          <t>Трубопроводы внутренние</t>
        </is>
      </c>
      <c r="EM602" t="inlineStr">
        <is>
          <t>ФЕР-16</t>
        </is>
      </c>
      <c r="EO602" t="inlineStr"/>
      <c r="EQ602" t="n">
        <v>0</v>
      </c>
      <c r="ER602" t="n">
        <v>107.11</v>
      </c>
      <c r="ES602" t="n">
        <v>4.28</v>
      </c>
      <c r="ET602" t="n">
        <v>44.51</v>
      </c>
      <c r="EU602" t="n">
        <v>0</v>
      </c>
      <c r="EV602" t="n">
        <v>58.32</v>
      </c>
      <c r="EW602" t="n">
        <v>5.01</v>
      </c>
      <c r="EX602" t="n">
        <v>0</v>
      </c>
      <c r="EY602" t="n">
        <v>0</v>
      </c>
      <c r="FQ602" t="n">
        <v>0</v>
      </c>
      <c r="FR602" t="n">
        <v>0</v>
      </c>
      <c r="FS602" t="n">
        <v>0</v>
      </c>
      <c r="FX602" t="n">
        <v>121</v>
      </c>
      <c r="FY602" t="n">
        <v>72</v>
      </c>
      <c r="GA602" t="inlineStr"/>
      <c r="GD602" t="n">
        <v>1</v>
      </c>
      <c r="GF602" t="n">
        <v>635989612</v>
      </c>
      <c r="GG602" t="n">
        <v>2</v>
      </c>
      <c r="GH602" t="n">
        <v>1</v>
      </c>
      <c r="GI602" t="n">
        <v>2</v>
      </c>
      <c r="GJ602" t="n">
        <v>0</v>
      </c>
      <c r="GK602" t="n">
        <v>0</v>
      </c>
      <c r="GL602">
        <f>ROUND(IF(AND(BH602=3,BI602=3,FS602&lt;&gt;0),P602,0),0)</f>
        <v/>
      </c>
      <c r="GM602">
        <f>ROUND(O602+X602+Y602,0)+GX602</f>
        <v/>
      </c>
      <c r="GN602">
        <f>IF(OR(BI602=0,BI602=1),GM602-GX602,0)</f>
        <v/>
      </c>
      <c r="GO602">
        <f>IF(BI602=2,GM602-GX602,0)</f>
        <v/>
      </c>
      <c r="GP602">
        <f>IF(BI602=4,GM602-GX602,0)</f>
        <v/>
      </c>
      <c r="GR602" t="n">
        <v>0</v>
      </c>
      <c r="GS602" t="n">
        <v>3</v>
      </c>
      <c r="GT602" t="n">
        <v>0</v>
      </c>
      <c r="GU602" t="inlineStr"/>
      <c r="GV602">
        <f>ROUND((GT602),2)</f>
        <v/>
      </c>
      <c r="GW602" t="n">
        <v>1</v>
      </c>
      <c r="GX602">
        <f>ROUND(HC602*I602,0)</f>
        <v/>
      </c>
      <c r="HA602" t="n">
        <v>0</v>
      </c>
      <c r="HB602" t="n">
        <v>0</v>
      </c>
      <c r="HC602">
        <f>GV602*GW602</f>
        <v/>
      </c>
      <c r="HE602" t="inlineStr"/>
      <c r="HF602" t="inlineStr"/>
      <c r="HM602" t="inlineStr"/>
      <c r="HN602" t="inlineStr">
        <is>
          <t>Пр/812-016.0-1</t>
        </is>
      </c>
      <c r="HO602" t="inlineStr">
        <is>
          <t>Пр/774-016.0</t>
        </is>
      </c>
      <c r="HP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2" t="n">
        <v>0</v>
      </c>
      <c r="IK602" t="n">
        <v>0</v>
      </c>
    </row>
    <row r="603">
      <c r="A603" t="n">
        <v>17</v>
      </c>
      <c r="B603" t="n">
        <v>1</v>
      </c>
      <c r="C603">
        <f>ROW(SmtRes!A296)</f>
        <v/>
      </c>
      <c r="D603">
        <f>ROW(EtalonRes!A273)</f>
        <v/>
      </c>
      <c r="E603" t="inlineStr">
        <is>
          <t>3</t>
        </is>
      </c>
      <c r="F603" t="inlineStr">
        <is>
          <t>67-5-2</t>
        </is>
      </c>
      <c r="G603" t="inlineStr">
        <is>
          <t>Смена ламп люминесцентных</t>
        </is>
      </c>
      <c r="H603" t="inlineStr">
        <is>
          <t>100 шт.</t>
        </is>
      </c>
      <c r="I603">
        <f>ROUND(ROUND(2/100,4),7)</f>
        <v/>
      </c>
      <c r="J603" t="n">
        <v>0</v>
      </c>
      <c r="K603">
        <f>ROUND(ROUND(2/100,4),7)</f>
        <v/>
      </c>
      <c r="O603">
        <f>ROUND(CP603,0)</f>
        <v/>
      </c>
      <c r="P603">
        <f>ROUND(CQ603*I603,0)</f>
        <v/>
      </c>
      <c r="Q603">
        <f>(ROUND((ROUND(((ET603)*I603),0)*BB603),0)+ROUND((ROUND(((AE603-(EU603))*I603),0)*BS603),0))</f>
        <v/>
      </c>
      <c r="R603">
        <f>(ROUND((ROUND(((EU603)*I603),0)*BS603),0)+ROUND((ROUND(((AE603-(EU603))*I603),0)*BS603),0))</f>
        <v/>
      </c>
      <c r="S603">
        <f>ROUND(CT603*I603,0)</f>
        <v/>
      </c>
      <c r="T603">
        <f>ROUND(CU603*I603,0)</f>
        <v/>
      </c>
      <c r="U603">
        <f>ROUND(CV603*I603,7)</f>
        <v/>
      </c>
      <c r="V603">
        <f>ROUND(CW603*I603,7)</f>
        <v/>
      </c>
      <c r="W603">
        <f>ROUND(CX603*I603,0)</f>
        <v/>
      </c>
      <c r="X603">
        <f>ROUND(CY603,0)</f>
        <v/>
      </c>
      <c r="Y603">
        <f>ROUND(CZ603,0)</f>
        <v/>
      </c>
      <c r="AA603" t="n">
        <v>78869116</v>
      </c>
      <c r="AB603">
        <f>ROUND((AC603+AD603+AF603),2)</f>
        <v/>
      </c>
      <c r="AC603">
        <f>ROUND((ES603),2)</f>
        <v/>
      </c>
      <c r="AD603">
        <f>ROUND((((ET603)-(EU603))+AE603),2)</f>
        <v/>
      </c>
      <c r="AE603">
        <f>ROUND((EU603),2)</f>
        <v/>
      </c>
      <c r="AF603">
        <f>ROUND((EV603),2)</f>
        <v/>
      </c>
      <c r="AG603">
        <f>ROUND((AP603),2)</f>
        <v/>
      </c>
      <c r="AH603">
        <f>(EW603)</f>
        <v/>
      </c>
      <c r="AI603">
        <f>(EX603)</f>
        <v/>
      </c>
      <c r="AJ603">
        <f>(AS603)</f>
        <v/>
      </c>
      <c r="AK603" t="n">
        <v>970.5700000000001</v>
      </c>
      <c r="AL603" t="n">
        <v>852</v>
      </c>
      <c r="AM603" t="n">
        <v>0</v>
      </c>
      <c r="AN603" t="n">
        <v>0</v>
      </c>
      <c r="AO603" t="n">
        <v>118.57</v>
      </c>
      <c r="AP603" t="n">
        <v>0</v>
      </c>
      <c r="AQ603" t="n">
        <v>13.9</v>
      </c>
      <c r="AR603" t="n">
        <v>0</v>
      </c>
      <c r="AS603" t="n">
        <v>0</v>
      </c>
      <c r="AT603" t="n">
        <v>91</v>
      </c>
      <c r="AU603" t="n">
        <v>48</v>
      </c>
      <c r="AV603" t="n">
        <v>1</v>
      </c>
      <c r="AW603" t="n">
        <v>1</v>
      </c>
      <c r="AZ603" t="n">
        <v>1</v>
      </c>
      <c r="BA603" t="n">
        <v>52.25</v>
      </c>
      <c r="BB603" t="n">
        <v>1</v>
      </c>
      <c r="BC603" t="n">
        <v>4.14</v>
      </c>
      <c r="BD603" t="inlineStr"/>
      <c r="BE603" t="inlineStr"/>
      <c r="BF603" t="inlineStr"/>
      <c r="BG603" t="inlineStr"/>
      <c r="BH603" t="n">
        <v>0</v>
      </c>
      <c r="BI603" t="n">
        <v>1</v>
      </c>
      <c r="BJ603" t="inlineStr">
        <is>
          <t>ТЕРр Московской обл., 67-5-2, приказ Минстроя России №675/пр от 28.02.2017 № 263/пр</t>
        </is>
      </c>
      <c r="BM603" t="n">
        <v>67001</v>
      </c>
      <c r="BN603" t="n">
        <v>0</v>
      </c>
      <c r="BO603" t="inlineStr">
        <is>
          <t>67-5-2</t>
        </is>
      </c>
      <c r="BP603" t="n">
        <v>1</v>
      </c>
      <c r="BQ603" t="n">
        <v>6</v>
      </c>
      <c r="BR603" t="n">
        <v>0</v>
      </c>
      <c r="BS603" t="n">
        <v>52.25</v>
      </c>
      <c r="BT603" t="n">
        <v>1</v>
      </c>
      <c r="BU603" t="n">
        <v>1</v>
      </c>
      <c r="BV603" t="n">
        <v>1</v>
      </c>
      <c r="BW603" t="n">
        <v>1</v>
      </c>
      <c r="BX603" t="n">
        <v>1</v>
      </c>
      <c r="BY603" t="inlineStr"/>
      <c r="BZ603" t="n">
        <v>91</v>
      </c>
      <c r="CA603" t="n">
        <v>48</v>
      </c>
      <c r="CB603" t="inlineStr"/>
      <c r="CE603" t="n">
        <v>12</v>
      </c>
      <c r="CF603" t="n">
        <v>0</v>
      </c>
      <c r="CG603" t="n">
        <v>0</v>
      </c>
      <c r="CM603" t="n">
        <v>0</v>
      </c>
      <c r="CN603" t="inlineStr"/>
      <c r="CO603" t="n">
        <v>0</v>
      </c>
      <c r="CP603">
        <f>(P603+Q603+S603)</f>
        <v/>
      </c>
      <c r="CQ603">
        <f>AC603*BC603</f>
        <v/>
      </c>
      <c r="CR603">
        <f>(ROUND((ROUND(((ET603)*1),0)*BB603),0)+ROUND((ROUND(((AE603-(EU603))*1),0)*BS603),0))</f>
        <v/>
      </c>
      <c r="CS603">
        <f>(ROUND((ROUND(((EU603)*1),0)*BS603),0)+ROUND((ROUND(((AE603-(EU603))*1),0)*BS603),0))</f>
        <v/>
      </c>
      <c r="CT603">
        <f>AF603*BA603</f>
        <v/>
      </c>
      <c r="CU603">
        <f>AG603</f>
        <v/>
      </c>
      <c r="CV603">
        <f>AH603</f>
        <v/>
      </c>
      <c r="CW603">
        <f>AI603</f>
        <v/>
      </c>
      <c r="CX603">
        <f>AJ603</f>
        <v/>
      </c>
      <c r="CY603">
        <f>(((S603+R603)*AT603)/100)</f>
        <v/>
      </c>
      <c r="CZ603">
        <f>(((S603+R603)*AU603)/100)</f>
        <v/>
      </c>
      <c r="DC603" t="inlineStr"/>
      <c r="DD603" t="inlineStr"/>
      <c r="DE603" t="inlineStr"/>
      <c r="DF603" t="inlineStr"/>
      <c r="DG603" t="inlineStr"/>
      <c r="DH603" t="inlineStr"/>
      <c r="DI603" t="inlineStr"/>
      <c r="DJ603" t="inlineStr"/>
      <c r="DK603" t="inlineStr"/>
      <c r="DL603" t="inlineStr"/>
      <c r="DM603" t="inlineStr"/>
      <c r="DN603" t="n">
        <v>0</v>
      </c>
      <c r="DO603" t="n">
        <v>0</v>
      </c>
      <c r="DP603" t="n">
        <v>1</v>
      </c>
      <c r="DQ603" t="n">
        <v>1</v>
      </c>
      <c r="DU603" t="n">
        <v>1010</v>
      </c>
      <c r="DV603" t="inlineStr">
        <is>
          <t>100 шт.</t>
        </is>
      </c>
      <c r="DW603" t="inlineStr">
        <is>
          <t>100 шт.</t>
        </is>
      </c>
      <c r="DX603" t="n">
        <v>100</v>
      </c>
      <c r="DZ603" t="inlineStr"/>
      <c r="EA603" t="inlineStr"/>
      <c r="EB603" t="inlineStr"/>
      <c r="EC603" t="inlineStr"/>
      <c r="EE603" t="n">
        <v>78726030</v>
      </c>
      <c r="EF603" t="n">
        <v>6</v>
      </c>
      <c r="EG603" t="inlineStr">
        <is>
          <t>Ремонтно-строительные работы</t>
        </is>
      </c>
      <c r="EH603" t="n">
        <v>101</v>
      </c>
      <c r="EI603" t="inlineStr">
        <is>
          <t>Электромонтажные работы</t>
        </is>
      </c>
      <c r="EJ603" t="n">
        <v>1</v>
      </c>
      <c r="EK603" t="n">
        <v>67001</v>
      </c>
      <c r="EL603" t="inlineStr">
        <is>
          <t>Электромонтажные работы</t>
        </is>
      </c>
      <c r="EM603" t="inlineStr">
        <is>
          <t>рФЕР-67</t>
        </is>
      </c>
      <c r="EO603" t="inlineStr"/>
      <c r="EQ603" t="n">
        <v>0</v>
      </c>
      <c r="ER603" t="n">
        <v>970.5700000000001</v>
      </c>
      <c r="ES603" t="n">
        <v>852</v>
      </c>
      <c r="ET603" t="n">
        <v>0</v>
      </c>
      <c r="EU603" t="n">
        <v>0</v>
      </c>
      <c r="EV603" t="n">
        <v>118.57</v>
      </c>
      <c r="EW603" t="n">
        <v>13.9</v>
      </c>
      <c r="EX603" t="n">
        <v>0</v>
      </c>
      <c r="EY603" t="n">
        <v>0</v>
      </c>
      <c r="FQ603" t="n">
        <v>0</v>
      </c>
      <c r="FR603" t="n">
        <v>0</v>
      </c>
      <c r="FS603" t="n">
        <v>0</v>
      </c>
      <c r="FX603" t="n">
        <v>91</v>
      </c>
      <c r="FY603" t="n">
        <v>48</v>
      </c>
      <c r="GA603" t="inlineStr"/>
      <c r="GD603" t="n">
        <v>1</v>
      </c>
      <c r="GF603" t="n">
        <v>1400342257</v>
      </c>
      <c r="GG603" t="n">
        <v>2</v>
      </c>
      <c r="GH603" t="n">
        <v>1</v>
      </c>
      <c r="GI603" t="n">
        <v>2</v>
      </c>
      <c r="GJ603" t="n">
        <v>0</v>
      </c>
      <c r="GK603" t="n">
        <v>0</v>
      </c>
      <c r="GL603">
        <f>ROUND(IF(AND(BH603=3,BI603=3,FS603&lt;&gt;0),P603,0),0)</f>
        <v/>
      </c>
      <c r="GM603">
        <f>ROUND(O603+X603+Y603,0)+GX603</f>
        <v/>
      </c>
      <c r="GN603">
        <f>IF(OR(BI603=0,BI603=1),GM603-GX603,0)</f>
        <v/>
      </c>
      <c r="GO603">
        <f>IF(BI603=2,GM603-GX603,0)</f>
        <v/>
      </c>
      <c r="GP603">
        <f>IF(BI603=4,GM603-GX603,0)</f>
        <v/>
      </c>
      <c r="GR603" t="n">
        <v>0</v>
      </c>
      <c r="GS603" t="n">
        <v>3</v>
      </c>
      <c r="GT603" t="n">
        <v>0</v>
      </c>
      <c r="GU603" t="inlineStr"/>
      <c r="GV603">
        <f>ROUND((GT603),2)</f>
        <v/>
      </c>
      <c r="GW603" t="n">
        <v>1</v>
      </c>
      <c r="GX603">
        <f>ROUND(HC603*I603,0)</f>
        <v/>
      </c>
      <c r="HA603" t="n">
        <v>0</v>
      </c>
      <c r="HB603" t="n">
        <v>0</v>
      </c>
      <c r="HC603">
        <f>GV603*GW603</f>
        <v/>
      </c>
      <c r="HE603" t="inlineStr"/>
      <c r="HF603" t="inlineStr"/>
      <c r="HM603" t="inlineStr"/>
      <c r="HN603" t="inlineStr">
        <is>
          <t>Пр/812-101.0-1</t>
        </is>
      </c>
      <c r="HO603" t="inlineStr">
        <is>
          <t>Пр/774-101.0</t>
        </is>
      </c>
      <c r="HP603" t="inlineStr">
        <is>
          <t>Электромонтажные работы</t>
        </is>
      </c>
      <c r="HQ603" t="inlineStr">
        <is>
          <t>Электромонтажные работы</t>
        </is>
      </c>
      <c r="HS603" t="n">
        <v>0</v>
      </c>
      <c r="IK603" t="n">
        <v>0</v>
      </c>
    </row>
    <row r="604">
      <c r="A604" t="n">
        <v>18</v>
      </c>
      <c r="B604" t="n">
        <v>1</v>
      </c>
      <c r="C604" t="n">
        <v>296</v>
      </c>
      <c r="E604" t="inlineStr">
        <is>
          <t>3,1</t>
        </is>
      </c>
      <c r="F604" t="inlineStr">
        <is>
          <t>509-6744</t>
        </is>
      </c>
      <c r="G604" t="inlineStr">
        <is>
          <t>Лампы люминесцентные компактные энергосберегающие с цоколем Е27 мощностью 55 Вт</t>
        </is>
      </c>
      <c r="H604" t="inlineStr">
        <is>
          <t>шт.</t>
        </is>
      </c>
      <c r="I604">
        <f>I603*J604</f>
        <v/>
      </c>
      <c r="J604" t="n">
        <v>100</v>
      </c>
      <c r="K604" t="n">
        <v>100</v>
      </c>
      <c r="O604">
        <f>ROUND(CP604,0)</f>
        <v/>
      </c>
      <c r="P604">
        <f>ROUND(CQ604*I604,0)</f>
        <v/>
      </c>
      <c r="Q604">
        <f>(ROUND((ROUND(((ET604)*I604),0)*BB604),0)+ROUND((ROUND(((AE604-(EU604))*I604),0)*BS604),0))</f>
        <v/>
      </c>
      <c r="R604">
        <f>(ROUND((ROUND(((EU604)*I604),0)*BS604),0)+ROUND((ROUND(((AE604-(EU604))*I604),0)*BS604),0))</f>
        <v/>
      </c>
      <c r="S604">
        <f>ROUND(CT604*I604,0)</f>
        <v/>
      </c>
      <c r="T604">
        <f>ROUND(CU604*I604,0)</f>
        <v/>
      </c>
      <c r="U604">
        <f>ROUND(CV604*I604,7)</f>
        <v/>
      </c>
      <c r="V604">
        <f>ROUND(CW604*I604,7)</f>
        <v/>
      </c>
      <c r="W604">
        <f>ROUND(CX604*I604,0)</f>
        <v/>
      </c>
      <c r="X604">
        <f>ROUND(CY604,0)</f>
        <v/>
      </c>
      <c r="Y604">
        <f>ROUND(CZ604,0)</f>
        <v/>
      </c>
      <c r="AA604" t="n">
        <v>78869116</v>
      </c>
      <c r="AB604">
        <f>ROUND((AC604+AD604+AF604),2)</f>
        <v/>
      </c>
      <c r="AC604">
        <f>ROUND((ES604),2)</f>
        <v/>
      </c>
      <c r="AD604">
        <f>ROUND((((ET604)-(EU604))+AE604),2)</f>
        <v/>
      </c>
      <c r="AE604">
        <f>ROUND((EU604),2)</f>
        <v/>
      </c>
      <c r="AF604">
        <f>ROUND((EV604),2)</f>
        <v/>
      </c>
      <c r="AG604">
        <f>ROUND((AP604),2)</f>
        <v/>
      </c>
      <c r="AH604">
        <f>(EW604)</f>
        <v/>
      </c>
      <c r="AI604">
        <f>(EX604)</f>
        <v/>
      </c>
      <c r="AJ604">
        <f>(AS604)</f>
        <v/>
      </c>
      <c r="AK604" t="n">
        <v>140.69</v>
      </c>
      <c r="AL604" t="n">
        <v>140.69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n">
        <v>0.02</v>
      </c>
      <c r="AT604" t="n">
        <v>91</v>
      </c>
      <c r="AU604" t="n">
        <v>48</v>
      </c>
      <c r="AV604" t="n">
        <v>1</v>
      </c>
      <c r="AW604" t="n">
        <v>1</v>
      </c>
      <c r="AZ604" t="n">
        <v>1</v>
      </c>
      <c r="BA604" t="n">
        <v>1</v>
      </c>
      <c r="BB604" t="n">
        <v>1</v>
      </c>
      <c r="BC604" t="n">
        <v>1.69</v>
      </c>
      <c r="BD604" t="inlineStr"/>
      <c r="BE604" t="inlineStr"/>
      <c r="BF604" t="inlineStr"/>
      <c r="BG604" t="inlineStr"/>
      <c r="BH604" t="n">
        <v>3</v>
      </c>
      <c r="BI604" t="n">
        <v>1</v>
      </c>
      <c r="BJ604" t="inlineStr">
        <is>
          <t>ТССЦ Московской обл., 509-6744, приказ Минстроя России №675/пр от 28.02.2017 № 258/пр</t>
        </is>
      </c>
      <c r="BM604" t="n">
        <v>67001</v>
      </c>
      <c r="BN604" t="n">
        <v>0</v>
      </c>
      <c r="BO604" t="inlineStr">
        <is>
          <t>509-6744</t>
        </is>
      </c>
      <c r="BP604" t="n">
        <v>1</v>
      </c>
      <c r="BQ604" t="n">
        <v>6</v>
      </c>
      <c r="BR604" t="n">
        <v>0</v>
      </c>
      <c r="BS604" t="n">
        <v>1</v>
      </c>
      <c r="BT604" t="n">
        <v>1</v>
      </c>
      <c r="BU604" t="n">
        <v>1</v>
      </c>
      <c r="BV604" t="n">
        <v>1</v>
      </c>
      <c r="BW604" t="n">
        <v>1</v>
      </c>
      <c r="BX604" t="n">
        <v>1</v>
      </c>
      <c r="BY604" t="inlineStr"/>
      <c r="BZ604" t="n">
        <v>91</v>
      </c>
      <c r="CA604" t="n">
        <v>48</v>
      </c>
      <c r="CB604" t="inlineStr"/>
      <c r="CE604" t="n">
        <v>12</v>
      </c>
      <c r="CF604" t="n">
        <v>0</v>
      </c>
      <c r="CG604" t="n">
        <v>0</v>
      </c>
      <c r="CM604" t="n">
        <v>0</v>
      </c>
      <c r="CN604" t="inlineStr"/>
      <c r="CO604" t="n">
        <v>0</v>
      </c>
      <c r="CP604">
        <f>(P604+Q604+S604)</f>
        <v/>
      </c>
      <c r="CQ604">
        <f>AC604*BC604</f>
        <v/>
      </c>
      <c r="CR604">
        <f>(ROUND((ROUND(((ET604)*1),0)*BB604),0)+ROUND((ROUND(((AE604-(EU604))*1),0)*BS604),0))</f>
        <v/>
      </c>
      <c r="CS604">
        <f>(ROUND((ROUND(((EU604)*1),0)*BS604),0)+ROUND((ROUND(((AE604-(EU604))*1),0)*BS604),0))</f>
        <v/>
      </c>
      <c r="CT604">
        <f>AF604*BA604</f>
        <v/>
      </c>
      <c r="CU604">
        <f>AG604</f>
        <v/>
      </c>
      <c r="CV604">
        <f>AH604</f>
        <v/>
      </c>
      <c r="CW604">
        <f>AI604</f>
        <v/>
      </c>
      <c r="CX604">
        <f>AJ604</f>
        <v/>
      </c>
      <c r="CY604">
        <f>(((S604+R604)*AT604)/100)</f>
        <v/>
      </c>
      <c r="CZ604">
        <f>(((S604+R604)*AU604)/100)</f>
        <v/>
      </c>
      <c r="DC604" t="inlineStr"/>
      <c r="DD604" t="inlineStr"/>
      <c r="DE604" t="inlineStr"/>
      <c r="DF604" t="inlineStr"/>
      <c r="DG604" t="inlineStr"/>
      <c r="DH604" t="inlineStr"/>
      <c r="DI604" t="inlineStr"/>
      <c r="DJ604" t="inlineStr"/>
      <c r="DK604" t="inlineStr"/>
      <c r="DL604" t="inlineStr"/>
      <c r="DM604" t="inlineStr"/>
      <c r="DN604" t="n">
        <v>0</v>
      </c>
      <c r="DO604" t="n">
        <v>0</v>
      </c>
      <c r="DP604" t="n">
        <v>1</v>
      </c>
      <c r="DQ604" t="n">
        <v>1</v>
      </c>
      <c r="DU604" t="n">
        <v>1010</v>
      </c>
      <c r="DV604" t="inlineStr">
        <is>
          <t>шт.</t>
        </is>
      </c>
      <c r="DW604" t="inlineStr">
        <is>
          <t>шт.</t>
        </is>
      </c>
      <c r="DX604" t="n">
        <v>1</v>
      </c>
      <c r="DZ604" t="inlineStr"/>
      <c r="EA604" t="inlineStr"/>
      <c r="EB604" t="inlineStr"/>
      <c r="EC604" t="inlineStr"/>
      <c r="EE604" t="n">
        <v>78726030</v>
      </c>
      <c r="EF604" t="n">
        <v>6</v>
      </c>
      <c r="EG604" t="inlineStr">
        <is>
          <t>Ремонтно-строительные работы</t>
        </is>
      </c>
      <c r="EH604" t="n">
        <v>101</v>
      </c>
      <c r="EI604" t="inlineStr">
        <is>
          <t>Электромонтажные работы</t>
        </is>
      </c>
      <c r="EJ604" t="n">
        <v>1</v>
      </c>
      <c r="EK604" t="n">
        <v>67001</v>
      </c>
      <c r="EL604" t="inlineStr">
        <is>
          <t>Электромонтажные работы</t>
        </is>
      </c>
      <c r="EM604" t="inlineStr">
        <is>
          <t>рФЕР-67</t>
        </is>
      </c>
      <c r="EO604" t="inlineStr"/>
      <c r="EQ604" t="n">
        <v>0</v>
      </c>
      <c r="ER604" t="n">
        <v>140.69</v>
      </c>
      <c r="ES604" t="n">
        <v>140.69</v>
      </c>
      <c r="ET604" t="n">
        <v>0</v>
      </c>
      <c r="EU604" t="n">
        <v>0</v>
      </c>
      <c r="EV604" t="n">
        <v>0</v>
      </c>
      <c r="EW604" t="n">
        <v>0</v>
      </c>
      <c r="EX604" t="n">
        <v>0</v>
      </c>
      <c r="FQ604" t="n">
        <v>0</v>
      </c>
      <c r="FR604" t="n">
        <v>0</v>
      </c>
      <c r="FS604" t="n">
        <v>0</v>
      </c>
      <c r="FX604" t="n">
        <v>91</v>
      </c>
      <c r="FY604" t="n">
        <v>48</v>
      </c>
      <c r="GA604" t="inlineStr"/>
      <c r="GD604" t="n">
        <v>1</v>
      </c>
      <c r="GF604" t="n">
        <v>-228955380</v>
      </c>
      <c r="GG604" t="n">
        <v>2</v>
      </c>
      <c r="GH604" t="n">
        <v>1</v>
      </c>
      <c r="GI604" t="n">
        <v>2</v>
      </c>
      <c r="GJ604" t="n">
        <v>0</v>
      </c>
      <c r="GK604" t="n">
        <v>0</v>
      </c>
      <c r="GL604">
        <f>ROUND(IF(AND(BH604=3,BI604=3,FS604&lt;&gt;0),P604,0),0)</f>
        <v/>
      </c>
      <c r="GM604">
        <f>ROUND(O604+X604+Y604,0)+GX604</f>
        <v/>
      </c>
      <c r="GN604">
        <f>IF(OR(BI604=0,BI604=1),GM604-GX604,0)</f>
        <v/>
      </c>
      <c r="GO604">
        <f>IF(BI604=2,GM604-GX604,0)</f>
        <v/>
      </c>
      <c r="GP604">
        <f>IF(BI604=4,GM604-GX604,0)</f>
        <v/>
      </c>
      <c r="GR604" t="n">
        <v>0</v>
      </c>
      <c r="GS604" t="n">
        <v>3</v>
      </c>
      <c r="GT604" t="n">
        <v>0</v>
      </c>
      <c r="GU604" t="inlineStr"/>
      <c r="GV604">
        <f>ROUND((GT604),2)</f>
        <v/>
      </c>
      <c r="GW604" t="n">
        <v>1</v>
      </c>
      <c r="GX604">
        <f>ROUND(HC604*I604,0)</f>
        <v/>
      </c>
      <c r="HA604" t="n">
        <v>0</v>
      </c>
      <c r="HB604" t="n">
        <v>0</v>
      </c>
      <c r="HC604">
        <f>GV604*GW604</f>
        <v/>
      </c>
      <c r="HE604" t="inlineStr"/>
      <c r="HF604" t="inlineStr"/>
      <c r="HM604" t="inlineStr"/>
      <c r="HN604" t="inlineStr">
        <is>
          <t>Пр/812-101.0-1</t>
        </is>
      </c>
      <c r="HO604" t="inlineStr">
        <is>
          <t>Пр/774-101.0</t>
        </is>
      </c>
      <c r="HP604" t="inlineStr">
        <is>
          <t>Электромонтажные работы</t>
        </is>
      </c>
      <c r="HQ604" t="inlineStr">
        <is>
          <t>Электромонтажные работы</t>
        </is>
      </c>
      <c r="HS604" t="n">
        <v>0</v>
      </c>
      <c r="IK604" t="n">
        <v>0</v>
      </c>
    </row>
    <row r="605">
      <c r="A605" t="n">
        <v>17</v>
      </c>
      <c r="B605" t="n">
        <v>1</v>
      </c>
      <c r="C605">
        <f>ROW(SmtRes!A297)</f>
        <v/>
      </c>
      <c r="D605">
        <f>ROW(EtalonRes!A274)</f>
        <v/>
      </c>
      <c r="E605" t="inlineStr">
        <is>
          <t>4</t>
        </is>
      </c>
      <c r="F605" t="inlineStr">
        <is>
          <t>65-14-1</t>
        </is>
      </c>
      <c r="G605" t="inlineStr">
        <is>
          <t>Разборка трубопроводов из водогазопроводных труб в зданиях и сооружениях на резьбе диаметром до 32 мм</t>
        </is>
      </c>
      <c r="H605" t="inlineStr">
        <is>
          <t>100 м трубопровода</t>
        </is>
      </c>
      <c r="I605">
        <f>ROUND(ROUND(8/100,4),7)</f>
        <v/>
      </c>
      <c r="J605" t="n">
        <v>0</v>
      </c>
      <c r="K605">
        <f>ROUND(ROUND(8/100,4),7)</f>
        <v/>
      </c>
      <c r="O605">
        <f>ROUND(CP605,0)</f>
        <v/>
      </c>
      <c r="P605">
        <f>ROUND(CQ605*I605,0)</f>
        <v/>
      </c>
      <c r="Q605">
        <f>(ROUND((ROUND(((ET605)*I605),0)*BB605),0)+ROUND((ROUND(((AE605-(EU605))*I605),0)*BS605),0))</f>
        <v/>
      </c>
      <c r="R605">
        <f>(ROUND((ROUND(((EU605)*I605),0)*BS605),0)+ROUND((ROUND(((AE605-(EU605))*I605),0)*BS605),0))</f>
        <v/>
      </c>
      <c r="S605">
        <f>ROUND(CT605*I605,0)</f>
        <v/>
      </c>
      <c r="T605">
        <f>ROUND(CU605*I605,0)</f>
        <v/>
      </c>
      <c r="U605">
        <f>ROUND(CV605*I605,7)</f>
        <v/>
      </c>
      <c r="V605">
        <f>ROUND(CW605*I605,7)</f>
        <v/>
      </c>
      <c r="W605">
        <f>ROUND(CX605*I605,0)</f>
        <v/>
      </c>
      <c r="X605">
        <f>ROUND(CY605,0)</f>
        <v/>
      </c>
      <c r="Y605">
        <f>ROUND(CZ605,0)</f>
        <v/>
      </c>
      <c r="AA605" t="n">
        <v>78869116</v>
      </c>
      <c r="AB605">
        <f>ROUND((AC605+AD605+AF605),2)</f>
        <v/>
      </c>
      <c r="AC605">
        <f>ROUND((ES605),2)</f>
        <v/>
      </c>
      <c r="AD605">
        <f>ROUND((((ET605)-(EU605))+AE605),2)</f>
        <v/>
      </c>
      <c r="AE605">
        <f>ROUND((EU605),2)</f>
        <v/>
      </c>
      <c r="AF605">
        <f>ROUND((EV605),2)</f>
        <v/>
      </c>
      <c r="AG605">
        <f>ROUND((AP605),2)</f>
        <v/>
      </c>
      <c r="AH605">
        <f>(EW605)</f>
        <v/>
      </c>
      <c r="AI605">
        <f>(EX605)</f>
        <v/>
      </c>
      <c r="AJ605">
        <f>(AS605)</f>
        <v/>
      </c>
      <c r="AK605" t="n">
        <v>322.43</v>
      </c>
      <c r="AL605" t="n">
        <v>0</v>
      </c>
      <c r="AM605" t="n">
        <v>0</v>
      </c>
      <c r="AN605" t="n">
        <v>0</v>
      </c>
      <c r="AO605" t="n">
        <v>322.43</v>
      </c>
      <c r="AP605" t="n">
        <v>0</v>
      </c>
      <c r="AQ605" t="n">
        <v>37.8</v>
      </c>
      <c r="AR605" t="n">
        <v>0</v>
      </c>
      <c r="AS605" t="n">
        <v>0</v>
      </c>
      <c r="AT605" t="n">
        <v>87</v>
      </c>
      <c r="AU605" t="n">
        <v>44</v>
      </c>
      <c r="AV605" t="n">
        <v>1</v>
      </c>
      <c r="AW605" t="n">
        <v>1</v>
      </c>
      <c r="AZ605" t="n">
        <v>1</v>
      </c>
      <c r="BA605" t="n">
        <v>52.25</v>
      </c>
      <c r="BB605" t="n">
        <v>1</v>
      </c>
      <c r="BC605" t="n">
        <v>1</v>
      </c>
      <c r="BD605" t="inlineStr"/>
      <c r="BE605" t="inlineStr"/>
      <c r="BF605" t="inlineStr"/>
      <c r="BG605" t="inlineStr"/>
      <c r="BH605" t="n">
        <v>0</v>
      </c>
      <c r="BI605" t="n">
        <v>1</v>
      </c>
      <c r="BJ605" t="inlineStr">
        <is>
          <t>ТЕРр Московской обл., 65-14-1, приказ Минстроя России №675/пр от 28.02.2017 № 263/пр</t>
        </is>
      </c>
      <c r="BM605" t="n">
        <v>65002</v>
      </c>
      <c r="BN605" t="n">
        <v>0</v>
      </c>
      <c r="BO605" t="inlineStr">
        <is>
          <t>65-14-1</t>
        </is>
      </c>
      <c r="BP605" t="n">
        <v>1</v>
      </c>
      <c r="BQ605" t="n">
        <v>6</v>
      </c>
      <c r="BR605" t="n">
        <v>0</v>
      </c>
      <c r="BS605" t="n">
        <v>52.25</v>
      </c>
      <c r="BT605" t="n">
        <v>1</v>
      </c>
      <c r="BU605" t="n">
        <v>1</v>
      </c>
      <c r="BV605" t="n">
        <v>1</v>
      </c>
      <c r="BW605" t="n">
        <v>1</v>
      </c>
      <c r="BX605" t="n">
        <v>1</v>
      </c>
      <c r="BY605" t="inlineStr"/>
      <c r="BZ605" t="n">
        <v>87</v>
      </c>
      <c r="CA605" t="n">
        <v>44</v>
      </c>
      <c r="CB605" t="inlineStr"/>
      <c r="CE605" t="n">
        <v>12</v>
      </c>
      <c r="CF605" t="n">
        <v>0</v>
      </c>
      <c r="CG605" t="n">
        <v>0</v>
      </c>
      <c r="CM605" t="n">
        <v>0</v>
      </c>
      <c r="CN605" t="inlineStr"/>
      <c r="CO605" t="n">
        <v>0</v>
      </c>
      <c r="CP605">
        <f>(P605+Q605+S605)</f>
        <v/>
      </c>
      <c r="CQ605">
        <f>AC605*BC605</f>
        <v/>
      </c>
      <c r="CR605">
        <f>(ROUND((ROUND(((ET605)*1),0)*BB605),0)+ROUND((ROUND(((AE605-(EU605))*1),0)*BS605),0))</f>
        <v/>
      </c>
      <c r="CS605">
        <f>(ROUND((ROUND(((EU605)*1),0)*BS605),0)+ROUND((ROUND(((AE605-(EU605))*1),0)*BS605),0))</f>
        <v/>
      </c>
      <c r="CT605">
        <f>AF605*BA605</f>
        <v/>
      </c>
      <c r="CU605">
        <f>AG605</f>
        <v/>
      </c>
      <c r="CV605">
        <f>AH605</f>
        <v/>
      </c>
      <c r="CW605">
        <f>AI605</f>
        <v/>
      </c>
      <c r="CX605">
        <f>AJ605</f>
        <v/>
      </c>
      <c r="CY605">
        <f>(((S605+R605)*AT605)/100)</f>
        <v/>
      </c>
      <c r="CZ605">
        <f>(((S605+R605)*AU605)/100)</f>
        <v/>
      </c>
      <c r="DC605" t="inlineStr"/>
      <c r="DD605" t="inlineStr"/>
      <c r="DE605" t="inlineStr"/>
      <c r="DF605" t="inlineStr"/>
      <c r="DG605" t="inlineStr"/>
      <c r="DH605" t="inlineStr"/>
      <c r="DI605" t="inlineStr"/>
      <c r="DJ605" t="inlineStr"/>
      <c r="DK605" t="inlineStr"/>
      <c r="DL605" t="inlineStr"/>
      <c r="DM605" t="inlineStr"/>
      <c r="DN605" t="n">
        <v>0</v>
      </c>
      <c r="DO605" t="n">
        <v>0</v>
      </c>
      <c r="DP605" t="n">
        <v>1</v>
      </c>
      <c r="DQ605" t="n">
        <v>1</v>
      </c>
      <c r="DU605" t="n">
        <v>1013</v>
      </c>
      <c r="DV605" t="inlineStr">
        <is>
          <t>100 м трубопровода</t>
        </is>
      </c>
      <c r="DW605" t="inlineStr">
        <is>
          <t>100 м трубопровода</t>
        </is>
      </c>
      <c r="DX605" t="n">
        <v>1</v>
      </c>
      <c r="DZ605" t="inlineStr"/>
      <c r="EA605" t="inlineStr"/>
      <c r="EB605" t="inlineStr"/>
      <c r="EC605" t="inlineStr"/>
      <c r="EE605" t="n">
        <v>78725991</v>
      </c>
      <c r="EF605" t="n">
        <v>6</v>
      </c>
      <c r="EG605" t="inlineStr">
        <is>
          <t>Ремонтно-строительные работы</t>
        </is>
      </c>
      <c r="EH605" t="n">
        <v>99</v>
      </c>
      <c r="EI605" t="inlineStr">
        <is>
          <t>Внутренние санитарно-технические работы</t>
        </is>
      </c>
      <c r="EJ605" t="n">
        <v>1</v>
      </c>
      <c r="EK605" t="n">
        <v>65002</v>
      </c>
      <c r="EL605" t="inlineStr">
        <is>
          <t>Внутренние санитарнотехнические работы: демонтаж и разборка</t>
        </is>
      </c>
      <c r="EM605" t="inlineStr">
        <is>
          <t>рФЕР-65</t>
        </is>
      </c>
      <c r="EO605" t="inlineStr"/>
      <c r="EQ605" t="n">
        <v>0</v>
      </c>
      <c r="ER605" t="n">
        <v>322.43</v>
      </c>
      <c r="ES605" t="n">
        <v>0</v>
      </c>
      <c r="ET605" t="n">
        <v>0</v>
      </c>
      <c r="EU605" t="n">
        <v>0</v>
      </c>
      <c r="EV605" t="n">
        <v>322.43</v>
      </c>
      <c r="EW605" t="n">
        <v>37.8</v>
      </c>
      <c r="EX605" t="n">
        <v>0</v>
      </c>
      <c r="EY605" t="n">
        <v>0</v>
      </c>
      <c r="FQ605" t="n">
        <v>0</v>
      </c>
      <c r="FR605" t="n">
        <v>0</v>
      </c>
      <c r="FS605" t="n">
        <v>0</v>
      </c>
      <c r="FX605" t="n">
        <v>87</v>
      </c>
      <c r="FY605" t="n">
        <v>44</v>
      </c>
      <c r="GA605" t="inlineStr"/>
      <c r="GD605" t="n">
        <v>1</v>
      </c>
      <c r="GF605" t="n">
        <v>-2021722353</v>
      </c>
      <c r="GG605" t="n">
        <v>2</v>
      </c>
      <c r="GH605" t="n">
        <v>1</v>
      </c>
      <c r="GI605" t="n">
        <v>2</v>
      </c>
      <c r="GJ605" t="n">
        <v>0</v>
      </c>
      <c r="GK605" t="n">
        <v>0</v>
      </c>
      <c r="GL605">
        <f>ROUND(IF(AND(BH605=3,BI605=3,FS605&lt;&gt;0),P605,0),0)</f>
        <v/>
      </c>
      <c r="GM605">
        <f>ROUND(O605+X605+Y605,0)+GX605</f>
        <v/>
      </c>
      <c r="GN605">
        <f>IF(OR(BI605=0,BI605=1),GM605-GX605,0)</f>
        <v/>
      </c>
      <c r="GO605">
        <f>IF(BI605=2,GM605-GX605,0)</f>
        <v/>
      </c>
      <c r="GP605">
        <f>IF(BI605=4,GM605-GX605,0)</f>
        <v/>
      </c>
      <c r="GR605" t="n">
        <v>0</v>
      </c>
      <c r="GS605" t="n">
        <v>3</v>
      </c>
      <c r="GT605" t="n">
        <v>0</v>
      </c>
      <c r="GU605" t="inlineStr"/>
      <c r="GV605">
        <f>ROUND((GT605),2)</f>
        <v/>
      </c>
      <c r="GW605" t="n">
        <v>1</v>
      </c>
      <c r="GX605">
        <f>ROUND(HC605*I605,0)</f>
        <v/>
      </c>
      <c r="HA605" t="n">
        <v>0</v>
      </c>
      <c r="HB605" t="n">
        <v>0</v>
      </c>
      <c r="HC605">
        <f>GV605*GW605</f>
        <v/>
      </c>
      <c r="HE605" t="inlineStr"/>
      <c r="HF605" t="inlineStr"/>
      <c r="HM605" t="inlineStr"/>
      <c r="HN605" t="inlineStr">
        <is>
          <t>Пр/812-099.1-1</t>
        </is>
      </c>
      <c r="HO605" t="inlineStr">
        <is>
          <t>Пр/774-099.1</t>
        </is>
      </c>
      <c r="HP605" t="inlineStr">
        <is>
          <t>Внутренние санитарнотехнические работы: демонтаж и разборка</t>
        </is>
      </c>
      <c r="HQ605" t="inlineStr">
        <is>
          <t>Внутренние санитарнотехнические работы: демонтаж и разборка</t>
        </is>
      </c>
      <c r="HS605" t="n">
        <v>0</v>
      </c>
      <c r="IK605" t="n">
        <v>0</v>
      </c>
    </row>
    <row r="606">
      <c r="A606" t="n">
        <v>17</v>
      </c>
      <c r="B606" t="n">
        <v>1</v>
      </c>
      <c r="C606">
        <f>ROW(SmtRes!A315)</f>
        <v/>
      </c>
      <c r="D606">
        <f>ROW(EtalonRes!A291)</f>
        <v/>
      </c>
      <c r="E606" t="inlineStr">
        <is>
          <t>5</t>
        </is>
      </c>
      <c r="F606" t="inlineStr">
        <is>
          <t>16-04-002-3</t>
        </is>
      </c>
      <c r="G606" t="inlineStr">
        <is>
          <t>Прокладка трубопроводов водоснабжения из напорных полиэтиленовых труб наружным диаметром 32 мм</t>
        </is>
      </c>
      <c r="H606" t="inlineStr">
        <is>
          <t>100 м трубопровода</t>
        </is>
      </c>
      <c r="I606">
        <f>ROUND(ROUND(8/100,4),7)</f>
        <v/>
      </c>
      <c r="J606" t="n">
        <v>0</v>
      </c>
      <c r="K606">
        <f>ROUND(ROUND(8/100,4),7)</f>
        <v/>
      </c>
      <c r="O606">
        <f>ROUND(CP606,0)</f>
        <v/>
      </c>
      <c r="P606">
        <f>ROUND(CQ606*I606,0)</f>
        <v/>
      </c>
      <c r="Q606">
        <f>(ROUND((ROUND(((ET606)*I606),0)*BB606),0)+ROUND((ROUND(((AE606-(EU606))*I606),0)*BS606),0))</f>
        <v/>
      </c>
      <c r="R606">
        <f>(ROUND((ROUND(((EU606)*I606),0)*BS606),0)+ROUND((ROUND(((AE606-(EU606))*I606),0)*BS606),0))</f>
        <v/>
      </c>
      <c r="S606">
        <f>ROUND(CT606*I606,0)</f>
        <v/>
      </c>
      <c r="T606">
        <f>ROUND(CU606*I606,0)</f>
        <v/>
      </c>
      <c r="U606">
        <f>ROUND(CV606*I606,7)</f>
        <v/>
      </c>
      <c r="V606">
        <f>ROUND(CW606*I606,7)</f>
        <v/>
      </c>
      <c r="W606">
        <f>ROUND(CX606*I606,0)</f>
        <v/>
      </c>
      <c r="X606">
        <f>ROUND(CY606,0)</f>
        <v/>
      </c>
      <c r="Y606">
        <f>ROUND(CZ606,0)</f>
        <v/>
      </c>
      <c r="AA606" t="n">
        <v>78869116</v>
      </c>
      <c r="AB606">
        <f>ROUND((AC606+AD606+AF606),2)</f>
        <v/>
      </c>
      <c r="AC606">
        <f>ROUND((ES606),2)</f>
        <v/>
      </c>
      <c r="AD606">
        <f>ROUND((((ET606)-(EU606))+AE606),2)</f>
        <v/>
      </c>
      <c r="AE606">
        <f>ROUND((EU606),2)</f>
        <v/>
      </c>
      <c r="AF606">
        <f>ROUND((EV606),2)</f>
        <v/>
      </c>
      <c r="AG606">
        <f>ROUND((AP606),2)</f>
        <v/>
      </c>
      <c r="AH606">
        <f>(EW606)</f>
        <v/>
      </c>
      <c r="AI606">
        <f>(EX606)</f>
        <v/>
      </c>
      <c r="AJ606">
        <f>(AS606)</f>
        <v/>
      </c>
      <c r="AK606" t="n">
        <v>3294.45</v>
      </c>
      <c r="AL606" t="n">
        <v>1594.87</v>
      </c>
      <c r="AM606" t="n">
        <v>491.32</v>
      </c>
      <c r="AN606" t="n">
        <v>63.72</v>
      </c>
      <c r="AO606" t="n">
        <v>1208.26</v>
      </c>
      <c r="AP606" t="n">
        <v>0</v>
      </c>
      <c r="AQ606" t="n">
        <v>121.8</v>
      </c>
      <c r="AR606" t="n">
        <v>4.72</v>
      </c>
      <c r="AS606" t="n">
        <v>0</v>
      </c>
      <c r="AT606" t="n">
        <v>121</v>
      </c>
      <c r="AU606" t="n">
        <v>72</v>
      </c>
      <c r="AV606" t="n">
        <v>1</v>
      </c>
      <c r="AW606" t="n">
        <v>1</v>
      </c>
      <c r="AZ606" t="n">
        <v>1</v>
      </c>
      <c r="BA606" t="n">
        <v>52.25</v>
      </c>
      <c r="BB606" t="n">
        <v>12.46</v>
      </c>
      <c r="BC606" t="n">
        <v>3.21</v>
      </c>
      <c r="BD606" t="inlineStr"/>
      <c r="BE606" t="inlineStr"/>
      <c r="BF606" t="inlineStr"/>
      <c r="BG606" t="inlineStr"/>
      <c r="BH606" t="n">
        <v>0</v>
      </c>
      <c r="BI606" t="n">
        <v>1</v>
      </c>
      <c r="BJ606" t="inlineStr">
        <is>
          <t>ТЕР Московской обл., 16-04-002-3, приказ Минстроя России №675/пр от 28.02.2017 № 260/пр</t>
        </is>
      </c>
      <c r="BM606" t="n">
        <v>16001</v>
      </c>
      <c r="BN606" t="n">
        <v>0</v>
      </c>
      <c r="BO606" t="inlineStr">
        <is>
          <t>16-04-002-3</t>
        </is>
      </c>
      <c r="BP606" t="n">
        <v>1</v>
      </c>
      <c r="BQ606" t="n">
        <v>2</v>
      </c>
      <c r="BR606" t="n">
        <v>0</v>
      </c>
      <c r="BS606" t="n">
        <v>52.25</v>
      </c>
      <c r="BT606" t="n">
        <v>1</v>
      </c>
      <c r="BU606" t="n">
        <v>1</v>
      </c>
      <c r="BV606" t="n">
        <v>1</v>
      </c>
      <c r="BW606" t="n">
        <v>1</v>
      </c>
      <c r="BX606" t="n">
        <v>1</v>
      </c>
      <c r="BY606" t="inlineStr"/>
      <c r="BZ606" t="n">
        <v>121</v>
      </c>
      <c r="CA606" t="n">
        <v>72</v>
      </c>
      <c r="CB606" t="inlineStr"/>
      <c r="CE606" t="n">
        <v>12</v>
      </c>
      <c r="CF606" t="n">
        <v>0</v>
      </c>
      <c r="CG606" t="n">
        <v>0</v>
      </c>
      <c r="CM606" t="n">
        <v>0</v>
      </c>
      <c r="CN606" t="inlineStr"/>
      <c r="CO606" t="n">
        <v>0</v>
      </c>
      <c r="CP606">
        <f>(P606+Q606+S606)</f>
        <v/>
      </c>
      <c r="CQ606">
        <f>AC606*BC606</f>
        <v/>
      </c>
      <c r="CR606">
        <f>(ROUND((ROUND(((ET606)*1),0)*BB606),0)+ROUND((ROUND(((AE606-(EU606))*1),0)*BS606),0))</f>
        <v/>
      </c>
      <c r="CS606">
        <f>(ROUND((ROUND(((EU606)*1),0)*BS606),0)+ROUND((ROUND(((AE606-(EU606))*1),0)*BS606),0))</f>
        <v/>
      </c>
      <c r="CT606">
        <f>AF606*BA606</f>
        <v/>
      </c>
      <c r="CU606">
        <f>AG606</f>
        <v/>
      </c>
      <c r="CV606">
        <f>AH606</f>
        <v/>
      </c>
      <c r="CW606">
        <f>AI606</f>
        <v/>
      </c>
      <c r="CX606">
        <f>AJ606</f>
        <v/>
      </c>
      <c r="CY606">
        <f>(((S606+R606)*AT606)/100)</f>
        <v/>
      </c>
      <c r="CZ606">
        <f>(((S606+R606)*AU606)/100)</f>
        <v/>
      </c>
      <c r="DC606" t="inlineStr"/>
      <c r="DD606" t="inlineStr"/>
      <c r="DE606" t="inlineStr"/>
      <c r="DF606" t="inlineStr"/>
      <c r="DG606" t="inlineStr"/>
      <c r="DH606" t="inlineStr"/>
      <c r="DI606" t="inlineStr"/>
      <c r="DJ606" t="inlineStr"/>
      <c r="DK606" t="inlineStr"/>
      <c r="DL606" t="inlineStr"/>
      <c r="DM606" t="inlineStr"/>
      <c r="DN606" t="n">
        <v>0</v>
      </c>
      <c r="DO606" t="n">
        <v>0</v>
      </c>
      <c r="DP606" t="n">
        <v>1</v>
      </c>
      <c r="DQ606" t="n">
        <v>1</v>
      </c>
      <c r="DU606" t="n">
        <v>1013</v>
      </c>
      <c r="DV606" t="inlineStr">
        <is>
          <t>100 м трубопровода</t>
        </is>
      </c>
      <c r="DW606" t="inlineStr">
        <is>
          <t>100 м трубопровода</t>
        </is>
      </c>
      <c r="DX606" t="n">
        <v>1</v>
      </c>
      <c r="DZ606" t="inlineStr"/>
      <c r="EA606" t="inlineStr"/>
      <c r="EB606" t="inlineStr"/>
      <c r="EC606" t="inlineStr"/>
      <c r="EE606" t="n">
        <v>78725882</v>
      </c>
      <c r="EF606" t="n">
        <v>2</v>
      </c>
      <c r="EG606" t="inlineStr">
        <is>
          <t>Общестроительные работы</t>
        </is>
      </c>
      <c r="EH606" t="n">
        <v>16</v>
      </c>
      <c r="EI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6" t="n">
        <v>1</v>
      </c>
      <c r="EK606" t="n">
        <v>16001</v>
      </c>
      <c r="EL606" t="inlineStr">
        <is>
          <t>Трубопроводы внутренние</t>
        </is>
      </c>
      <c r="EM606" t="inlineStr">
        <is>
          <t>ФЕР-16</t>
        </is>
      </c>
      <c r="EO606" t="inlineStr"/>
      <c r="EQ606" t="n">
        <v>0</v>
      </c>
      <c r="ER606" t="n">
        <v>3294.45</v>
      </c>
      <c r="ES606" t="n">
        <v>1594.87</v>
      </c>
      <c r="ET606" t="n">
        <v>491.32</v>
      </c>
      <c r="EU606" t="n">
        <v>63.72</v>
      </c>
      <c r="EV606" t="n">
        <v>1208.26</v>
      </c>
      <c r="EW606" t="n">
        <v>121.8</v>
      </c>
      <c r="EX606" t="n">
        <v>4.72</v>
      </c>
      <c r="EY606" t="n">
        <v>0</v>
      </c>
      <c r="FQ606" t="n">
        <v>0</v>
      </c>
      <c r="FR606" t="n">
        <v>0</v>
      </c>
      <c r="FS606" t="n">
        <v>0</v>
      </c>
      <c r="FX606" t="n">
        <v>121</v>
      </c>
      <c r="FY606" t="n">
        <v>72</v>
      </c>
      <c r="GA606" t="inlineStr"/>
      <c r="GD606" t="n">
        <v>1</v>
      </c>
      <c r="GF606" t="n">
        <v>-323073205</v>
      </c>
      <c r="GG606" t="n">
        <v>2</v>
      </c>
      <c r="GH606" t="n">
        <v>1</v>
      </c>
      <c r="GI606" t="n">
        <v>2</v>
      </c>
      <c r="GJ606" t="n">
        <v>0</v>
      </c>
      <c r="GK606" t="n">
        <v>0</v>
      </c>
      <c r="GL606">
        <f>ROUND(IF(AND(BH606=3,BI606=3,FS606&lt;&gt;0),P606,0),0)</f>
        <v/>
      </c>
      <c r="GM606">
        <f>ROUND(O606+X606+Y606,0)+GX606</f>
        <v/>
      </c>
      <c r="GN606">
        <f>IF(OR(BI606=0,BI606=1),GM606-GX606,0)</f>
        <v/>
      </c>
      <c r="GO606">
        <f>IF(BI606=2,GM606-GX606,0)</f>
        <v/>
      </c>
      <c r="GP606">
        <f>IF(BI606=4,GM606-GX606,0)</f>
        <v/>
      </c>
      <c r="GR606" t="n">
        <v>0</v>
      </c>
      <c r="GS606" t="n">
        <v>3</v>
      </c>
      <c r="GT606" t="n">
        <v>0</v>
      </c>
      <c r="GU606" t="inlineStr"/>
      <c r="GV606">
        <f>ROUND((GT606),2)</f>
        <v/>
      </c>
      <c r="GW606" t="n">
        <v>1</v>
      </c>
      <c r="GX606">
        <f>ROUND(HC606*I606,0)</f>
        <v/>
      </c>
      <c r="HA606" t="n">
        <v>0</v>
      </c>
      <c r="HB606" t="n">
        <v>0</v>
      </c>
      <c r="HC606">
        <f>GV606*GW606</f>
        <v/>
      </c>
      <c r="HE606" t="inlineStr"/>
      <c r="HF606" t="inlineStr"/>
      <c r="HM606" t="inlineStr"/>
      <c r="HN606" t="inlineStr">
        <is>
          <t>Пр/812-016.0-1</t>
        </is>
      </c>
      <c r="HO606" t="inlineStr">
        <is>
          <t>Пр/774-016.0</t>
        </is>
      </c>
      <c r="HP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6" t="n">
        <v>0</v>
      </c>
      <c r="IK606" t="n">
        <v>0</v>
      </c>
    </row>
    <row r="607">
      <c r="A607" t="n">
        <v>18</v>
      </c>
      <c r="B607" t="n">
        <v>1</v>
      </c>
      <c r="C607" t="n">
        <v>313</v>
      </c>
      <c r="E607" t="inlineStr">
        <is>
          <t>5,1</t>
        </is>
      </c>
      <c r="F607" t="inlineStr">
        <is>
          <t>507-5009</t>
        </is>
      </c>
      <c r="G607" t="inlineStr">
        <is>
          <t>Муфта полипропиленовая соединительная диаметром 32 мм</t>
        </is>
      </c>
      <c r="H607" t="inlineStr">
        <is>
          <t>10 шт.</t>
        </is>
      </c>
      <c r="I607">
        <f>I606*J607</f>
        <v/>
      </c>
      <c r="J607" t="n">
        <v>1.25</v>
      </c>
      <c r="K607" t="n">
        <v>1.25</v>
      </c>
      <c r="O607">
        <f>ROUND(CP607,0)</f>
        <v/>
      </c>
      <c r="P607">
        <f>ROUND(CQ607*I607,0)</f>
        <v/>
      </c>
      <c r="Q607">
        <f>(ROUND((ROUND(((ET607)*I607),0)*BB607),0)+ROUND((ROUND(((AE607-(EU607))*I607),0)*BS607),0))</f>
        <v/>
      </c>
      <c r="R607">
        <f>(ROUND((ROUND(((EU607)*I607),0)*BS607),0)+ROUND((ROUND(((AE607-(EU607))*I607),0)*BS607),0))</f>
        <v/>
      </c>
      <c r="S607">
        <f>ROUND(CT607*I607,0)</f>
        <v/>
      </c>
      <c r="T607">
        <f>ROUND(CU607*I607,0)</f>
        <v/>
      </c>
      <c r="U607">
        <f>ROUND(CV607*I607,7)</f>
        <v/>
      </c>
      <c r="V607">
        <f>ROUND(CW607*I607,7)</f>
        <v/>
      </c>
      <c r="W607">
        <f>ROUND(CX607*I607,0)</f>
        <v/>
      </c>
      <c r="X607">
        <f>ROUND(CY607,0)</f>
        <v/>
      </c>
      <c r="Y607">
        <f>ROUND(CZ607,0)</f>
        <v/>
      </c>
      <c r="AA607" t="n">
        <v>78869116</v>
      </c>
      <c r="AB607">
        <f>ROUND((AC607+AD607+AF607),2)</f>
        <v/>
      </c>
      <c r="AC607">
        <f>ROUND((ES607),2)</f>
        <v/>
      </c>
      <c r="AD607">
        <f>ROUND((((ET607)-(EU607))+AE607),2)</f>
        <v/>
      </c>
      <c r="AE607">
        <f>ROUND((EU607),2)</f>
        <v/>
      </c>
      <c r="AF607">
        <f>ROUND((EV607),2)</f>
        <v/>
      </c>
      <c r="AG607">
        <f>ROUND((AP607),2)</f>
        <v/>
      </c>
      <c r="AH607">
        <f>(EW607)</f>
        <v/>
      </c>
      <c r="AI607">
        <f>(EX607)</f>
        <v/>
      </c>
      <c r="AJ607">
        <f>(AS607)</f>
        <v/>
      </c>
      <c r="AK607" t="n">
        <v>13.5</v>
      </c>
      <c r="AL607" t="n">
        <v>13.5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  <c r="AS607" t="n">
        <v>0.02</v>
      </c>
      <c r="AT607" t="n">
        <v>121</v>
      </c>
      <c r="AU607" t="n">
        <v>72</v>
      </c>
      <c r="AV607" t="n">
        <v>1</v>
      </c>
      <c r="AW607" t="n">
        <v>1</v>
      </c>
      <c r="AZ607" t="n">
        <v>1</v>
      </c>
      <c r="BA607" t="n">
        <v>1</v>
      </c>
      <c r="BB607" t="n">
        <v>1</v>
      </c>
      <c r="BC607" t="n">
        <v>9.92</v>
      </c>
      <c r="BD607" t="inlineStr"/>
      <c r="BE607" t="inlineStr"/>
      <c r="BF607" t="inlineStr"/>
      <c r="BG607" t="inlineStr"/>
      <c r="BH607" t="n">
        <v>3</v>
      </c>
      <c r="BI607" t="n">
        <v>1</v>
      </c>
      <c r="BJ607" t="inlineStr">
        <is>
          <t>ТССЦ Московской обл., 507-5009, приказ Минстроя России №675/пр от 28.02.2017 № 258/пр</t>
        </is>
      </c>
      <c r="BM607" t="n">
        <v>16001</v>
      </c>
      <c r="BN607" t="n">
        <v>0</v>
      </c>
      <c r="BO607" t="inlineStr">
        <is>
          <t>507-5009</t>
        </is>
      </c>
      <c r="BP607" t="n">
        <v>1</v>
      </c>
      <c r="BQ607" t="n">
        <v>2</v>
      </c>
      <c r="BR607" t="n">
        <v>0</v>
      </c>
      <c r="BS607" t="n">
        <v>1</v>
      </c>
      <c r="BT607" t="n">
        <v>1</v>
      </c>
      <c r="BU607" t="n">
        <v>1</v>
      </c>
      <c r="BV607" t="n">
        <v>1</v>
      </c>
      <c r="BW607" t="n">
        <v>1</v>
      </c>
      <c r="BX607" t="n">
        <v>1</v>
      </c>
      <c r="BY607" t="inlineStr"/>
      <c r="BZ607" t="n">
        <v>121</v>
      </c>
      <c r="CA607" t="n">
        <v>72</v>
      </c>
      <c r="CB607" t="inlineStr"/>
      <c r="CE607" t="n">
        <v>12</v>
      </c>
      <c r="CF607" t="n">
        <v>0</v>
      </c>
      <c r="CG607" t="n">
        <v>0</v>
      </c>
      <c r="CM607" t="n">
        <v>0</v>
      </c>
      <c r="CN607" t="inlineStr"/>
      <c r="CO607" t="n">
        <v>0</v>
      </c>
      <c r="CP607">
        <f>(P607+Q607+S607)</f>
        <v/>
      </c>
      <c r="CQ607">
        <f>AC607*BC607</f>
        <v/>
      </c>
      <c r="CR607">
        <f>(ROUND((ROUND(((ET607)*1),0)*BB607),0)+ROUND((ROUND(((AE607-(EU607))*1),0)*BS607),0))</f>
        <v/>
      </c>
      <c r="CS607">
        <f>(ROUND((ROUND(((EU607)*1),0)*BS607),0)+ROUND((ROUND(((AE607-(EU607))*1),0)*BS607),0))</f>
        <v/>
      </c>
      <c r="CT607">
        <f>AF607*BA607</f>
        <v/>
      </c>
      <c r="CU607">
        <f>AG607</f>
        <v/>
      </c>
      <c r="CV607">
        <f>AH607</f>
        <v/>
      </c>
      <c r="CW607">
        <f>AI607</f>
        <v/>
      </c>
      <c r="CX607">
        <f>AJ607</f>
        <v/>
      </c>
      <c r="CY607">
        <f>(((S607+R607)*AT607)/100)</f>
        <v/>
      </c>
      <c r="CZ607">
        <f>(((S607+R607)*AU607)/100)</f>
        <v/>
      </c>
      <c r="DC607" t="inlineStr"/>
      <c r="DD607" t="inlineStr"/>
      <c r="DE607" t="inlineStr"/>
      <c r="DF607" t="inlineStr"/>
      <c r="DG607" t="inlineStr"/>
      <c r="DH607" t="inlineStr"/>
      <c r="DI607" t="inlineStr"/>
      <c r="DJ607" t="inlineStr"/>
      <c r="DK607" t="inlineStr"/>
      <c r="DL607" t="inlineStr"/>
      <c r="DM607" t="inlineStr"/>
      <c r="DN607" t="n">
        <v>0</v>
      </c>
      <c r="DO607" t="n">
        <v>0</v>
      </c>
      <c r="DP607" t="n">
        <v>1</v>
      </c>
      <c r="DQ607" t="n">
        <v>1</v>
      </c>
      <c r="DU607" t="n">
        <v>1010</v>
      </c>
      <c r="DV607" t="inlineStr">
        <is>
          <t>10 шт.</t>
        </is>
      </c>
      <c r="DW607" t="inlineStr">
        <is>
          <t>10 шт.</t>
        </is>
      </c>
      <c r="DX607" t="n">
        <v>10</v>
      </c>
      <c r="DZ607" t="inlineStr"/>
      <c r="EA607" t="inlineStr"/>
      <c r="EB607" t="inlineStr"/>
      <c r="EC607" t="inlineStr"/>
      <c r="EE607" t="n">
        <v>78725882</v>
      </c>
      <c r="EF607" t="n">
        <v>2</v>
      </c>
      <c r="EG607" t="inlineStr">
        <is>
          <t>Общестроительные работы</t>
        </is>
      </c>
      <c r="EH607" t="n">
        <v>16</v>
      </c>
      <c r="EI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7" t="n">
        <v>1</v>
      </c>
      <c r="EK607" t="n">
        <v>16001</v>
      </c>
      <c r="EL607" t="inlineStr">
        <is>
          <t>Трубопроводы внутренние</t>
        </is>
      </c>
      <c r="EM607" t="inlineStr">
        <is>
          <t>ФЕР-16</t>
        </is>
      </c>
      <c r="EO607" t="inlineStr"/>
      <c r="EQ607" t="n">
        <v>0</v>
      </c>
      <c r="ER607" t="n">
        <v>13.5</v>
      </c>
      <c r="ES607" t="n">
        <v>13.5</v>
      </c>
      <c r="ET607" t="n">
        <v>0</v>
      </c>
      <c r="EU607" t="n">
        <v>0</v>
      </c>
      <c r="EV607" t="n">
        <v>0</v>
      </c>
      <c r="EW607" t="n">
        <v>0</v>
      </c>
      <c r="EX607" t="n">
        <v>0</v>
      </c>
      <c r="FQ607" t="n">
        <v>0</v>
      </c>
      <c r="FR607" t="n">
        <v>0</v>
      </c>
      <c r="FS607" t="n">
        <v>0</v>
      </c>
      <c r="FX607" t="n">
        <v>121</v>
      </c>
      <c r="FY607" t="n">
        <v>72</v>
      </c>
      <c r="GA607" t="inlineStr"/>
      <c r="GD607" t="n">
        <v>1</v>
      </c>
      <c r="GF607" t="n">
        <v>-1186610544</v>
      </c>
      <c r="GG607" t="n">
        <v>2</v>
      </c>
      <c r="GH607" t="n">
        <v>1</v>
      </c>
      <c r="GI607" t="n">
        <v>2</v>
      </c>
      <c r="GJ607" t="n">
        <v>0</v>
      </c>
      <c r="GK607" t="n">
        <v>0</v>
      </c>
      <c r="GL607">
        <f>ROUND(IF(AND(BH607=3,BI607=3,FS607&lt;&gt;0),P607,0),0)</f>
        <v/>
      </c>
      <c r="GM607">
        <f>ROUND(O607+X607+Y607,0)+GX607</f>
        <v/>
      </c>
      <c r="GN607">
        <f>IF(OR(BI607=0,BI607=1),GM607-GX607,0)</f>
        <v/>
      </c>
      <c r="GO607">
        <f>IF(BI607=2,GM607-GX607,0)</f>
        <v/>
      </c>
      <c r="GP607">
        <f>IF(BI607=4,GM607-GX607,0)</f>
        <v/>
      </c>
      <c r="GR607" t="n">
        <v>0</v>
      </c>
      <c r="GS607" t="n">
        <v>3</v>
      </c>
      <c r="GT607" t="n">
        <v>0</v>
      </c>
      <c r="GU607" t="inlineStr"/>
      <c r="GV607">
        <f>ROUND((GT607),2)</f>
        <v/>
      </c>
      <c r="GW607" t="n">
        <v>1</v>
      </c>
      <c r="GX607">
        <f>ROUND(HC607*I607,0)</f>
        <v/>
      </c>
      <c r="HA607" t="n">
        <v>0</v>
      </c>
      <c r="HB607" t="n">
        <v>0</v>
      </c>
      <c r="HC607">
        <f>GV607*GW607</f>
        <v/>
      </c>
      <c r="HE607" t="inlineStr"/>
      <c r="HF607" t="inlineStr"/>
      <c r="HM607" t="inlineStr"/>
      <c r="HN607" t="inlineStr">
        <is>
          <t>Пр/812-016.0-1</t>
        </is>
      </c>
      <c r="HO607" t="inlineStr">
        <is>
          <t>Пр/774-016.0</t>
        </is>
      </c>
      <c r="HP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7" t="n">
        <v>0</v>
      </c>
      <c r="IK607" t="n">
        <v>0</v>
      </c>
    </row>
    <row r="608">
      <c r="A608" t="n">
        <v>18</v>
      </c>
      <c r="B608" t="n">
        <v>1</v>
      </c>
      <c r="C608" t="n">
        <v>314</v>
      </c>
      <c r="E608" t="inlineStr">
        <is>
          <t>5,2</t>
        </is>
      </c>
      <c r="F608" t="inlineStr">
        <is>
          <t>507-5016</t>
        </is>
      </c>
      <c r="G608" t="inlineStr">
        <is>
          <t>Муфта полипропиленовая комбинированная, с внутренней резьбой диаметром 20х1/2"</t>
        </is>
      </c>
      <c r="H608" t="inlineStr">
        <is>
          <t>10 шт.</t>
        </is>
      </c>
      <c r="I608">
        <f>I606*J608</f>
        <v/>
      </c>
      <c r="J608" t="n">
        <v>1.25</v>
      </c>
      <c r="K608" t="n">
        <v>1.25</v>
      </c>
      <c r="O608">
        <f>ROUND(CP608,0)</f>
        <v/>
      </c>
      <c r="P608">
        <f>ROUND(CQ608*I608,0)</f>
        <v/>
      </c>
      <c r="Q608">
        <f>(ROUND((ROUND(((ET608)*I608),0)*BB608),0)+ROUND((ROUND(((AE608-(EU608))*I608),0)*BS608),0))</f>
        <v/>
      </c>
      <c r="R608">
        <f>(ROUND((ROUND(((EU608)*I608),0)*BS608),0)+ROUND((ROUND(((AE608-(EU608))*I608),0)*BS608),0))</f>
        <v/>
      </c>
      <c r="S608">
        <f>ROUND(CT608*I608,0)</f>
        <v/>
      </c>
      <c r="T608">
        <f>ROUND(CU608*I608,0)</f>
        <v/>
      </c>
      <c r="U608">
        <f>ROUND(CV608*I608,7)</f>
        <v/>
      </c>
      <c r="V608">
        <f>ROUND(CW608*I608,7)</f>
        <v/>
      </c>
      <c r="W608">
        <f>ROUND(CX608*I608,0)</f>
        <v/>
      </c>
      <c r="X608">
        <f>ROUND(CY608,0)</f>
        <v/>
      </c>
      <c r="Y608">
        <f>ROUND(CZ608,0)</f>
        <v/>
      </c>
      <c r="AA608" t="n">
        <v>78869116</v>
      </c>
      <c r="AB608">
        <f>ROUND((AC608+AD608+AF608),2)</f>
        <v/>
      </c>
      <c r="AC608">
        <f>ROUND((ES608),2)</f>
        <v/>
      </c>
      <c r="AD608">
        <f>ROUND((((ET608)-(EU608))+AE608),2)</f>
        <v/>
      </c>
      <c r="AE608">
        <f>ROUND((EU608),2)</f>
        <v/>
      </c>
      <c r="AF608">
        <f>ROUND((EV608),2)</f>
        <v/>
      </c>
      <c r="AG608">
        <f>ROUND((AP608),2)</f>
        <v/>
      </c>
      <c r="AH608">
        <f>(EW608)</f>
        <v/>
      </c>
      <c r="AI608">
        <f>(EX608)</f>
        <v/>
      </c>
      <c r="AJ608">
        <f>(AS608)</f>
        <v/>
      </c>
      <c r="AK608" t="n">
        <v>63.5</v>
      </c>
      <c r="AL608" t="n">
        <v>63.5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  <c r="AS608" t="n">
        <v>0.04</v>
      </c>
      <c r="AT608" t="n">
        <v>121</v>
      </c>
      <c r="AU608" t="n">
        <v>72</v>
      </c>
      <c r="AV608" t="n">
        <v>1</v>
      </c>
      <c r="AW608" t="n">
        <v>1</v>
      </c>
      <c r="AZ608" t="n">
        <v>1</v>
      </c>
      <c r="BA608" t="n">
        <v>1</v>
      </c>
      <c r="BB608" t="n">
        <v>1</v>
      </c>
      <c r="BC608" t="n">
        <v>5.4</v>
      </c>
      <c r="BD608" t="inlineStr"/>
      <c r="BE608" t="inlineStr"/>
      <c r="BF608" t="inlineStr"/>
      <c r="BG608" t="inlineStr"/>
      <c r="BH608" t="n">
        <v>3</v>
      </c>
      <c r="BI608" t="n">
        <v>1</v>
      </c>
      <c r="BJ608" t="inlineStr">
        <is>
          <t>ТССЦ Московской обл., 507-5016, приказ Минстроя России №675/пр от 28.02.2017 № 258/пр</t>
        </is>
      </c>
      <c r="BM608" t="n">
        <v>16001</v>
      </c>
      <c r="BN608" t="n">
        <v>0</v>
      </c>
      <c r="BO608" t="inlineStr">
        <is>
          <t>507-5016</t>
        </is>
      </c>
      <c r="BP608" t="n">
        <v>1</v>
      </c>
      <c r="BQ608" t="n">
        <v>2</v>
      </c>
      <c r="BR608" t="n">
        <v>0</v>
      </c>
      <c r="BS608" t="n">
        <v>1</v>
      </c>
      <c r="BT608" t="n">
        <v>1</v>
      </c>
      <c r="BU608" t="n">
        <v>1</v>
      </c>
      <c r="BV608" t="n">
        <v>1</v>
      </c>
      <c r="BW608" t="n">
        <v>1</v>
      </c>
      <c r="BX608" t="n">
        <v>1</v>
      </c>
      <c r="BY608" t="inlineStr"/>
      <c r="BZ608" t="n">
        <v>121</v>
      </c>
      <c r="CA608" t="n">
        <v>72</v>
      </c>
      <c r="CB608" t="inlineStr"/>
      <c r="CE608" t="n">
        <v>12</v>
      </c>
      <c r="CF608" t="n">
        <v>0</v>
      </c>
      <c r="CG608" t="n">
        <v>0</v>
      </c>
      <c r="CM608" t="n">
        <v>0</v>
      </c>
      <c r="CN608" t="inlineStr"/>
      <c r="CO608" t="n">
        <v>0</v>
      </c>
      <c r="CP608">
        <f>(P608+Q608+S608)</f>
        <v/>
      </c>
      <c r="CQ608">
        <f>AC608*BC608</f>
        <v/>
      </c>
      <c r="CR608">
        <f>(ROUND((ROUND(((ET608)*1),0)*BB608),0)+ROUND((ROUND(((AE608-(EU608))*1),0)*BS608),0))</f>
        <v/>
      </c>
      <c r="CS608">
        <f>(ROUND((ROUND(((EU608)*1),0)*BS608),0)+ROUND((ROUND(((AE608-(EU608))*1),0)*BS608),0))</f>
        <v/>
      </c>
      <c r="CT608">
        <f>AF608*BA608</f>
        <v/>
      </c>
      <c r="CU608">
        <f>AG608</f>
        <v/>
      </c>
      <c r="CV608">
        <f>AH608</f>
        <v/>
      </c>
      <c r="CW608">
        <f>AI608</f>
        <v/>
      </c>
      <c r="CX608">
        <f>AJ608</f>
        <v/>
      </c>
      <c r="CY608">
        <f>(((S608+R608)*AT608)/100)</f>
        <v/>
      </c>
      <c r="CZ608">
        <f>(((S608+R608)*AU608)/100)</f>
        <v/>
      </c>
      <c r="DC608" t="inlineStr"/>
      <c r="DD608" t="inlineStr"/>
      <c r="DE608" t="inlineStr"/>
      <c r="DF608" t="inlineStr"/>
      <c r="DG608" t="inlineStr"/>
      <c r="DH608" t="inlineStr"/>
      <c r="DI608" t="inlineStr"/>
      <c r="DJ608" t="inlineStr"/>
      <c r="DK608" t="inlineStr"/>
      <c r="DL608" t="inlineStr"/>
      <c r="DM608" t="inlineStr"/>
      <c r="DN608" t="n">
        <v>0</v>
      </c>
      <c r="DO608" t="n">
        <v>0</v>
      </c>
      <c r="DP608" t="n">
        <v>1</v>
      </c>
      <c r="DQ608" t="n">
        <v>1</v>
      </c>
      <c r="DU608" t="n">
        <v>1010</v>
      </c>
      <c r="DV608" t="inlineStr">
        <is>
          <t>10 шт.</t>
        </is>
      </c>
      <c r="DW608" t="inlineStr">
        <is>
          <t>10 шт.</t>
        </is>
      </c>
      <c r="DX608" t="n">
        <v>10</v>
      </c>
      <c r="DZ608" t="inlineStr"/>
      <c r="EA608" t="inlineStr"/>
      <c r="EB608" t="inlineStr"/>
      <c r="EC608" t="inlineStr"/>
      <c r="EE608" t="n">
        <v>78725882</v>
      </c>
      <c r="EF608" t="n">
        <v>2</v>
      </c>
      <c r="EG608" t="inlineStr">
        <is>
          <t>Общестроительные работы</t>
        </is>
      </c>
      <c r="EH608" t="n">
        <v>16</v>
      </c>
      <c r="EI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8" t="n">
        <v>1</v>
      </c>
      <c r="EK608" t="n">
        <v>16001</v>
      </c>
      <c r="EL608" t="inlineStr">
        <is>
          <t>Трубопроводы внутренние</t>
        </is>
      </c>
      <c r="EM608" t="inlineStr">
        <is>
          <t>ФЕР-16</t>
        </is>
      </c>
      <c r="EO608" t="inlineStr"/>
      <c r="EQ608" t="n">
        <v>0</v>
      </c>
      <c r="ER608" t="n">
        <v>63.5</v>
      </c>
      <c r="ES608" t="n">
        <v>63.5</v>
      </c>
      <c r="ET608" t="n">
        <v>0</v>
      </c>
      <c r="EU608" t="n">
        <v>0</v>
      </c>
      <c r="EV608" t="n">
        <v>0</v>
      </c>
      <c r="EW608" t="n">
        <v>0</v>
      </c>
      <c r="EX608" t="n">
        <v>0</v>
      </c>
      <c r="FQ608" t="n">
        <v>0</v>
      </c>
      <c r="FR608" t="n">
        <v>0</v>
      </c>
      <c r="FS608" t="n">
        <v>0</v>
      </c>
      <c r="FX608" t="n">
        <v>121</v>
      </c>
      <c r="FY608" t="n">
        <v>72</v>
      </c>
      <c r="GA608" t="inlineStr"/>
      <c r="GD608" t="n">
        <v>1</v>
      </c>
      <c r="GF608" t="n">
        <v>153523957</v>
      </c>
      <c r="GG608" t="n">
        <v>2</v>
      </c>
      <c r="GH608" t="n">
        <v>1</v>
      </c>
      <c r="GI608" t="n">
        <v>2</v>
      </c>
      <c r="GJ608" t="n">
        <v>0</v>
      </c>
      <c r="GK608" t="n">
        <v>0</v>
      </c>
      <c r="GL608">
        <f>ROUND(IF(AND(BH608=3,BI608=3,FS608&lt;&gt;0),P608,0),0)</f>
        <v/>
      </c>
      <c r="GM608">
        <f>ROUND(O608+X608+Y608,0)+GX608</f>
        <v/>
      </c>
      <c r="GN608">
        <f>IF(OR(BI608=0,BI608=1),GM608-GX608,0)</f>
        <v/>
      </c>
      <c r="GO608">
        <f>IF(BI608=2,GM608-GX608,0)</f>
        <v/>
      </c>
      <c r="GP608">
        <f>IF(BI608=4,GM608-GX608,0)</f>
        <v/>
      </c>
      <c r="GR608" t="n">
        <v>0</v>
      </c>
      <c r="GS608" t="n">
        <v>3</v>
      </c>
      <c r="GT608" t="n">
        <v>0</v>
      </c>
      <c r="GU608" t="inlineStr"/>
      <c r="GV608">
        <f>ROUND((GT608),2)</f>
        <v/>
      </c>
      <c r="GW608" t="n">
        <v>1</v>
      </c>
      <c r="GX608">
        <f>ROUND(HC608*I608,0)</f>
        <v/>
      </c>
      <c r="HA608" t="n">
        <v>0</v>
      </c>
      <c r="HB608" t="n">
        <v>0</v>
      </c>
      <c r="HC608">
        <f>GV608*GW608</f>
        <v/>
      </c>
      <c r="HE608" t="inlineStr"/>
      <c r="HF608" t="inlineStr"/>
      <c r="HM608" t="inlineStr"/>
      <c r="HN608" t="inlineStr">
        <is>
          <t>Пр/812-016.0-1</t>
        </is>
      </c>
      <c r="HO608" t="inlineStr">
        <is>
          <t>Пр/774-016.0</t>
        </is>
      </c>
      <c r="HP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8" t="n">
        <v>0</v>
      </c>
      <c r="IK608" t="n">
        <v>0</v>
      </c>
    </row>
    <row r="609">
      <c r="A609" t="n">
        <v>18</v>
      </c>
      <c r="B609" t="n">
        <v>1</v>
      </c>
      <c r="C609" t="n">
        <v>315</v>
      </c>
      <c r="E609" t="inlineStr">
        <is>
          <t>5,3</t>
        </is>
      </c>
      <c r="F609" t="inlineStr">
        <is>
          <t>507-5022</t>
        </is>
      </c>
      <c r="G609" t="inlineStr">
        <is>
          <t>Муфта полипропиленовая комбинированная, с внутренней резьбой диаметром 32х1/2"</t>
        </is>
      </c>
      <c r="H609" t="inlineStr">
        <is>
          <t>10 шт.</t>
        </is>
      </c>
      <c r="I609">
        <f>I606*J609</f>
        <v/>
      </c>
      <c r="J609" t="n">
        <v>1.25</v>
      </c>
      <c r="K609" t="n">
        <v>1.25</v>
      </c>
      <c r="O609">
        <f>ROUND(CP609,0)</f>
        <v/>
      </c>
      <c r="P609">
        <f>ROUND(CQ609*I609,0)</f>
        <v/>
      </c>
      <c r="Q609">
        <f>(ROUND((ROUND(((ET609)*I609),0)*BB609),0)+ROUND((ROUND(((AE609-(EU609))*I609),0)*BS609),0))</f>
        <v/>
      </c>
      <c r="R609">
        <f>(ROUND((ROUND(((EU609)*I609),0)*BS609),0)+ROUND((ROUND(((AE609-(EU609))*I609),0)*BS609),0))</f>
        <v/>
      </c>
      <c r="S609">
        <f>ROUND(CT609*I609,0)</f>
        <v/>
      </c>
      <c r="T609">
        <f>ROUND(CU609*I609,0)</f>
        <v/>
      </c>
      <c r="U609">
        <f>ROUND(CV609*I609,7)</f>
        <v/>
      </c>
      <c r="V609">
        <f>ROUND(CW609*I609,7)</f>
        <v/>
      </c>
      <c r="W609">
        <f>ROUND(CX609*I609,0)</f>
        <v/>
      </c>
      <c r="X609">
        <f>ROUND(CY609,0)</f>
        <v/>
      </c>
      <c r="Y609">
        <f>ROUND(CZ609,0)</f>
        <v/>
      </c>
      <c r="AA609" t="n">
        <v>78869116</v>
      </c>
      <c r="AB609">
        <f>ROUND((AC609+AD609+AF609),2)</f>
        <v/>
      </c>
      <c r="AC609">
        <f>ROUND((ES609),2)</f>
        <v/>
      </c>
      <c r="AD609">
        <f>ROUND((((ET609)-(EU609))+AE609),2)</f>
        <v/>
      </c>
      <c r="AE609">
        <f>ROUND((EU609),2)</f>
        <v/>
      </c>
      <c r="AF609">
        <f>ROUND((EV609),2)</f>
        <v/>
      </c>
      <c r="AG609">
        <f>ROUND((AP609),2)</f>
        <v/>
      </c>
      <c r="AH609">
        <f>(EW609)</f>
        <v/>
      </c>
      <c r="AI609">
        <f>(EX609)</f>
        <v/>
      </c>
      <c r="AJ609">
        <f>(AS609)</f>
        <v/>
      </c>
      <c r="AK609" t="n">
        <v>74.8</v>
      </c>
      <c r="AL609" t="n">
        <v>74.8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  <c r="AS609" t="n">
        <v>0.08</v>
      </c>
      <c r="AT609" t="n">
        <v>121</v>
      </c>
      <c r="AU609" t="n">
        <v>72</v>
      </c>
      <c r="AV609" t="n">
        <v>1</v>
      </c>
      <c r="AW609" t="n">
        <v>1</v>
      </c>
      <c r="AZ609" t="n">
        <v>1</v>
      </c>
      <c r="BA609" t="n">
        <v>1</v>
      </c>
      <c r="BB609" t="n">
        <v>1</v>
      </c>
      <c r="BC609" t="n">
        <v>7.44</v>
      </c>
      <c r="BD609" t="inlineStr"/>
      <c r="BE609" t="inlineStr"/>
      <c r="BF609" t="inlineStr"/>
      <c r="BG609" t="inlineStr"/>
      <c r="BH609" t="n">
        <v>3</v>
      </c>
      <c r="BI609" t="n">
        <v>1</v>
      </c>
      <c r="BJ609" t="inlineStr">
        <is>
          <t>ТССЦ Московской обл., 507-5022, приказ Минстроя России №675/пр от 28.02.2017 № 258/пр</t>
        </is>
      </c>
      <c r="BM609" t="n">
        <v>16001</v>
      </c>
      <c r="BN609" t="n">
        <v>0</v>
      </c>
      <c r="BO609" t="inlineStr">
        <is>
          <t>507-5022</t>
        </is>
      </c>
      <c r="BP609" t="n">
        <v>1</v>
      </c>
      <c r="BQ609" t="n">
        <v>2</v>
      </c>
      <c r="BR609" t="n">
        <v>0</v>
      </c>
      <c r="BS609" t="n">
        <v>1</v>
      </c>
      <c r="BT609" t="n">
        <v>1</v>
      </c>
      <c r="BU609" t="n">
        <v>1</v>
      </c>
      <c r="BV609" t="n">
        <v>1</v>
      </c>
      <c r="BW609" t="n">
        <v>1</v>
      </c>
      <c r="BX609" t="n">
        <v>1</v>
      </c>
      <c r="BY609" t="inlineStr"/>
      <c r="BZ609" t="n">
        <v>121</v>
      </c>
      <c r="CA609" t="n">
        <v>72</v>
      </c>
      <c r="CB609" t="inlineStr"/>
      <c r="CE609" t="n">
        <v>12</v>
      </c>
      <c r="CF609" t="n">
        <v>0</v>
      </c>
      <c r="CG609" t="n">
        <v>0</v>
      </c>
      <c r="CM609" t="n">
        <v>0</v>
      </c>
      <c r="CN609" t="inlineStr"/>
      <c r="CO609" t="n">
        <v>0</v>
      </c>
      <c r="CP609">
        <f>(P609+Q609+S609)</f>
        <v/>
      </c>
      <c r="CQ609">
        <f>AC609*BC609</f>
        <v/>
      </c>
      <c r="CR609">
        <f>(ROUND((ROUND(((ET609)*1),0)*BB609),0)+ROUND((ROUND(((AE609-(EU609))*1),0)*BS609),0))</f>
        <v/>
      </c>
      <c r="CS609">
        <f>(ROUND((ROUND(((EU609)*1),0)*BS609),0)+ROUND((ROUND(((AE609-(EU609))*1),0)*BS609),0))</f>
        <v/>
      </c>
      <c r="CT609">
        <f>AF609*BA609</f>
        <v/>
      </c>
      <c r="CU609">
        <f>AG609</f>
        <v/>
      </c>
      <c r="CV609">
        <f>AH609</f>
        <v/>
      </c>
      <c r="CW609">
        <f>AI609</f>
        <v/>
      </c>
      <c r="CX609">
        <f>AJ609</f>
        <v/>
      </c>
      <c r="CY609">
        <f>(((S609+R609)*AT609)/100)</f>
        <v/>
      </c>
      <c r="CZ609">
        <f>(((S609+R609)*AU609)/100)</f>
        <v/>
      </c>
      <c r="DC609" t="inlineStr"/>
      <c r="DD609" t="inlineStr"/>
      <c r="DE609" t="inlineStr"/>
      <c r="DF609" t="inlineStr"/>
      <c r="DG609" t="inlineStr"/>
      <c r="DH609" t="inlineStr"/>
      <c r="DI609" t="inlineStr"/>
      <c r="DJ609" t="inlineStr"/>
      <c r="DK609" t="inlineStr"/>
      <c r="DL609" t="inlineStr"/>
      <c r="DM609" t="inlineStr"/>
      <c r="DN609" t="n">
        <v>0</v>
      </c>
      <c r="DO609" t="n">
        <v>0</v>
      </c>
      <c r="DP609" t="n">
        <v>1</v>
      </c>
      <c r="DQ609" t="n">
        <v>1</v>
      </c>
      <c r="DU609" t="n">
        <v>1010</v>
      </c>
      <c r="DV609" t="inlineStr">
        <is>
          <t>10 шт.</t>
        </is>
      </c>
      <c r="DW609" t="inlineStr">
        <is>
          <t>10 шт.</t>
        </is>
      </c>
      <c r="DX609" t="n">
        <v>10</v>
      </c>
      <c r="DZ609" t="inlineStr"/>
      <c r="EA609" t="inlineStr"/>
      <c r="EB609" t="inlineStr"/>
      <c r="EC609" t="inlineStr"/>
      <c r="EE609" t="n">
        <v>78725882</v>
      </c>
      <c r="EF609" t="n">
        <v>2</v>
      </c>
      <c r="EG609" t="inlineStr">
        <is>
          <t>Общестроительные работы</t>
        </is>
      </c>
      <c r="EH609" t="n">
        <v>16</v>
      </c>
      <c r="EI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9" t="n">
        <v>1</v>
      </c>
      <c r="EK609" t="n">
        <v>16001</v>
      </c>
      <c r="EL609" t="inlineStr">
        <is>
          <t>Трубопроводы внутренние</t>
        </is>
      </c>
      <c r="EM609" t="inlineStr">
        <is>
          <t>ФЕР-16</t>
        </is>
      </c>
      <c r="EO609" t="inlineStr"/>
      <c r="EQ609" t="n">
        <v>0</v>
      </c>
      <c r="ER609" t="n">
        <v>74.8</v>
      </c>
      <c r="ES609" t="n">
        <v>74.8</v>
      </c>
      <c r="ET609" t="n">
        <v>0</v>
      </c>
      <c r="EU609" t="n">
        <v>0</v>
      </c>
      <c r="EV609" t="n">
        <v>0</v>
      </c>
      <c r="EW609" t="n">
        <v>0</v>
      </c>
      <c r="EX609" t="n">
        <v>0</v>
      </c>
      <c r="FQ609" t="n">
        <v>0</v>
      </c>
      <c r="FR609" t="n">
        <v>0</v>
      </c>
      <c r="FS609" t="n">
        <v>0</v>
      </c>
      <c r="FX609" t="n">
        <v>121</v>
      </c>
      <c r="FY609" t="n">
        <v>72</v>
      </c>
      <c r="GA609" t="inlineStr"/>
      <c r="GD609" t="n">
        <v>1</v>
      </c>
      <c r="GF609" t="n">
        <v>-386966031</v>
      </c>
      <c r="GG609" t="n">
        <v>2</v>
      </c>
      <c r="GH609" t="n">
        <v>1</v>
      </c>
      <c r="GI609" t="n">
        <v>2</v>
      </c>
      <c r="GJ609" t="n">
        <v>0</v>
      </c>
      <c r="GK609" t="n">
        <v>0</v>
      </c>
      <c r="GL609">
        <f>ROUND(IF(AND(BH609=3,BI609=3,FS609&lt;&gt;0),P609,0),0)</f>
        <v/>
      </c>
      <c r="GM609">
        <f>ROUND(O609+X609+Y609,0)+GX609</f>
        <v/>
      </c>
      <c r="GN609">
        <f>IF(OR(BI609=0,BI609=1),GM609-GX609,0)</f>
        <v/>
      </c>
      <c r="GO609">
        <f>IF(BI609=2,GM609-GX609,0)</f>
        <v/>
      </c>
      <c r="GP609">
        <f>IF(BI609=4,GM609-GX609,0)</f>
        <v/>
      </c>
      <c r="GR609" t="n">
        <v>0</v>
      </c>
      <c r="GS609" t="n">
        <v>3</v>
      </c>
      <c r="GT609" t="n">
        <v>0</v>
      </c>
      <c r="GU609" t="inlineStr"/>
      <c r="GV609">
        <f>ROUND((GT609),2)</f>
        <v/>
      </c>
      <c r="GW609" t="n">
        <v>1</v>
      </c>
      <c r="GX609">
        <f>ROUND(HC609*I609,0)</f>
        <v/>
      </c>
      <c r="HA609" t="n">
        <v>0</v>
      </c>
      <c r="HB609" t="n">
        <v>0</v>
      </c>
      <c r="HC609">
        <f>GV609*GW609</f>
        <v/>
      </c>
      <c r="HE609" t="inlineStr"/>
      <c r="HF609" t="inlineStr"/>
      <c r="HM609" t="inlineStr"/>
      <c r="HN609" t="inlineStr">
        <is>
          <t>Пр/812-016.0-1</t>
        </is>
      </c>
      <c r="HO609" t="inlineStr">
        <is>
          <t>Пр/774-016.0</t>
        </is>
      </c>
      <c r="HP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9" t="n">
        <v>0</v>
      </c>
      <c r="IK609" t="n">
        <v>0</v>
      </c>
    </row>
    <row r="610">
      <c r="A610" t="n">
        <v>18</v>
      </c>
      <c r="B610" t="n">
        <v>1</v>
      </c>
      <c r="C610" t="n">
        <v>309</v>
      </c>
      <c r="E610" t="inlineStr">
        <is>
          <t>5,4</t>
        </is>
      </c>
      <c r="F610" t="inlineStr">
        <is>
          <t>302-0063</t>
        </is>
      </c>
      <c r="G610" t="inlineStr">
        <is>
          <t>Кран шаровый муфтовый Valtec для воды диаметром 20 мм, тип в/в</t>
        </is>
      </c>
      <c r="H610" t="inlineStr">
        <is>
          <t>шт.</t>
        </is>
      </c>
      <c r="I610">
        <f>I606*J610</f>
        <v/>
      </c>
      <c r="J610" t="n">
        <v>12.5</v>
      </c>
      <c r="K610" t="n">
        <v>12.5</v>
      </c>
      <c r="O610">
        <f>ROUND(CP610,0)</f>
        <v/>
      </c>
      <c r="P610">
        <f>ROUND(CQ610*I610,0)</f>
        <v/>
      </c>
      <c r="Q610">
        <f>(ROUND((ROUND(((ET610)*I610),0)*BB610),0)+ROUND((ROUND(((AE610-(EU610))*I610),0)*BS610),0))</f>
        <v/>
      </c>
      <c r="R610">
        <f>(ROUND((ROUND(((EU610)*I610),0)*BS610),0)+ROUND((ROUND(((AE610-(EU610))*I610),0)*BS610),0))</f>
        <v/>
      </c>
      <c r="S610">
        <f>ROUND(CT610*I610,0)</f>
        <v/>
      </c>
      <c r="T610">
        <f>ROUND(CU610*I610,0)</f>
        <v/>
      </c>
      <c r="U610">
        <f>ROUND(CV610*I610,7)</f>
        <v/>
      </c>
      <c r="V610">
        <f>ROUND(CW610*I610,7)</f>
        <v/>
      </c>
      <c r="W610">
        <f>ROUND(CX610*I610,0)</f>
        <v/>
      </c>
      <c r="X610">
        <f>ROUND(CY610,0)</f>
        <v/>
      </c>
      <c r="Y610">
        <f>ROUND(CZ610,0)</f>
        <v/>
      </c>
      <c r="AA610" t="n">
        <v>78869116</v>
      </c>
      <c r="AB610">
        <f>ROUND((AC610+AD610+AF610),2)</f>
        <v/>
      </c>
      <c r="AC610">
        <f>ROUND((ES610),2)</f>
        <v/>
      </c>
      <c r="AD610">
        <f>ROUND((((ET610)-(EU610))+AE610),2)</f>
        <v/>
      </c>
      <c r="AE610">
        <f>ROUND((EU610),2)</f>
        <v/>
      </c>
      <c r="AF610">
        <f>ROUND((EV610),2)</f>
        <v/>
      </c>
      <c r="AG610">
        <f>ROUND((AP610),2)</f>
        <v/>
      </c>
      <c r="AH610">
        <f>(EW610)</f>
        <v/>
      </c>
      <c r="AI610">
        <f>(EX610)</f>
        <v/>
      </c>
      <c r="AJ610">
        <f>(AS610)</f>
        <v/>
      </c>
      <c r="AK610" t="n">
        <v>42.46</v>
      </c>
      <c r="AL610" t="n">
        <v>42.46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  <c r="AS610" t="n">
        <v>0.01</v>
      </c>
      <c r="AT610" t="n">
        <v>121</v>
      </c>
      <c r="AU610" t="n">
        <v>72</v>
      </c>
      <c r="AV610" t="n">
        <v>1</v>
      </c>
      <c r="AW610" t="n">
        <v>1</v>
      </c>
      <c r="AZ610" t="n">
        <v>1</v>
      </c>
      <c r="BA610" t="n">
        <v>1</v>
      </c>
      <c r="BB610" t="n">
        <v>1</v>
      </c>
      <c r="BC610" t="n">
        <v>13.78</v>
      </c>
      <c r="BD610" t="inlineStr"/>
      <c r="BE610" t="inlineStr"/>
      <c r="BF610" t="inlineStr"/>
      <c r="BG610" t="inlineStr"/>
      <c r="BH610" t="n">
        <v>3</v>
      </c>
      <c r="BI610" t="n">
        <v>1</v>
      </c>
      <c r="BJ610" t="inlineStr">
        <is>
          <t>ТССЦ Московской обл., 302-0063, приказ Минстроя России №675/пр от 28.02.2017 № 256/пр</t>
        </is>
      </c>
      <c r="BM610" t="n">
        <v>16001</v>
      </c>
      <c r="BN610" t="n">
        <v>0</v>
      </c>
      <c r="BO610" t="inlineStr">
        <is>
          <t>302-0063</t>
        </is>
      </c>
      <c r="BP610" t="n">
        <v>1</v>
      </c>
      <c r="BQ610" t="n">
        <v>2</v>
      </c>
      <c r="BR610" t="n">
        <v>0</v>
      </c>
      <c r="BS610" t="n">
        <v>1</v>
      </c>
      <c r="BT610" t="n">
        <v>1</v>
      </c>
      <c r="BU610" t="n">
        <v>1</v>
      </c>
      <c r="BV610" t="n">
        <v>1</v>
      </c>
      <c r="BW610" t="n">
        <v>1</v>
      </c>
      <c r="BX610" t="n">
        <v>1</v>
      </c>
      <c r="BY610" t="inlineStr"/>
      <c r="BZ610" t="n">
        <v>121</v>
      </c>
      <c r="CA610" t="n">
        <v>72</v>
      </c>
      <c r="CB610" t="inlineStr"/>
      <c r="CE610" t="n">
        <v>12</v>
      </c>
      <c r="CF610" t="n">
        <v>0</v>
      </c>
      <c r="CG610" t="n">
        <v>0</v>
      </c>
      <c r="CM610" t="n">
        <v>0</v>
      </c>
      <c r="CN610" t="inlineStr"/>
      <c r="CO610" t="n">
        <v>0</v>
      </c>
      <c r="CP610">
        <f>(P610+Q610+S610)</f>
        <v/>
      </c>
      <c r="CQ610">
        <f>AC610*BC610</f>
        <v/>
      </c>
      <c r="CR610">
        <f>(ROUND((ROUND(((ET610)*1),0)*BB610),0)+ROUND((ROUND(((AE610-(EU610))*1),0)*BS610),0))</f>
        <v/>
      </c>
      <c r="CS610">
        <f>(ROUND((ROUND(((EU610)*1),0)*BS610),0)+ROUND((ROUND(((AE610-(EU610))*1),0)*BS610),0))</f>
        <v/>
      </c>
      <c r="CT610">
        <f>AF610*BA610</f>
        <v/>
      </c>
      <c r="CU610">
        <f>AG610</f>
        <v/>
      </c>
      <c r="CV610">
        <f>AH610</f>
        <v/>
      </c>
      <c r="CW610">
        <f>AI610</f>
        <v/>
      </c>
      <c r="CX610">
        <f>AJ610</f>
        <v/>
      </c>
      <c r="CY610">
        <f>(((S610+R610)*AT610)/100)</f>
        <v/>
      </c>
      <c r="CZ610">
        <f>(((S610+R610)*AU610)/100)</f>
        <v/>
      </c>
      <c r="DC610" t="inlineStr"/>
      <c r="DD610" t="inlineStr"/>
      <c r="DE610" t="inlineStr"/>
      <c r="DF610" t="inlineStr"/>
      <c r="DG610" t="inlineStr"/>
      <c r="DH610" t="inlineStr"/>
      <c r="DI610" t="inlineStr"/>
      <c r="DJ610" t="inlineStr"/>
      <c r="DK610" t="inlineStr"/>
      <c r="DL610" t="inlineStr"/>
      <c r="DM610" t="inlineStr"/>
      <c r="DN610" t="n">
        <v>0</v>
      </c>
      <c r="DO610" t="n">
        <v>0</v>
      </c>
      <c r="DP610" t="n">
        <v>1</v>
      </c>
      <c r="DQ610" t="n">
        <v>1</v>
      </c>
      <c r="DU610" t="n">
        <v>1010</v>
      </c>
      <c r="DV610" t="inlineStr">
        <is>
          <t>шт.</t>
        </is>
      </c>
      <c r="DW610" t="inlineStr">
        <is>
          <t>шт.</t>
        </is>
      </c>
      <c r="DX610" t="n">
        <v>1</v>
      </c>
      <c r="DZ610" t="inlineStr"/>
      <c r="EA610" t="inlineStr"/>
      <c r="EB610" t="inlineStr"/>
      <c r="EC610" t="inlineStr"/>
      <c r="EE610" t="n">
        <v>78725882</v>
      </c>
      <c r="EF610" t="n">
        <v>2</v>
      </c>
      <c r="EG610" t="inlineStr">
        <is>
          <t>Общестроительные работы</t>
        </is>
      </c>
      <c r="EH610" t="n">
        <v>16</v>
      </c>
      <c r="EI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0" t="n">
        <v>1</v>
      </c>
      <c r="EK610" t="n">
        <v>16001</v>
      </c>
      <c r="EL610" t="inlineStr">
        <is>
          <t>Трубопроводы внутренние</t>
        </is>
      </c>
      <c r="EM610" t="inlineStr">
        <is>
          <t>ФЕР-16</t>
        </is>
      </c>
      <c r="EO610" t="inlineStr"/>
      <c r="EQ610" t="n">
        <v>0</v>
      </c>
      <c r="ER610" t="n">
        <v>42.46</v>
      </c>
      <c r="ES610" t="n">
        <v>42.46</v>
      </c>
      <c r="ET610" t="n">
        <v>0</v>
      </c>
      <c r="EU610" t="n">
        <v>0</v>
      </c>
      <c r="EV610" t="n">
        <v>0</v>
      </c>
      <c r="EW610" t="n">
        <v>0</v>
      </c>
      <c r="EX610" t="n">
        <v>0</v>
      </c>
      <c r="FQ610" t="n">
        <v>0</v>
      </c>
      <c r="FR610" t="n">
        <v>0</v>
      </c>
      <c r="FS610" t="n">
        <v>0</v>
      </c>
      <c r="FX610" t="n">
        <v>121</v>
      </c>
      <c r="FY610" t="n">
        <v>72</v>
      </c>
      <c r="GA610" t="inlineStr"/>
      <c r="GD610" t="n">
        <v>1</v>
      </c>
      <c r="GF610" t="n">
        <v>1037232740</v>
      </c>
      <c r="GG610" t="n">
        <v>2</v>
      </c>
      <c r="GH610" t="n">
        <v>1</v>
      </c>
      <c r="GI610" t="n">
        <v>2</v>
      </c>
      <c r="GJ610" t="n">
        <v>0</v>
      </c>
      <c r="GK610" t="n">
        <v>0</v>
      </c>
      <c r="GL610">
        <f>ROUND(IF(AND(BH610=3,BI610=3,FS610&lt;&gt;0),P610,0),0)</f>
        <v/>
      </c>
      <c r="GM610">
        <f>ROUND(O610+X610+Y610,0)+GX610</f>
        <v/>
      </c>
      <c r="GN610">
        <f>IF(OR(BI610=0,BI610=1),GM610-GX610,0)</f>
        <v/>
      </c>
      <c r="GO610">
        <f>IF(BI610=2,GM610-GX610,0)</f>
        <v/>
      </c>
      <c r="GP610">
        <f>IF(BI610=4,GM610-GX610,0)</f>
        <v/>
      </c>
      <c r="GR610" t="n">
        <v>0</v>
      </c>
      <c r="GS610" t="n">
        <v>3</v>
      </c>
      <c r="GT610" t="n">
        <v>0</v>
      </c>
      <c r="GU610" t="inlineStr"/>
      <c r="GV610">
        <f>ROUND((GT610),2)</f>
        <v/>
      </c>
      <c r="GW610" t="n">
        <v>1</v>
      </c>
      <c r="GX610">
        <f>ROUND(HC610*I610,0)</f>
        <v/>
      </c>
      <c r="HA610" t="n">
        <v>0</v>
      </c>
      <c r="HB610" t="n">
        <v>0</v>
      </c>
      <c r="HC610">
        <f>GV610*GW610</f>
        <v/>
      </c>
      <c r="HE610" t="inlineStr"/>
      <c r="HF610" t="inlineStr"/>
      <c r="HM610" t="inlineStr"/>
      <c r="HN610" t="inlineStr">
        <is>
          <t>Пр/812-016.0-1</t>
        </is>
      </c>
      <c r="HO610" t="inlineStr">
        <is>
          <t>Пр/774-016.0</t>
        </is>
      </c>
      <c r="HP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0" t="n">
        <v>0</v>
      </c>
      <c r="IK610" t="n">
        <v>0</v>
      </c>
    </row>
    <row r="611">
      <c r="A611" t="n">
        <v>17</v>
      </c>
      <c r="B611" t="n">
        <v>1</v>
      </c>
      <c r="C611">
        <f>ROW(SmtRes!A329)</f>
        <v/>
      </c>
      <c r="D611">
        <f>ROW(EtalonRes!A298)</f>
        <v/>
      </c>
      <c r="E611" t="inlineStr">
        <is>
          <t>6</t>
        </is>
      </c>
      <c r="F611" t="inlineStr">
        <is>
          <t>65-16-3</t>
        </is>
      </c>
      <c r="G611" t="inlineStr">
        <is>
          <t>Смена сгонов у трубопроводов диаметром до 50 мм / 25мм</t>
        </is>
      </c>
      <c r="H611" t="inlineStr">
        <is>
          <t>100 сгонов</t>
        </is>
      </c>
      <c r="I611">
        <f>ROUND(ROUND(1/100,4),7)</f>
        <v/>
      </c>
      <c r="J611" t="n">
        <v>0</v>
      </c>
      <c r="K611">
        <f>ROUND(ROUND(1/100,4),7)</f>
        <v/>
      </c>
      <c r="O611">
        <f>ROUND(CP611,0)</f>
        <v/>
      </c>
      <c r="P611">
        <f>ROUND(CQ611*I611,0)</f>
        <v/>
      </c>
      <c r="Q611">
        <f>(ROUND((ROUND(((ET611)*I611),0)*BB611),0)+ROUND((ROUND(((AE611-(EU611))*I611),0)*BS611),0))</f>
        <v/>
      </c>
      <c r="R611">
        <f>(ROUND((ROUND(((EU611)*I611),0)*BS611),0)+ROUND((ROUND(((AE611-(EU611))*I611),0)*BS611),0))</f>
        <v/>
      </c>
      <c r="S611">
        <f>ROUND(CT611*I611,0)</f>
        <v/>
      </c>
      <c r="T611">
        <f>ROUND(CU611*I611,0)</f>
        <v/>
      </c>
      <c r="U611">
        <f>ROUND(CV611*I611,7)</f>
        <v/>
      </c>
      <c r="V611">
        <f>ROUND(CW611*I611,7)</f>
        <v/>
      </c>
      <c r="W611">
        <f>ROUND(CX611*I611,0)</f>
        <v/>
      </c>
      <c r="X611">
        <f>ROUND(CY611,0)</f>
        <v/>
      </c>
      <c r="Y611">
        <f>ROUND(CZ611,0)</f>
        <v/>
      </c>
      <c r="AA611" t="n">
        <v>78869116</v>
      </c>
      <c r="AB611">
        <f>ROUND((AC611+AD611+AF611),2)</f>
        <v/>
      </c>
      <c r="AC611">
        <f>ROUND((ES611),2)</f>
        <v/>
      </c>
      <c r="AD611">
        <f>ROUND((((ET611)-(EU611))+AE611),2)</f>
        <v/>
      </c>
      <c r="AE611">
        <f>ROUND((EU611),2)</f>
        <v/>
      </c>
      <c r="AF611">
        <f>ROUND((EV611),2)</f>
        <v/>
      </c>
      <c r="AG611">
        <f>ROUND((AP611),2)</f>
        <v/>
      </c>
      <c r="AH611">
        <f>(EW611)</f>
        <v/>
      </c>
      <c r="AI611">
        <f>(EX611)</f>
        <v/>
      </c>
      <c r="AJ611">
        <f>(AS611)</f>
        <v/>
      </c>
      <c r="AK611" t="n">
        <v>3617.87</v>
      </c>
      <c r="AL611" t="n">
        <v>2939.22</v>
      </c>
      <c r="AM611" t="n">
        <v>3.44</v>
      </c>
      <c r="AN611" t="n">
        <v>1.49</v>
      </c>
      <c r="AO611" t="n">
        <v>675.21</v>
      </c>
      <c r="AP611" t="n">
        <v>0</v>
      </c>
      <c r="AQ611" t="n">
        <v>71</v>
      </c>
      <c r="AR611" t="n">
        <v>0.11</v>
      </c>
      <c r="AS611" t="n">
        <v>0</v>
      </c>
      <c r="AT611" t="n">
        <v>103</v>
      </c>
      <c r="AU611" t="n">
        <v>52</v>
      </c>
      <c r="AV611" t="n">
        <v>1</v>
      </c>
      <c r="AW611" t="n">
        <v>1</v>
      </c>
      <c r="AZ611" t="n">
        <v>1</v>
      </c>
      <c r="BA611" t="n">
        <v>52.25</v>
      </c>
      <c r="BB611" t="n">
        <v>23.31</v>
      </c>
      <c r="BC611" t="n">
        <v>13.54</v>
      </c>
      <c r="BD611" t="inlineStr"/>
      <c r="BE611" t="inlineStr"/>
      <c r="BF611" t="inlineStr"/>
      <c r="BG611" t="inlineStr"/>
      <c r="BH611" t="n">
        <v>0</v>
      </c>
      <c r="BI611" t="n">
        <v>1</v>
      </c>
      <c r="BJ611" t="inlineStr">
        <is>
          <t>ТЕРр Московской обл., 65-16-3, приказ Минстроя России №675/пр от 28.02.2017 № 263/пр</t>
        </is>
      </c>
      <c r="BM611" t="n">
        <v>65008</v>
      </c>
      <c r="BN611" t="n">
        <v>0</v>
      </c>
      <c r="BO611" t="inlineStr">
        <is>
          <t>65-16-3</t>
        </is>
      </c>
      <c r="BP611" t="n">
        <v>1</v>
      </c>
      <c r="BQ611" t="n">
        <v>6</v>
      </c>
      <c r="BR611" t="n">
        <v>0</v>
      </c>
      <c r="BS611" t="n">
        <v>52.25</v>
      </c>
      <c r="BT611" t="n">
        <v>1</v>
      </c>
      <c r="BU611" t="n">
        <v>1</v>
      </c>
      <c r="BV611" t="n">
        <v>1</v>
      </c>
      <c r="BW611" t="n">
        <v>1</v>
      </c>
      <c r="BX611" t="n">
        <v>1</v>
      </c>
      <c r="BY611" t="inlineStr"/>
      <c r="BZ611" t="n">
        <v>103</v>
      </c>
      <c r="CA611" t="n">
        <v>52</v>
      </c>
      <c r="CB611" t="inlineStr"/>
      <c r="CE611" t="n">
        <v>12</v>
      </c>
      <c r="CF611" t="n">
        <v>0</v>
      </c>
      <c r="CG611" t="n">
        <v>0</v>
      </c>
      <c r="CM611" t="n">
        <v>0</v>
      </c>
      <c r="CN611" t="inlineStr"/>
      <c r="CO611" t="n">
        <v>0</v>
      </c>
      <c r="CP611">
        <f>(P611+Q611+S611)</f>
        <v/>
      </c>
      <c r="CQ611">
        <f>AC611*BC611</f>
        <v/>
      </c>
      <c r="CR611">
        <f>(ROUND((ROUND(((ET611)*1),0)*BB611),0)+ROUND((ROUND(((AE611-(EU611))*1),0)*BS611),0))</f>
        <v/>
      </c>
      <c r="CS611">
        <f>(ROUND((ROUND(((EU611)*1),0)*BS611),0)+ROUND((ROUND(((AE611-(EU611))*1),0)*BS611),0))</f>
        <v/>
      </c>
      <c r="CT611">
        <f>AF611*BA611</f>
        <v/>
      </c>
      <c r="CU611">
        <f>AG611</f>
        <v/>
      </c>
      <c r="CV611">
        <f>AH611</f>
        <v/>
      </c>
      <c r="CW611">
        <f>AI611</f>
        <v/>
      </c>
      <c r="CX611">
        <f>AJ611</f>
        <v/>
      </c>
      <c r="CY611">
        <f>(((S611+R611)*AT611)/100)</f>
        <v/>
      </c>
      <c r="CZ611">
        <f>(((S611+R611)*AU611)/100)</f>
        <v/>
      </c>
      <c r="DC611" t="inlineStr"/>
      <c r="DD611" t="inlineStr"/>
      <c r="DE611" t="inlineStr"/>
      <c r="DF611" t="inlineStr"/>
      <c r="DG611" t="inlineStr"/>
      <c r="DH611" t="inlineStr"/>
      <c r="DI611" t="inlineStr"/>
      <c r="DJ611" t="inlineStr"/>
      <c r="DK611" t="inlineStr"/>
      <c r="DL611" t="inlineStr"/>
      <c r="DM611" t="inlineStr"/>
      <c r="DN611" t="n">
        <v>0</v>
      </c>
      <c r="DO611" t="n">
        <v>0</v>
      </c>
      <c r="DP611" t="n">
        <v>1</v>
      </c>
      <c r="DQ611" t="n">
        <v>1</v>
      </c>
      <c r="DU611" t="n">
        <v>1013</v>
      </c>
      <c r="DV611" t="inlineStr">
        <is>
          <t>100 сгонов</t>
        </is>
      </c>
      <c r="DW611" t="inlineStr">
        <is>
          <t>100 сгонов</t>
        </is>
      </c>
      <c r="DX611" t="n">
        <v>1</v>
      </c>
      <c r="DZ611" t="inlineStr"/>
      <c r="EA611" t="inlineStr"/>
      <c r="EB611" t="inlineStr"/>
      <c r="EC611" t="inlineStr"/>
      <c r="EE611" t="n">
        <v>78726002</v>
      </c>
      <c r="EF611" t="n">
        <v>6</v>
      </c>
      <c r="EG611" t="inlineStr">
        <is>
          <t>Ремонтно-строительные работы</t>
        </is>
      </c>
      <c r="EH611" t="n">
        <v>99</v>
      </c>
      <c r="EI611" t="inlineStr">
        <is>
          <t>Внутренние санитарно-технические работы</t>
        </is>
      </c>
      <c r="EJ611" t="n">
        <v>1</v>
      </c>
      <c r="EK611" t="n">
        <v>65008</v>
      </c>
      <c r="EL611" t="inlineStr">
        <is>
          <t>Внутренние санитарнотехнические работы: смена труб, санприборов, запорной арматуры и другое</t>
        </is>
      </c>
      <c r="EM611" t="inlineStr">
        <is>
          <t>рФЕР-65</t>
        </is>
      </c>
      <c r="EO611" t="inlineStr"/>
      <c r="EQ611" t="n">
        <v>0</v>
      </c>
      <c r="ER611" t="n">
        <v>3617.87</v>
      </c>
      <c r="ES611" t="n">
        <v>2939.22</v>
      </c>
      <c r="ET611" t="n">
        <v>3.44</v>
      </c>
      <c r="EU611" t="n">
        <v>1.49</v>
      </c>
      <c r="EV611" t="n">
        <v>675.21</v>
      </c>
      <c r="EW611" t="n">
        <v>71</v>
      </c>
      <c r="EX611" t="n">
        <v>0.11</v>
      </c>
      <c r="EY611" t="n">
        <v>0</v>
      </c>
      <c r="FQ611" t="n">
        <v>0</v>
      </c>
      <c r="FR611" t="n">
        <v>0</v>
      </c>
      <c r="FS611" t="n">
        <v>0</v>
      </c>
      <c r="FX611" t="n">
        <v>103</v>
      </c>
      <c r="FY611" t="n">
        <v>52</v>
      </c>
      <c r="GA611" t="inlineStr"/>
      <c r="GD611" t="n">
        <v>1</v>
      </c>
      <c r="GF611" t="n">
        <v>1258620688</v>
      </c>
      <c r="GG611" t="n">
        <v>2</v>
      </c>
      <c r="GH611" t="n">
        <v>1</v>
      </c>
      <c r="GI611" t="n">
        <v>2</v>
      </c>
      <c r="GJ611" t="n">
        <v>0</v>
      </c>
      <c r="GK611" t="n">
        <v>0</v>
      </c>
      <c r="GL611">
        <f>ROUND(IF(AND(BH611=3,BI611=3,FS611&lt;&gt;0),P611,0),0)</f>
        <v/>
      </c>
      <c r="GM611">
        <f>ROUND(O611+X611+Y611,0)+GX611</f>
        <v/>
      </c>
      <c r="GN611">
        <f>IF(OR(BI611=0,BI611=1),GM611-GX611,0)</f>
        <v/>
      </c>
      <c r="GO611">
        <f>IF(BI611=2,GM611-GX611,0)</f>
        <v/>
      </c>
      <c r="GP611">
        <f>IF(BI611=4,GM611-GX611,0)</f>
        <v/>
      </c>
      <c r="GR611" t="n">
        <v>0</v>
      </c>
      <c r="GS611" t="n">
        <v>3</v>
      </c>
      <c r="GT611" t="n">
        <v>0</v>
      </c>
      <c r="GU611" t="inlineStr"/>
      <c r="GV611">
        <f>ROUND((GT611),2)</f>
        <v/>
      </c>
      <c r="GW611" t="n">
        <v>1</v>
      </c>
      <c r="GX611">
        <f>ROUND(HC611*I611,0)</f>
        <v/>
      </c>
      <c r="HA611" t="n">
        <v>0</v>
      </c>
      <c r="HB611" t="n">
        <v>0</v>
      </c>
      <c r="HC611">
        <f>GV611*GW611</f>
        <v/>
      </c>
      <c r="HE611" t="inlineStr"/>
      <c r="HF611" t="inlineStr"/>
      <c r="HM611" t="inlineStr"/>
      <c r="HN611" t="inlineStr">
        <is>
          <t>Пр/812-099.2-1</t>
        </is>
      </c>
      <c r="HO611" t="inlineStr">
        <is>
          <t>Пр/774-099.2</t>
        </is>
      </c>
      <c r="HP611" t="inlineStr">
        <is>
          <t>Внутренние санитарнотехнические работы: смена труб, санприборов, запорной арматуры и другое</t>
        </is>
      </c>
      <c r="HQ611" t="inlineStr">
        <is>
          <t>Внутренние санитарнотехнические работы: смена труб, санприборов, запорной арматуры и другое</t>
        </is>
      </c>
      <c r="HS611" t="n">
        <v>0</v>
      </c>
      <c r="IK611" t="n">
        <v>0</v>
      </c>
    </row>
    <row r="612">
      <c r="A612" t="n">
        <v>18</v>
      </c>
      <c r="B612" t="n">
        <v>1</v>
      </c>
      <c r="C612" t="n">
        <v>322</v>
      </c>
      <c r="E612" t="inlineStr">
        <is>
          <t>6,1</t>
        </is>
      </c>
      <c r="F612" t="inlineStr">
        <is>
          <t>302-1241</t>
        </is>
      </c>
      <c r="G612" t="inlineStr">
        <is>
          <t>Сгоны стальные с муфтой и контргайкой, диаметром 50 мм</t>
        </is>
      </c>
      <c r="H612" t="inlineStr">
        <is>
          <t>шт.</t>
        </is>
      </c>
      <c r="I612">
        <f>I611*J612</f>
        <v/>
      </c>
      <c r="J612" t="n">
        <v>-100</v>
      </c>
      <c r="K612" t="n">
        <v>-100</v>
      </c>
      <c r="O612">
        <f>ROUND(CP612,0)</f>
        <v/>
      </c>
      <c r="P612">
        <f>ROUND(CQ612*I612,0)</f>
        <v/>
      </c>
      <c r="Q612">
        <f>(ROUND((ROUND(((ET612)*I612),0)*BB612),0)+ROUND((ROUND(((AE612-(EU612))*I612),0)*BS612),0))</f>
        <v/>
      </c>
      <c r="R612">
        <f>(ROUND((ROUND(((EU612)*I612),0)*BS612),0)+ROUND((ROUND(((AE612-(EU612))*I612),0)*BS612),0))</f>
        <v/>
      </c>
      <c r="S612">
        <f>ROUND(CT612*I612,0)</f>
        <v/>
      </c>
      <c r="T612">
        <f>ROUND(CU612*I612,0)</f>
        <v/>
      </c>
      <c r="U612">
        <f>ROUND(CV612*I612,7)</f>
        <v/>
      </c>
      <c r="V612">
        <f>ROUND(CW612*I612,7)</f>
        <v/>
      </c>
      <c r="W612">
        <f>ROUND(CX612*I612,0)</f>
        <v/>
      </c>
      <c r="X612">
        <f>ROUND(CY612,0)</f>
        <v/>
      </c>
      <c r="Y612">
        <f>ROUND(CZ612,0)</f>
        <v/>
      </c>
      <c r="AA612" t="n">
        <v>78869116</v>
      </c>
      <c r="AB612">
        <f>ROUND((AC612+AD612+AF612),2)</f>
        <v/>
      </c>
      <c r="AC612">
        <f>ROUND((ES612),2)</f>
        <v/>
      </c>
      <c r="AD612">
        <f>ROUND((((ET612)-(EU612))+AE612),2)</f>
        <v/>
      </c>
      <c r="AE612">
        <f>ROUND((EU612),2)</f>
        <v/>
      </c>
      <c r="AF612">
        <f>ROUND((EV612),2)</f>
        <v/>
      </c>
      <c r="AG612">
        <f>ROUND((AP612),2)</f>
        <v/>
      </c>
      <c r="AH612">
        <f>(EW612)</f>
        <v/>
      </c>
      <c r="AI612">
        <f>(EX612)</f>
        <v/>
      </c>
      <c r="AJ612">
        <f>(AS612)</f>
        <v/>
      </c>
      <c r="AK612" t="n">
        <v>28.58</v>
      </c>
      <c r="AL612" t="n">
        <v>28.58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  <c r="AS612" t="n">
        <v>0</v>
      </c>
      <c r="AT612" t="n">
        <v>103</v>
      </c>
      <c r="AU612" t="n">
        <v>52</v>
      </c>
      <c r="AV612" t="n">
        <v>1</v>
      </c>
      <c r="AW612" t="n">
        <v>1</v>
      </c>
      <c r="AZ612" t="n">
        <v>1</v>
      </c>
      <c r="BA612" t="n">
        <v>1</v>
      </c>
      <c r="BB612" t="n">
        <v>1</v>
      </c>
      <c r="BC612" t="n">
        <v>13.7</v>
      </c>
      <c r="BD612" t="inlineStr"/>
      <c r="BE612" t="inlineStr"/>
      <c r="BF612" t="inlineStr"/>
      <c r="BG612" t="inlineStr"/>
      <c r="BH612" t="n">
        <v>3</v>
      </c>
      <c r="BI612" t="n">
        <v>1</v>
      </c>
      <c r="BJ612" t="inlineStr">
        <is>
          <t>ТССЦ Московской обл., 302-1241, приказ Минстроя России №675/пр от 28.02.2017 № 256/пр</t>
        </is>
      </c>
      <c r="BM612" t="n">
        <v>65008</v>
      </c>
      <c r="BN612" t="n">
        <v>0</v>
      </c>
      <c r="BO612" t="inlineStr">
        <is>
          <t>302-1241</t>
        </is>
      </c>
      <c r="BP612" t="n">
        <v>1</v>
      </c>
      <c r="BQ612" t="n">
        <v>6</v>
      </c>
      <c r="BR612" t="n">
        <v>1</v>
      </c>
      <c r="BS612" t="n">
        <v>1</v>
      </c>
      <c r="BT612" t="n">
        <v>1</v>
      </c>
      <c r="BU612" t="n">
        <v>1</v>
      </c>
      <c r="BV612" t="n">
        <v>1</v>
      </c>
      <c r="BW612" t="n">
        <v>1</v>
      </c>
      <c r="BX612" t="n">
        <v>1</v>
      </c>
      <c r="BY612" t="inlineStr"/>
      <c r="BZ612" t="n">
        <v>103</v>
      </c>
      <c r="CA612" t="n">
        <v>52</v>
      </c>
      <c r="CB612" t="inlineStr"/>
      <c r="CE612" t="n">
        <v>12</v>
      </c>
      <c r="CF612" t="n">
        <v>0</v>
      </c>
      <c r="CG612" t="n">
        <v>0</v>
      </c>
      <c r="CM612" t="n">
        <v>0</v>
      </c>
      <c r="CN612" t="inlineStr"/>
      <c r="CO612" t="n">
        <v>0</v>
      </c>
      <c r="CP612">
        <f>(P612+Q612+S612)</f>
        <v/>
      </c>
      <c r="CQ612">
        <f>AC612*BC612</f>
        <v/>
      </c>
      <c r="CR612">
        <f>(ROUND((ROUND(((ET612)*1),0)*BB612),0)+ROUND((ROUND(((AE612-(EU612))*1),0)*BS612),0))</f>
        <v/>
      </c>
      <c r="CS612">
        <f>(ROUND((ROUND(((EU612)*1),0)*BS612),0)+ROUND((ROUND(((AE612-(EU612))*1),0)*BS612),0))</f>
        <v/>
      </c>
      <c r="CT612">
        <f>AF612*BA612</f>
        <v/>
      </c>
      <c r="CU612">
        <f>AG612</f>
        <v/>
      </c>
      <c r="CV612">
        <f>AH612</f>
        <v/>
      </c>
      <c r="CW612">
        <f>AI612</f>
        <v/>
      </c>
      <c r="CX612">
        <f>AJ612</f>
        <v/>
      </c>
      <c r="CY612">
        <f>(((S612+R612)*AT612)/100)</f>
        <v/>
      </c>
      <c r="CZ612">
        <f>(((S612+R612)*AU612)/100)</f>
        <v/>
      </c>
      <c r="DC612" t="inlineStr"/>
      <c r="DD612" t="inlineStr"/>
      <c r="DE612" t="inlineStr"/>
      <c r="DF612" t="inlineStr"/>
      <c r="DG612" t="inlineStr"/>
      <c r="DH612" t="inlineStr"/>
      <c r="DI612" t="inlineStr"/>
      <c r="DJ612" t="inlineStr"/>
      <c r="DK612" t="inlineStr"/>
      <c r="DL612" t="inlineStr"/>
      <c r="DM612" t="inlineStr"/>
      <c r="DN612" t="n">
        <v>0</v>
      </c>
      <c r="DO612" t="n">
        <v>0</v>
      </c>
      <c r="DP612" t="n">
        <v>1</v>
      </c>
      <c r="DQ612" t="n">
        <v>1</v>
      </c>
      <c r="DU612" t="n">
        <v>1010</v>
      </c>
      <c r="DV612" t="inlineStr">
        <is>
          <t>шт.</t>
        </is>
      </c>
      <c r="DW612" t="inlineStr">
        <is>
          <t>шт.</t>
        </is>
      </c>
      <c r="DX612" t="n">
        <v>1</v>
      </c>
      <c r="DZ612" t="inlineStr"/>
      <c r="EA612" t="inlineStr"/>
      <c r="EB612" t="inlineStr"/>
      <c r="EC612" t="inlineStr"/>
      <c r="EE612" t="n">
        <v>78726002</v>
      </c>
      <c r="EF612" t="n">
        <v>6</v>
      </c>
      <c r="EG612" t="inlineStr">
        <is>
          <t>Ремонтно-строительные работы</t>
        </is>
      </c>
      <c r="EH612" t="n">
        <v>99</v>
      </c>
      <c r="EI612" t="inlineStr">
        <is>
          <t>Внутренние санитарно-технические работы</t>
        </is>
      </c>
      <c r="EJ612" t="n">
        <v>1</v>
      </c>
      <c r="EK612" t="n">
        <v>65008</v>
      </c>
      <c r="EL612" t="inlineStr">
        <is>
          <t>Внутренние санитарнотехнические работы: смена труб, санприборов, запорной арматуры и другое</t>
        </is>
      </c>
      <c r="EM612" t="inlineStr">
        <is>
          <t>рФЕР-65</t>
        </is>
      </c>
      <c r="EO612" t="inlineStr"/>
      <c r="EQ612" t="n">
        <v>32768</v>
      </c>
      <c r="ER612" t="n">
        <v>28.58</v>
      </c>
      <c r="ES612" t="n">
        <v>28.58</v>
      </c>
      <c r="ET612" t="n">
        <v>0</v>
      </c>
      <c r="EU612" t="n">
        <v>0</v>
      </c>
      <c r="EV612" t="n">
        <v>0</v>
      </c>
      <c r="EW612" t="n">
        <v>0</v>
      </c>
      <c r="EX612" t="n">
        <v>0</v>
      </c>
      <c r="FQ612" t="n">
        <v>0</v>
      </c>
      <c r="FR612" t="n">
        <v>0</v>
      </c>
      <c r="FS612" t="n">
        <v>0</v>
      </c>
      <c r="FX612" t="n">
        <v>103</v>
      </c>
      <c r="FY612" t="n">
        <v>52</v>
      </c>
      <c r="GA612" t="inlineStr"/>
      <c r="GD612" t="n">
        <v>1</v>
      </c>
      <c r="GF612" t="n">
        <v>-1108176549</v>
      </c>
      <c r="GG612" t="n">
        <v>2</v>
      </c>
      <c r="GH612" t="n">
        <v>1</v>
      </c>
      <c r="GI612" t="n">
        <v>2</v>
      </c>
      <c r="GJ612" t="n">
        <v>0</v>
      </c>
      <c r="GK612" t="n">
        <v>0</v>
      </c>
      <c r="GL612">
        <f>ROUND(IF(AND(BH612=3,BI612=3,FS612&lt;&gt;0),P612,0),0)</f>
        <v/>
      </c>
      <c r="GM612">
        <f>ROUND(O612+X612+Y612,0)+GX612</f>
        <v/>
      </c>
      <c r="GN612">
        <f>IF(OR(BI612=0,BI612=1),GM612-GX612,0)</f>
        <v/>
      </c>
      <c r="GO612">
        <f>IF(BI612=2,GM612-GX612,0)</f>
        <v/>
      </c>
      <c r="GP612">
        <f>IF(BI612=4,GM612-GX612,0)</f>
        <v/>
      </c>
      <c r="GR612" t="n">
        <v>0</v>
      </c>
      <c r="GS612" t="n">
        <v>3</v>
      </c>
      <c r="GT612" t="n">
        <v>0</v>
      </c>
      <c r="GU612" t="inlineStr"/>
      <c r="GV612">
        <f>ROUND((GT612),2)</f>
        <v/>
      </c>
      <c r="GW612" t="n">
        <v>1</v>
      </c>
      <c r="GX612">
        <f>ROUND(HC612*I612,0)</f>
        <v/>
      </c>
      <c r="HA612" t="n">
        <v>0</v>
      </c>
      <c r="HB612" t="n">
        <v>0</v>
      </c>
      <c r="HC612">
        <f>GV612*GW612</f>
        <v/>
      </c>
      <c r="HE612" t="inlineStr"/>
      <c r="HF612" t="inlineStr"/>
      <c r="HM612" t="inlineStr"/>
      <c r="HN612" t="inlineStr">
        <is>
          <t>Пр/812-099.2-1</t>
        </is>
      </c>
      <c r="HO612" t="inlineStr">
        <is>
          <t>Пр/774-099.2</t>
        </is>
      </c>
      <c r="HP612" t="inlineStr">
        <is>
          <t>Внутренние санитарнотехнические работы: смена труб, санприборов, запорной арматуры и другое</t>
        </is>
      </c>
      <c r="HQ612" t="inlineStr">
        <is>
          <t>Внутренние санитарнотехнические работы: смена труб, санприборов, запорной арматуры и другое</t>
        </is>
      </c>
      <c r="HS612" t="n">
        <v>0</v>
      </c>
      <c r="IK612" t="n">
        <v>0</v>
      </c>
    </row>
    <row r="613">
      <c r="A613" t="n">
        <v>18</v>
      </c>
      <c r="B613" t="n">
        <v>1</v>
      </c>
      <c r="C613" t="n">
        <v>326</v>
      </c>
      <c r="E613" t="inlineStr">
        <is>
          <t>6,2</t>
        </is>
      </c>
      <c r="F613" t="inlineStr">
        <is>
          <t>507-4994</t>
        </is>
      </c>
      <c r="G613" t="inlineStr">
        <is>
          <t>Муфты стальные прямые диаметром 50 мм</t>
        </is>
      </c>
      <c r="H613" t="inlineStr">
        <is>
          <t>10 шт.</t>
        </is>
      </c>
      <c r="I613">
        <f>I611*J613</f>
        <v/>
      </c>
      <c r="J613" t="n">
        <v>10</v>
      </c>
      <c r="K613" t="n">
        <v>10</v>
      </c>
      <c r="O613">
        <f>ROUND(CP613,0)</f>
        <v/>
      </c>
      <c r="P613">
        <f>ROUND(CQ613*I613,0)</f>
        <v/>
      </c>
      <c r="Q613">
        <f>(ROUND((ROUND(((ET613)*I613),0)*BB613),0)+ROUND((ROUND(((AE613-(EU613))*I613),0)*BS613),0))</f>
        <v/>
      </c>
      <c r="R613">
        <f>(ROUND((ROUND(((EU613)*I613),0)*BS613),0)+ROUND((ROUND(((AE613-(EU613))*I613),0)*BS613),0))</f>
        <v/>
      </c>
      <c r="S613">
        <f>ROUND(CT613*I613,0)</f>
        <v/>
      </c>
      <c r="T613">
        <f>ROUND(CU613*I613,0)</f>
        <v/>
      </c>
      <c r="U613">
        <f>ROUND(CV613*I613,7)</f>
        <v/>
      </c>
      <c r="V613">
        <f>ROUND(CW613*I613,7)</f>
        <v/>
      </c>
      <c r="W613">
        <f>ROUND(CX613*I613,0)</f>
        <v/>
      </c>
      <c r="X613">
        <f>ROUND(CY613,0)</f>
        <v/>
      </c>
      <c r="Y613">
        <f>ROUND(CZ613,0)</f>
        <v/>
      </c>
      <c r="AA613" t="n">
        <v>78869116</v>
      </c>
      <c r="AB613">
        <f>ROUND((AC613+AD613+AF613),2)</f>
        <v/>
      </c>
      <c r="AC613">
        <f>ROUND((ES613),2)</f>
        <v/>
      </c>
      <c r="AD613">
        <f>ROUND((((ET613)-(EU613))+AE613),2)</f>
        <v/>
      </c>
      <c r="AE613">
        <f>ROUND((EU613),2)</f>
        <v/>
      </c>
      <c r="AF613">
        <f>ROUND((EV613),2)</f>
        <v/>
      </c>
      <c r="AG613">
        <f>ROUND((AP613),2)</f>
        <v/>
      </c>
      <c r="AH613">
        <f>(EW613)</f>
        <v/>
      </c>
      <c r="AI613">
        <f>(EX613)</f>
        <v/>
      </c>
      <c r="AJ613">
        <f>(AS613)</f>
        <v/>
      </c>
      <c r="AK613" t="n">
        <v>205.52</v>
      </c>
      <c r="AL613" t="n">
        <v>205.52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  <c r="AS613" t="n">
        <v>0.14</v>
      </c>
      <c r="AT613" t="n">
        <v>103</v>
      </c>
      <c r="AU613" t="n">
        <v>52</v>
      </c>
      <c r="AV613" t="n">
        <v>1</v>
      </c>
      <c r="AW613" t="n">
        <v>1</v>
      </c>
      <c r="AZ613" t="n">
        <v>1</v>
      </c>
      <c r="BA613" t="n">
        <v>1</v>
      </c>
      <c r="BB613" t="n">
        <v>1</v>
      </c>
      <c r="BC613" t="n">
        <v>6.54</v>
      </c>
      <c r="BD613" t="inlineStr"/>
      <c r="BE613" t="inlineStr"/>
      <c r="BF613" t="inlineStr"/>
      <c r="BG613" t="inlineStr"/>
      <c r="BH613" t="n">
        <v>3</v>
      </c>
      <c r="BI613" t="n">
        <v>1</v>
      </c>
      <c r="BJ613" t="inlineStr">
        <is>
          <t>ТССЦ Московской обл., 507-4994, приказ Минстроя России №675/пр от 28.02.2017 № 258/пр</t>
        </is>
      </c>
      <c r="BM613" t="n">
        <v>65008</v>
      </c>
      <c r="BN613" t="n">
        <v>0</v>
      </c>
      <c r="BO613" t="inlineStr">
        <is>
          <t>507-4994</t>
        </is>
      </c>
      <c r="BP613" t="n">
        <v>1</v>
      </c>
      <c r="BQ613" t="n">
        <v>6</v>
      </c>
      <c r="BR613" t="n">
        <v>0</v>
      </c>
      <c r="BS613" t="n">
        <v>1</v>
      </c>
      <c r="BT613" t="n">
        <v>1</v>
      </c>
      <c r="BU613" t="n">
        <v>1</v>
      </c>
      <c r="BV613" t="n">
        <v>1</v>
      </c>
      <c r="BW613" t="n">
        <v>1</v>
      </c>
      <c r="BX613" t="n">
        <v>1</v>
      </c>
      <c r="BY613" t="inlineStr"/>
      <c r="BZ613" t="n">
        <v>103</v>
      </c>
      <c r="CA613" t="n">
        <v>52</v>
      </c>
      <c r="CB613" t="inlineStr"/>
      <c r="CE613" t="n">
        <v>12</v>
      </c>
      <c r="CF613" t="n">
        <v>0</v>
      </c>
      <c r="CG613" t="n">
        <v>0</v>
      </c>
      <c r="CM613" t="n">
        <v>0</v>
      </c>
      <c r="CN613" t="inlineStr"/>
      <c r="CO613" t="n">
        <v>0</v>
      </c>
      <c r="CP613">
        <f>(P613+Q613+S613)</f>
        <v/>
      </c>
      <c r="CQ613">
        <f>AC613*BC613</f>
        <v/>
      </c>
      <c r="CR613">
        <f>(ROUND((ROUND(((ET613)*1),0)*BB613),0)+ROUND((ROUND(((AE613-(EU613))*1),0)*BS613),0))</f>
        <v/>
      </c>
      <c r="CS613">
        <f>(ROUND((ROUND(((EU613)*1),0)*BS613),0)+ROUND((ROUND(((AE613-(EU613))*1),0)*BS613),0))</f>
        <v/>
      </c>
      <c r="CT613">
        <f>AF613*BA613</f>
        <v/>
      </c>
      <c r="CU613">
        <f>AG613</f>
        <v/>
      </c>
      <c r="CV613">
        <f>AH613</f>
        <v/>
      </c>
      <c r="CW613">
        <f>AI613</f>
        <v/>
      </c>
      <c r="CX613">
        <f>AJ613</f>
        <v/>
      </c>
      <c r="CY613">
        <f>(((S613+R613)*AT613)/100)</f>
        <v/>
      </c>
      <c r="CZ613">
        <f>(((S613+R613)*AU613)/100)</f>
        <v/>
      </c>
      <c r="DC613" t="inlineStr"/>
      <c r="DD613" t="inlineStr"/>
      <c r="DE613" t="inlineStr"/>
      <c r="DF613" t="inlineStr"/>
      <c r="DG613" t="inlineStr"/>
      <c r="DH613" t="inlineStr"/>
      <c r="DI613" t="inlineStr"/>
      <c r="DJ613" t="inlineStr"/>
      <c r="DK613" t="inlineStr"/>
      <c r="DL613" t="inlineStr"/>
      <c r="DM613" t="inlineStr"/>
      <c r="DN613" t="n">
        <v>0</v>
      </c>
      <c r="DO613" t="n">
        <v>0</v>
      </c>
      <c r="DP613" t="n">
        <v>1</v>
      </c>
      <c r="DQ613" t="n">
        <v>1</v>
      </c>
      <c r="DU613" t="n">
        <v>1010</v>
      </c>
      <c r="DV613" t="inlineStr">
        <is>
          <t>10 шт.</t>
        </is>
      </c>
      <c r="DW613" t="inlineStr">
        <is>
          <t>10 шт.</t>
        </is>
      </c>
      <c r="DX613" t="n">
        <v>10</v>
      </c>
      <c r="DZ613" t="inlineStr"/>
      <c r="EA613" t="inlineStr"/>
      <c r="EB613" t="inlineStr"/>
      <c r="EC613" t="inlineStr"/>
      <c r="EE613" t="n">
        <v>78726002</v>
      </c>
      <c r="EF613" t="n">
        <v>6</v>
      </c>
      <c r="EG613" t="inlineStr">
        <is>
          <t>Ремонтно-строительные работы</t>
        </is>
      </c>
      <c r="EH613" t="n">
        <v>99</v>
      </c>
      <c r="EI613" t="inlineStr">
        <is>
          <t>Внутренние санитарно-технические работы</t>
        </is>
      </c>
      <c r="EJ613" t="n">
        <v>1</v>
      </c>
      <c r="EK613" t="n">
        <v>65008</v>
      </c>
      <c r="EL613" t="inlineStr">
        <is>
          <t>Внутренние санитарнотехнические работы: смена труб, санприборов, запорной арматуры и другое</t>
        </is>
      </c>
      <c r="EM613" t="inlineStr">
        <is>
          <t>рФЕР-65</t>
        </is>
      </c>
      <c r="EO613" t="inlineStr"/>
      <c r="EQ613" t="n">
        <v>0</v>
      </c>
      <c r="ER613" t="n">
        <v>205.52</v>
      </c>
      <c r="ES613" t="n">
        <v>205.52</v>
      </c>
      <c r="ET613" t="n">
        <v>0</v>
      </c>
      <c r="EU613" t="n">
        <v>0</v>
      </c>
      <c r="EV613" t="n">
        <v>0</v>
      </c>
      <c r="EW613" t="n">
        <v>0</v>
      </c>
      <c r="EX613" t="n">
        <v>0</v>
      </c>
      <c r="FQ613" t="n">
        <v>0</v>
      </c>
      <c r="FR613" t="n">
        <v>0</v>
      </c>
      <c r="FS613" t="n">
        <v>0</v>
      </c>
      <c r="FX613" t="n">
        <v>103</v>
      </c>
      <c r="FY613" t="n">
        <v>52</v>
      </c>
      <c r="GA613" t="inlineStr"/>
      <c r="GD613" t="n">
        <v>1</v>
      </c>
      <c r="GF613" t="n">
        <v>-506320507</v>
      </c>
      <c r="GG613" t="n">
        <v>2</v>
      </c>
      <c r="GH613" t="n">
        <v>1</v>
      </c>
      <c r="GI613" t="n">
        <v>2</v>
      </c>
      <c r="GJ613" t="n">
        <v>0</v>
      </c>
      <c r="GK613" t="n">
        <v>0</v>
      </c>
      <c r="GL613">
        <f>ROUND(IF(AND(BH613=3,BI613=3,FS613&lt;&gt;0),P613,0),0)</f>
        <v/>
      </c>
      <c r="GM613">
        <f>ROUND(O613+X613+Y613,0)+GX613</f>
        <v/>
      </c>
      <c r="GN613">
        <f>IF(OR(BI613=0,BI613=1),GM613-GX613,0)</f>
        <v/>
      </c>
      <c r="GO613">
        <f>IF(BI613=2,GM613-GX613,0)</f>
        <v/>
      </c>
      <c r="GP613">
        <f>IF(BI613=4,GM613-GX613,0)</f>
        <v/>
      </c>
      <c r="GR613" t="n">
        <v>0</v>
      </c>
      <c r="GS613" t="n">
        <v>3</v>
      </c>
      <c r="GT613" t="n">
        <v>0</v>
      </c>
      <c r="GU613" t="inlineStr"/>
      <c r="GV613">
        <f>ROUND((GT613),2)</f>
        <v/>
      </c>
      <c r="GW613" t="n">
        <v>1</v>
      </c>
      <c r="GX613">
        <f>ROUND(HC613*I613,0)</f>
        <v/>
      </c>
      <c r="HA613" t="n">
        <v>0</v>
      </c>
      <c r="HB613" t="n">
        <v>0</v>
      </c>
      <c r="HC613">
        <f>GV613*GW613</f>
        <v/>
      </c>
      <c r="HE613" t="inlineStr"/>
      <c r="HF613" t="inlineStr"/>
      <c r="HM613" t="inlineStr"/>
      <c r="HN613" t="inlineStr">
        <is>
          <t>Пр/812-099.2-1</t>
        </is>
      </c>
      <c r="HO613" t="inlineStr">
        <is>
          <t>Пр/774-099.2</t>
        </is>
      </c>
      <c r="HP613" t="inlineStr">
        <is>
          <t>Внутренние санитарнотехнические работы: смена труб, санприборов, запорной арматуры и другое</t>
        </is>
      </c>
      <c r="HQ613" t="inlineStr">
        <is>
          <t>Внутренние санитарнотехнические работы: смена труб, санприборов, запорной арматуры и другое</t>
        </is>
      </c>
      <c r="HS613" t="n">
        <v>0</v>
      </c>
      <c r="IK613" t="n">
        <v>0</v>
      </c>
    </row>
    <row r="614">
      <c r="A614" t="n">
        <v>18</v>
      </c>
      <c r="B614" t="n">
        <v>1</v>
      </c>
      <c r="C614" t="n">
        <v>323</v>
      </c>
      <c r="E614" t="inlineStr">
        <is>
          <t>6,3</t>
        </is>
      </c>
      <c r="F614" t="inlineStr">
        <is>
          <t>507-3173</t>
        </is>
      </c>
      <c r="G614" t="inlineStr">
        <is>
          <t>Угольник 90 град. полипропиленовый диаметром 20 мм</t>
        </is>
      </c>
      <c r="H614" t="inlineStr">
        <is>
          <t>10 шт.</t>
        </is>
      </c>
      <c r="I614">
        <f>I611*J614</f>
        <v/>
      </c>
      <c r="J614" t="n">
        <v>60</v>
      </c>
      <c r="K614" t="n">
        <v>60</v>
      </c>
      <c r="O614">
        <f>ROUND(CP614,0)</f>
        <v/>
      </c>
      <c r="P614">
        <f>ROUND(CQ614*I614,0)</f>
        <v/>
      </c>
      <c r="Q614">
        <f>(ROUND((ROUND(((ET614)*I614),0)*BB614),0)+ROUND((ROUND(((AE614-(EU614))*I614),0)*BS614),0))</f>
        <v/>
      </c>
      <c r="R614">
        <f>(ROUND((ROUND(((EU614)*I614),0)*BS614),0)+ROUND((ROUND(((AE614-(EU614))*I614),0)*BS614),0))</f>
        <v/>
      </c>
      <c r="S614">
        <f>ROUND(CT614*I614,0)</f>
        <v/>
      </c>
      <c r="T614">
        <f>ROUND(CU614*I614,0)</f>
        <v/>
      </c>
      <c r="U614">
        <f>ROUND(CV614*I614,7)</f>
        <v/>
      </c>
      <c r="V614">
        <f>ROUND(CW614*I614,7)</f>
        <v/>
      </c>
      <c r="W614">
        <f>ROUND(CX614*I614,0)</f>
        <v/>
      </c>
      <c r="X614">
        <f>ROUND(CY614,0)</f>
        <v/>
      </c>
      <c r="Y614">
        <f>ROUND(CZ614,0)</f>
        <v/>
      </c>
      <c r="AA614" t="n">
        <v>78869116</v>
      </c>
      <c r="AB614">
        <f>ROUND((AC614+AD614+AF614),2)</f>
        <v/>
      </c>
      <c r="AC614">
        <f>ROUND((ES614),2)</f>
        <v/>
      </c>
      <c r="AD614">
        <f>ROUND((((ET614)-(EU614))+AE614),2)</f>
        <v/>
      </c>
      <c r="AE614">
        <f>ROUND((EU614),2)</f>
        <v/>
      </c>
      <c r="AF614">
        <f>ROUND((EV614),2)</f>
        <v/>
      </c>
      <c r="AG614">
        <f>ROUND((AP614),2)</f>
        <v/>
      </c>
      <c r="AH614">
        <f>(EW614)</f>
        <v/>
      </c>
      <c r="AI614">
        <f>(EX614)</f>
        <v/>
      </c>
      <c r="AJ614">
        <f>(AS614)</f>
        <v/>
      </c>
      <c r="AK614" t="n">
        <v>14.3</v>
      </c>
      <c r="AL614" t="n">
        <v>14.3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  <c r="AS614" t="n">
        <v>0.01</v>
      </c>
      <c r="AT614" t="n">
        <v>103</v>
      </c>
      <c r="AU614" t="n">
        <v>52</v>
      </c>
      <c r="AV614" t="n">
        <v>1</v>
      </c>
      <c r="AW614" t="n">
        <v>1</v>
      </c>
      <c r="AZ614" t="n">
        <v>1</v>
      </c>
      <c r="BA614" t="n">
        <v>1</v>
      </c>
      <c r="BB614" t="n">
        <v>1</v>
      </c>
      <c r="BC614" t="n">
        <v>8.09</v>
      </c>
      <c r="BD614" t="inlineStr"/>
      <c r="BE614" t="inlineStr"/>
      <c r="BF614" t="inlineStr"/>
      <c r="BG614" t="inlineStr"/>
      <c r="BH614" t="n">
        <v>3</v>
      </c>
      <c r="BI614" t="n">
        <v>1</v>
      </c>
      <c r="BJ614" t="inlineStr">
        <is>
          <t>ТССЦ Московской обл., 507-3173, приказ Минстроя России №675/пр от 28.02.2017 № 258/пр</t>
        </is>
      </c>
      <c r="BM614" t="n">
        <v>65008</v>
      </c>
      <c r="BN614" t="n">
        <v>0</v>
      </c>
      <c r="BO614" t="inlineStr">
        <is>
          <t>507-3173</t>
        </is>
      </c>
      <c r="BP614" t="n">
        <v>1</v>
      </c>
      <c r="BQ614" t="n">
        <v>6</v>
      </c>
      <c r="BR614" t="n">
        <v>0</v>
      </c>
      <c r="BS614" t="n">
        <v>1</v>
      </c>
      <c r="BT614" t="n">
        <v>1</v>
      </c>
      <c r="BU614" t="n">
        <v>1</v>
      </c>
      <c r="BV614" t="n">
        <v>1</v>
      </c>
      <c r="BW614" t="n">
        <v>1</v>
      </c>
      <c r="BX614" t="n">
        <v>1</v>
      </c>
      <c r="BY614" t="inlineStr"/>
      <c r="BZ614" t="n">
        <v>103</v>
      </c>
      <c r="CA614" t="n">
        <v>52</v>
      </c>
      <c r="CB614" t="inlineStr"/>
      <c r="CE614" t="n">
        <v>12</v>
      </c>
      <c r="CF614" t="n">
        <v>0</v>
      </c>
      <c r="CG614" t="n">
        <v>0</v>
      </c>
      <c r="CM614" t="n">
        <v>0</v>
      </c>
      <c r="CN614" t="inlineStr"/>
      <c r="CO614" t="n">
        <v>0</v>
      </c>
      <c r="CP614">
        <f>(P614+Q614+S614)</f>
        <v/>
      </c>
      <c r="CQ614">
        <f>AC614*BC614</f>
        <v/>
      </c>
      <c r="CR614">
        <f>(ROUND((ROUND(((ET614)*1),0)*BB614),0)+ROUND((ROUND(((AE614-(EU614))*1),0)*BS614),0))</f>
        <v/>
      </c>
      <c r="CS614">
        <f>(ROUND((ROUND(((EU614)*1),0)*BS614),0)+ROUND((ROUND(((AE614-(EU614))*1),0)*BS614),0))</f>
        <v/>
      </c>
      <c r="CT614">
        <f>AF614*BA614</f>
        <v/>
      </c>
      <c r="CU614">
        <f>AG614</f>
        <v/>
      </c>
      <c r="CV614">
        <f>AH614</f>
        <v/>
      </c>
      <c r="CW614">
        <f>AI614</f>
        <v/>
      </c>
      <c r="CX614">
        <f>AJ614</f>
        <v/>
      </c>
      <c r="CY614">
        <f>(((S614+R614)*AT614)/100)</f>
        <v/>
      </c>
      <c r="CZ614">
        <f>(((S614+R614)*AU614)/100)</f>
        <v/>
      </c>
      <c r="DC614" t="inlineStr"/>
      <c r="DD614" t="inlineStr"/>
      <c r="DE614" t="inlineStr"/>
      <c r="DF614" t="inlineStr"/>
      <c r="DG614" t="inlineStr"/>
      <c r="DH614" t="inlineStr"/>
      <c r="DI614" t="inlineStr"/>
      <c r="DJ614" t="inlineStr"/>
      <c r="DK614" t="inlineStr"/>
      <c r="DL614" t="inlineStr"/>
      <c r="DM614" t="inlineStr"/>
      <c r="DN614" t="n">
        <v>0</v>
      </c>
      <c r="DO614" t="n">
        <v>0</v>
      </c>
      <c r="DP614" t="n">
        <v>1</v>
      </c>
      <c r="DQ614" t="n">
        <v>1</v>
      </c>
      <c r="DU614" t="n">
        <v>1010</v>
      </c>
      <c r="DV614" t="inlineStr">
        <is>
          <t>10 шт.</t>
        </is>
      </c>
      <c r="DW614" t="inlineStr">
        <is>
          <t>10 шт.</t>
        </is>
      </c>
      <c r="DX614" t="n">
        <v>10</v>
      </c>
      <c r="DZ614" t="inlineStr"/>
      <c r="EA614" t="inlineStr"/>
      <c r="EB614" t="inlineStr"/>
      <c r="EC614" t="inlineStr"/>
      <c r="EE614" t="n">
        <v>78726002</v>
      </c>
      <c r="EF614" t="n">
        <v>6</v>
      </c>
      <c r="EG614" t="inlineStr">
        <is>
          <t>Ремонтно-строительные работы</t>
        </is>
      </c>
      <c r="EH614" t="n">
        <v>99</v>
      </c>
      <c r="EI614" t="inlineStr">
        <is>
          <t>Внутренние санитарно-технические работы</t>
        </is>
      </c>
      <c r="EJ614" t="n">
        <v>1</v>
      </c>
      <c r="EK614" t="n">
        <v>65008</v>
      </c>
      <c r="EL614" t="inlineStr">
        <is>
          <t>Внутренние санитарнотехнические работы: смена труб, санприборов, запорной арматуры и другое</t>
        </is>
      </c>
      <c r="EM614" t="inlineStr">
        <is>
          <t>рФЕР-65</t>
        </is>
      </c>
      <c r="EO614" t="inlineStr"/>
      <c r="EQ614" t="n">
        <v>0</v>
      </c>
      <c r="ER614" t="n">
        <v>14.3</v>
      </c>
      <c r="ES614" t="n">
        <v>14.3</v>
      </c>
      <c r="ET614" t="n">
        <v>0</v>
      </c>
      <c r="EU614" t="n">
        <v>0</v>
      </c>
      <c r="EV614" t="n">
        <v>0</v>
      </c>
      <c r="EW614" t="n">
        <v>0</v>
      </c>
      <c r="EX614" t="n">
        <v>0</v>
      </c>
      <c r="FQ614" t="n">
        <v>0</v>
      </c>
      <c r="FR614" t="n">
        <v>0</v>
      </c>
      <c r="FS614" t="n">
        <v>0</v>
      </c>
      <c r="FX614" t="n">
        <v>103</v>
      </c>
      <c r="FY614" t="n">
        <v>52</v>
      </c>
      <c r="GA614" t="inlineStr"/>
      <c r="GD614" t="n">
        <v>1</v>
      </c>
      <c r="GF614" t="n">
        <v>281770412</v>
      </c>
      <c r="GG614" t="n">
        <v>2</v>
      </c>
      <c r="GH614" t="n">
        <v>1</v>
      </c>
      <c r="GI614" t="n">
        <v>2</v>
      </c>
      <c r="GJ614" t="n">
        <v>0</v>
      </c>
      <c r="GK614" t="n">
        <v>0</v>
      </c>
      <c r="GL614">
        <f>ROUND(IF(AND(BH614=3,BI614=3,FS614&lt;&gt;0),P614,0),0)</f>
        <v/>
      </c>
      <c r="GM614">
        <f>ROUND(O614+X614+Y614,0)+GX614</f>
        <v/>
      </c>
      <c r="GN614">
        <f>IF(OR(BI614=0,BI614=1),GM614-GX614,0)</f>
        <v/>
      </c>
      <c r="GO614">
        <f>IF(BI614=2,GM614-GX614,0)</f>
        <v/>
      </c>
      <c r="GP614">
        <f>IF(BI614=4,GM614-GX614,0)</f>
        <v/>
      </c>
      <c r="GR614" t="n">
        <v>0</v>
      </c>
      <c r="GS614" t="n">
        <v>3</v>
      </c>
      <c r="GT614" t="n">
        <v>0</v>
      </c>
      <c r="GU614" t="inlineStr"/>
      <c r="GV614">
        <f>ROUND((GT614),2)</f>
        <v/>
      </c>
      <c r="GW614" t="n">
        <v>1</v>
      </c>
      <c r="GX614">
        <f>ROUND(HC614*I614,0)</f>
        <v/>
      </c>
      <c r="HA614" t="n">
        <v>0</v>
      </c>
      <c r="HB614" t="n">
        <v>0</v>
      </c>
      <c r="HC614">
        <f>GV614*GW614</f>
        <v/>
      </c>
      <c r="HE614" t="inlineStr"/>
      <c r="HF614" t="inlineStr"/>
      <c r="HM614" t="inlineStr"/>
      <c r="HN614" t="inlineStr">
        <is>
          <t>Пр/812-099.2-1</t>
        </is>
      </c>
      <c r="HO614" t="inlineStr">
        <is>
          <t>Пр/774-099.2</t>
        </is>
      </c>
      <c r="HP614" t="inlineStr">
        <is>
          <t>Внутренние санитарнотехнические работы: смена труб, санприборов, запорной арматуры и другое</t>
        </is>
      </c>
      <c r="HQ614" t="inlineStr">
        <is>
          <t>Внутренние санитарнотехнические работы: смена труб, санприборов, запорной арматуры и другое</t>
        </is>
      </c>
      <c r="HS614" t="n">
        <v>0</v>
      </c>
      <c r="IK614" t="n">
        <v>0</v>
      </c>
    </row>
    <row r="615">
      <c r="A615" t="n">
        <v>18</v>
      </c>
      <c r="B615" t="n">
        <v>1</v>
      </c>
      <c r="C615" t="n">
        <v>324</v>
      </c>
      <c r="E615" t="inlineStr">
        <is>
          <t>6,4</t>
        </is>
      </c>
      <c r="F615" t="inlineStr">
        <is>
          <t>507-3174</t>
        </is>
      </c>
      <c r="G615" t="inlineStr">
        <is>
          <t>Угольник 90 град. полипропиленовый диаметром 25 мм</t>
        </is>
      </c>
      <c r="H615" t="inlineStr">
        <is>
          <t>10 шт.</t>
        </is>
      </c>
      <c r="I615">
        <f>I611*J615</f>
        <v/>
      </c>
      <c r="J615" t="n">
        <v>10</v>
      </c>
      <c r="K615" t="n">
        <v>10</v>
      </c>
      <c r="O615">
        <f>ROUND(CP615,0)</f>
        <v/>
      </c>
      <c r="P615">
        <f>ROUND(CQ615*I615,0)</f>
        <v/>
      </c>
      <c r="Q615">
        <f>(ROUND((ROUND(((ET615)*I615),0)*BB615),0)+ROUND((ROUND(((AE615-(EU615))*I615),0)*BS615),0))</f>
        <v/>
      </c>
      <c r="R615">
        <f>(ROUND((ROUND(((EU615)*I615),0)*BS615),0)+ROUND((ROUND(((AE615-(EU615))*I615),0)*BS615),0))</f>
        <v/>
      </c>
      <c r="S615">
        <f>ROUND(CT615*I615,0)</f>
        <v/>
      </c>
      <c r="T615">
        <f>ROUND(CU615*I615,0)</f>
        <v/>
      </c>
      <c r="U615">
        <f>ROUND(CV615*I615,7)</f>
        <v/>
      </c>
      <c r="V615">
        <f>ROUND(CW615*I615,7)</f>
        <v/>
      </c>
      <c r="W615">
        <f>ROUND(CX615*I615,0)</f>
        <v/>
      </c>
      <c r="X615">
        <f>ROUND(CY615,0)</f>
        <v/>
      </c>
      <c r="Y615">
        <f>ROUND(CZ615,0)</f>
        <v/>
      </c>
      <c r="AA615" t="n">
        <v>78869116</v>
      </c>
      <c r="AB615">
        <f>ROUND((AC615+AD615+AF615),2)</f>
        <v/>
      </c>
      <c r="AC615">
        <f>ROUND((ES615),2)</f>
        <v/>
      </c>
      <c r="AD615">
        <f>ROUND((((ET615)-(EU615))+AE615),2)</f>
        <v/>
      </c>
      <c r="AE615">
        <f>ROUND((EU615),2)</f>
        <v/>
      </c>
      <c r="AF615">
        <f>ROUND((EV615),2)</f>
        <v/>
      </c>
      <c r="AG615">
        <f>ROUND((AP615),2)</f>
        <v/>
      </c>
      <c r="AH615">
        <f>(EW615)</f>
        <v/>
      </c>
      <c r="AI615">
        <f>(EX615)</f>
        <v/>
      </c>
      <c r="AJ615">
        <f>(AS615)</f>
        <v/>
      </c>
      <c r="AK615" t="n">
        <v>20.2</v>
      </c>
      <c r="AL615" t="n">
        <v>20.2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  <c r="AS615" t="n">
        <v>0.02</v>
      </c>
      <c r="AT615" t="n">
        <v>103</v>
      </c>
      <c r="AU615" t="n">
        <v>52</v>
      </c>
      <c r="AV615" t="n">
        <v>1</v>
      </c>
      <c r="AW615" t="n">
        <v>1</v>
      </c>
      <c r="AZ615" t="n">
        <v>1</v>
      </c>
      <c r="BA615" t="n">
        <v>1</v>
      </c>
      <c r="BB615" t="n">
        <v>1</v>
      </c>
      <c r="BC615" t="n">
        <v>8.869999999999999</v>
      </c>
      <c r="BD615" t="inlineStr"/>
      <c r="BE615" t="inlineStr"/>
      <c r="BF615" t="inlineStr"/>
      <c r="BG615" t="inlineStr"/>
      <c r="BH615" t="n">
        <v>3</v>
      </c>
      <c r="BI615" t="n">
        <v>1</v>
      </c>
      <c r="BJ615" t="inlineStr">
        <is>
          <t>ТССЦ Московской обл., 507-3174, приказ Минстроя России №675/пр от 28.02.2017 № 258/пр</t>
        </is>
      </c>
      <c r="BM615" t="n">
        <v>65008</v>
      </c>
      <c r="BN615" t="n">
        <v>0</v>
      </c>
      <c r="BO615" t="inlineStr">
        <is>
          <t>507-3174</t>
        </is>
      </c>
      <c r="BP615" t="n">
        <v>1</v>
      </c>
      <c r="BQ615" t="n">
        <v>6</v>
      </c>
      <c r="BR615" t="n">
        <v>0</v>
      </c>
      <c r="BS615" t="n">
        <v>1</v>
      </c>
      <c r="BT615" t="n">
        <v>1</v>
      </c>
      <c r="BU615" t="n">
        <v>1</v>
      </c>
      <c r="BV615" t="n">
        <v>1</v>
      </c>
      <c r="BW615" t="n">
        <v>1</v>
      </c>
      <c r="BX615" t="n">
        <v>1</v>
      </c>
      <c r="BY615" t="inlineStr"/>
      <c r="BZ615" t="n">
        <v>103</v>
      </c>
      <c r="CA615" t="n">
        <v>52</v>
      </c>
      <c r="CB615" t="inlineStr"/>
      <c r="CE615" t="n">
        <v>12</v>
      </c>
      <c r="CF615" t="n">
        <v>0</v>
      </c>
      <c r="CG615" t="n">
        <v>0</v>
      </c>
      <c r="CM615" t="n">
        <v>0</v>
      </c>
      <c r="CN615" t="inlineStr"/>
      <c r="CO615" t="n">
        <v>0</v>
      </c>
      <c r="CP615">
        <f>(P615+Q615+S615)</f>
        <v/>
      </c>
      <c r="CQ615">
        <f>AC615*BC615</f>
        <v/>
      </c>
      <c r="CR615">
        <f>(ROUND((ROUND(((ET615)*1),0)*BB615),0)+ROUND((ROUND(((AE615-(EU615))*1),0)*BS615),0))</f>
        <v/>
      </c>
      <c r="CS615">
        <f>(ROUND((ROUND(((EU615)*1),0)*BS615),0)+ROUND((ROUND(((AE615-(EU615))*1),0)*BS615),0))</f>
        <v/>
      </c>
      <c r="CT615">
        <f>AF615*BA615</f>
        <v/>
      </c>
      <c r="CU615">
        <f>AG615</f>
        <v/>
      </c>
      <c r="CV615">
        <f>AH615</f>
        <v/>
      </c>
      <c r="CW615">
        <f>AI615</f>
        <v/>
      </c>
      <c r="CX615">
        <f>AJ615</f>
        <v/>
      </c>
      <c r="CY615">
        <f>(((S615+R615)*AT615)/100)</f>
        <v/>
      </c>
      <c r="CZ615">
        <f>(((S615+R615)*AU615)/100)</f>
        <v/>
      </c>
      <c r="DC615" t="inlineStr"/>
      <c r="DD615" t="inlineStr"/>
      <c r="DE615" t="inlineStr"/>
      <c r="DF615" t="inlineStr"/>
      <c r="DG615" t="inlineStr"/>
      <c r="DH615" t="inlineStr"/>
      <c r="DI615" t="inlineStr"/>
      <c r="DJ615" t="inlineStr"/>
      <c r="DK615" t="inlineStr"/>
      <c r="DL615" t="inlineStr"/>
      <c r="DM615" t="inlineStr"/>
      <c r="DN615" t="n">
        <v>0</v>
      </c>
      <c r="DO615" t="n">
        <v>0</v>
      </c>
      <c r="DP615" t="n">
        <v>1</v>
      </c>
      <c r="DQ615" t="n">
        <v>1</v>
      </c>
      <c r="DU615" t="n">
        <v>1010</v>
      </c>
      <c r="DV615" t="inlineStr">
        <is>
          <t>10 шт.</t>
        </is>
      </c>
      <c r="DW615" t="inlineStr">
        <is>
          <t>10 шт.</t>
        </is>
      </c>
      <c r="DX615" t="n">
        <v>10</v>
      </c>
      <c r="DZ615" t="inlineStr"/>
      <c r="EA615" t="inlineStr"/>
      <c r="EB615" t="inlineStr"/>
      <c r="EC615" t="inlineStr"/>
      <c r="EE615" t="n">
        <v>78726002</v>
      </c>
      <c r="EF615" t="n">
        <v>6</v>
      </c>
      <c r="EG615" t="inlineStr">
        <is>
          <t>Ремонтно-строительные работы</t>
        </is>
      </c>
      <c r="EH615" t="n">
        <v>99</v>
      </c>
      <c r="EI615" t="inlineStr">
        <is>
          <t>Внутренние санитарно-технические работы</t>
        </is>
      </c>
      <c r="EJ615" t="n">
        <v>1</v>
      </c>
      <c r="EK615" t="n">
        <v>65008</v>
      </c>
      <c r="EL615" t="inlineStr">
        <is>
          <t>Внутренние санитарнотехнические работы: смена труб, санприборов, запорной арматуры и другое</t>
        </is>
      </c>
      <c r="EM615" t="inlineStr">
        <is>
          <t>рФЕР-65</t>
        </is>
      </c>
      <c r="EO615" t="inlineStr"/>
      <c r="EQ615" t="n">
        <v>0</v>
      </c>
      <c r="ER615" t="n">
        <v>20.2</v>
      </c>
      <c r="ES615" t="n">
        <v>20.2</v>
      </c>
      <c r="ET615" t="n">
        <v>0</v>
      </c>
      <c r="EU615" t="n">
        <v>0</v>
      </c>
      <c r="EV615" t="n">
        <v>0</v>
      </c>
      <c r="EW615" t="n">
        <v>0</v>
      </c>
      <c r="EX615" t="n">
        <v>0</v>
      </c>
      <c r="FQ615" t="n">
        <v>0</v>
      </c>
      <c r="FR615" t="n">
        <v>0</v>
      </c>
      <c r="FS615" t="n">
        <v>0</v>
      </c>
      <c r="FX615" t="n">
        <v>103</v>
      </c>
      <c r="FY615" t="n">
        <v>52</v>
      </c>
      <c r="GA615" t="inlineStr"/>
      <c r="GD615" t="n">
        <v>1</v>
      </c>
      <c r="GF615" t="n">
        <v>-1443168068</v>
      </c>
      <c r="GG615" t="n">
        <v>2</v>
      </c>
      <c r="GH615" t="n">
        <v>1</v>
      </c>
      <c r="GI615" t="n">
        <v>2</v>
      </c>
      <c r="GJ615" t="n">
        <v>0</v>
      </c>
      <c r="GK615" t="n">
        <v>0</v>
      </c>
      <c r="GL615">
        <f>ROUND(IF(AND(BH615=3,BI615=3,FS615&lt;&gt;0),P615,0),0)</f>
        <v/>
      </c>
      <c r="GM615">
        <f>ROUND(O615+X615+Y615,0)+GX615</f>
        <v/>
      </c>
      <c r="GN615">
        <f>IF(OR(BI615=0,BI615=1),GM615-GX615,0)</f>
        <v/>
      </c>
      <c r="GO615">
        <f>IF(BI615=2,GM615-GX615,0)</f>
        <v/>
      </c>
      <c r="GP615">
        <f>IF(BI615=4,GM615-GX615,0)</f>
        <v/>
      </c>
      <c r="GR615" t="n">
        <v>0</v>
      </c>
      <c r="GS615" t="n">
        <v>3</v>
      </c>
      <c r="GT615" t="n">
        <v>0</v>
      </c>
      <c r="GU615" t="inlineStr"/>
      <c r="GV615">
        <f>ROUND((GT615),2)</f>
        <v/>
      </c>
      <c r="GW615" t="n">
        <v>1</v>
      </c>
      <c r="GX615">
        <f>ROUND(HC615*I615,0)</f>
        <v/>
      </c>
      <c r="HA615" t="n">
        <v>0</v>
      </c>
      <c r="HB615" t="n">
        <v>0</v>
      </c>
      <c r="HC615">
        <f>GV615*GW615</f>
        <v/>
      </c>
      <c r="HE615" t="inlineStr"/>
      <c r="HF615" t="inlineStr"/>
      <c r="HM615" t="inlineStr"/>
      <c r="HN615" t="inlineStr">
        <is>
          <t>Пр/812-099.2-1</t>
        </is>
      </c>
      <c r="HO615" t="inlineStr">
        <is>
          <t>Пр/774-099.2</t>
        </is>
      </c>
      <c r="HP615" t="inlineStr">
        <is>
          <t>Внутренние санитарнотехнические работы: смена труб, санприборов, запорной арматуры и другое</t>
        </is>
      </c>
      <c r="HQ615" t="inlineStr">
        <is>
          <t>Внутренние санитарнотехнические работы: смена труб, санприборов, запорной арматуры и другое</t>
        </is>
      </c>
      <c r="HS615" t="n">
        <v>0</v>
      </c>
      <c r="IK615" t="n">
        <v>0</v>
      </c>
    </row>
    <row r="616">
      <c r="A616" t="n">
        <v>18</v>
      </c>
      <c r="B616" t="n">
        <v>1</v>
      </c>
      <c r="C616" t="n">
        <v>325</v>
      </c>
      <c r="E616" t="inlineStr">
        <is>
          <t>6,5</t>
        </is>
      </c>
      <c r="F616" t="inlineStr">
        <is>
          <t>507-3174</t>
        </is>
      </c>
      <c r="G616" t="inlineStr">
        <is>
          <t>Угольник 90 град. полипропиленовый диаметром 32 мм</t>
        </is>
      </c>
      <c r="H616" t="inlineStr">
        <is>
          <t>10 шт.</t>
        </is>
      </c>
      <c r="I616">
        <f>I611*J616</f>
        <v/>
      </c>
      <c r="J616" t="n">
        <v>10</v>
      </c>
      <c r="K616" t="n">
        <v>10</v>
      </c>
      <c r="O616">
        <f>ROUND(CP616,0)</f>
        <v/>
      </c>
      <c r="P616">
        <f>ROUND(CQ616*I616,0)</f>
        <v/>
      </c>
      <c r="Q616">
        <f>(ROUND((ROUND(((ET616)*I616),0)*BB616),0)+ROUND((ROUND(((AE616-(EU616))*I616),0)*BS616),0))</f>
        <v/>
      </c>
      <c r="R616">
        <f>(ROUND((ROUND(((EU616)*I616),0)*BS616),0)+ROUND((ROUND(((AE616-(EU616))*I616),0)*BS616),0))</f>
        <v/>
      </c>
      <c r="S616">
        <f>ROUND(CT616*I616,0)</f>
        <v/>
      </c>
      <c r="T616">
        <f>ROUND(CU616*I616,0)</f>
        <v/>
      </c>
      <c r="U616">
        <f>ROUND(CV616*I616,7)</f>
        <v/>
      </c>
      <c r="V616">
        <f>ROUND(CW616*I616,7)</f>
        <v/>
      </c>
      <c r="W616">
        <f>ROUND(CX616*I616,0)</f>
        <v/>
      </c>
      <c r="X616">
        <f>ROUND(CY616,0)</f>
        <v/>
      </c>
      <c r="Y616">
        <f>ROUND(CZ616,0)</f>
        <v/>
      </c>
      <c r="AA616" t="n">
        <v>78869116</v>
      </c>
      <c r="AB616">
        <f>ROUND((AC616+AD616+AF616),2)</f>
        <v/>
      </c>
      <c r="AC616">
        <f>ROUND((ES616),2)</f>
        <v/>
      </c>
      <c r="AD616">
        <f>ROUND((((ET616)-(EU616))+AE616),2)</f>
        <v/>
      </c>
      <c r="AE616">
        <f>ROUND((EU616),2)</f>
        <v/>
      </c>
      <c r="AF616">
        <f>ROUND((EV616),2)</f>
        <v/>
      </c>
      <c r="AG616">
        <f>ROUND((AP616),2)</f>
        <v/>
      </c>
      <c r="AH616">
        <f>(EW616)</f>
        <v/>
      </c>
      <c r="AI616">
        <f>(EX616)</f>
        <v/>
      </c>
      <c r="AJ616">
        <f>(AS616)</f>
        <v/>
      </c>
      <c r="AK616" t="n">
        <v>20.2</v>
      </c>
      <c r="AL616" t="n">
        <v>20.2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  <c r="AS616" t="n">
        <v>0.02</v>
      </c>
      <c r="AT616" t="n">
        <v>103</v>
      </c>
      <c r="AU616" t="n">
        <v>52</v>
      </c>
      <c r="AV616" t="n">
        <v>1</v>
      </c>
      <c r="AW616" t="n">
        <v>1</v>
      </c>
      <c r="AZ616" t="n">
        <v>1</v>
      </c>
      <c r="BA616" t="n">
        <v>1</v>
      </c>
      <c r="BB616" t="n">
        <v>1</v>
      </c>
      <c r="BC616" t="n">
        <v>8.869999999999999</v>
      </c>
      <c r="BD616" t="inlineStr"/>
      <c r="BE616" t="inlineStr"/>
      <c r="BF616" t="inlineStr"/>
      <c r="BG616" t="inlineStr"/>
      <c r="BH616" t="n">
        <v>3</v>
      </c>
      <c r="BI616" t="n">
        <v>1</v>
      </c>
      <c r="BJ616" t="inlineStr">
        <is>
          <t>ТССЦ Московской обл., 507-3174, приказ Минстроя России №675/пр от 28.02.2017 № 258/пр</t>
        </is>
      </c>
      <c r="BM616" t="n">
        <v>65008</v>
      </c>
      <c r="BN616" t="n">
        <v>0</v>
      </c>
      <c r="BO616" t="inlineStr">
        <is>
          <t>507-3174</t>
        </is>
      </c>
      <c r="BP616" t="n">
        <v>1</v>
      </c>
      <c r="BQ616" t="n">
        <v>6</v>
      </c>
      <c r="BR616" t="n">
        <v>0</v>
      </c>
      <c r="BS616" t="n">
        <v>1</v>
      </c>
      <c r="BT616" t="n">
        <v>1</v>
      </c>
      <c r="BU616" t="n">
        <v>1</v>
      </c>
      <c r="BV616" t="n">
        <v>1</v>
      </c>
      <c r="BW616" t="n">
        <v>1</v>
      </c>
      <c r="BX616" t="n">
        <v>1</v>
      </c>
      <c r="BY616" t="inlineStr"/>
      <c r="BZ616" t="n">
        <v>103</v>
      </c>
      <c r="CA616" t="n">
        <v>52</v>
      </c>
      <c r="CB616" t="inlineStr"/>
      <c r="CE616" t="n">
        <v>12</v>
      </c>
      <c r="CF616" t="n">
        <v>0</v>
      </c>
      <c r="CG616" t="n">
        <v>0</v>
      </c>
      <c r="CM616" t="n">
        <v>0</v>
      </c>
      <c r="CN616" t="inlineStr"/>
      <c r="CO616" t="n">
        <v>0</v>
      </c>
      <c r="CP616">
        <f>(P616+Q616+S616)</f>
        <v/>
      </c>
      <c r="CQ616">
        <f>AC616*BC616</f>
        <v/>
      </c>
      <c r="CR616">
        <f>(ROUND((ROUND(((ET616)*1),0)*BB616),0)+ROUND((ROUND(((AE616-(EU616))*1),0)*BS616),0))</f>
        <v/>
      </c>
      <c r="CS616">
        <f>(ROUND((ROUND(((EU616)*1),0)*BS616),0)+ROUND((ROUND(((AE616-(EU616))*1),0)*BS616),0))</f>
        <v/>
      </c>
      <c r="CT616">
        <f>AF616*BA616</f>
        <v/>
      </c>
      <c r="CU616">
        <f>AG616</f>
        <v/>
      </c>
      <c r="CV616">
        <f>AH616</f>
        <v/>
      </c>
      <c r="CW616">
        <f>AI616</f>
        <v/>
      </c>
      <c r="CX616">
        <f>AJ616</f>
        <v/>
      </c>
      <c r="CY616">
        <f>(((S616+R616)*AT616)/100)</f>
        <v/>
      </c>
      <c r="CZ616">
        <f>(((S616+R616)*AU616)/100)</f>
        <v/>
      </c>
      <c r="DC616" t="inlineStr"/>
      <c r="DD616" t="inlineStr"/>
      <c r="DE616" t="inlineStr"/>
      <c r="DF616" t="inlineStr"/>
      <c r="DG616" t="inlineStr"/>
      <c r="DH616" t="inlineStr"/>
      <c r="DI616" t="inlineStr"/>
      <c r="DJ616" t="inlineStr"/>
      <c r="DK616" t="inlineStr"/>
      <c r="DL616" t="inlineStr"/>
      <c r="DM616" t="inlineStr"/>
      <c r="DN616" t="n">
        <v>0</v>
      </c>
      <c r="DO616" t="n">
        <v>0</v>
      </c>
      <c r="DP616" t="n">
        <v>1</v>
      </c>
      <c r="DQ616" t="n">
        <v>1</v>
      </c>
      <c r="DU616" t="n">
        <v>1010</v>
      </c>
      <c r="DV616" t="inlineStr">
        <is>
          <t>10 шт.</t>
        </is>
      </c>
      <c r="DW616" t="inlineStr">
        <is>
          <t>10 шт.</t>
        </is>
      </c>
      <c r="DX616" t="n">
        <v>10</v>
      </c>
      <c r="DZ616" t="inlineStr"/>
      <c r="EA616" t="inlineStr"/>
      <c r="EB616" t="inlineStr"/>
      <c r="EC616" t="inlineStr"/>
      <c r="EE616" t="n">
        <v>78726002</v>
      </c>
      <c r="EF616" t="n">
        <v>6</v>
      </c>
      <c r="EG616" t="inlineStr">
        <is>
          <t>Ремонтно-строительные работы</t>
        </is>
      </c>
      <c r="EH616" t="n">
        <v>99</v>
      </c>
      <c r="EI616" t="inlineStr">
        <is>
          <t>Внутренние санитарно-технические работы</t>
        </is>
      </c>
      <c r="EJ616" t="n">
        <v>1</v>
      </c>
      <c r="EK616" t="n">
        <v>65008</v>
      </c>
      <c r="EL616" t="inlineStr">
        <is>
          <t>Внутренние санитарнотехнические работы: смена труб, санприборов, запорной арматуры и другое</t>
        </is>
      </c>
      <c r="EM616" t="inlineStr">
        <is>
          <t>рФЕР-65</t>
        </is>
      </c>
      <c r="EO616" t="inlineStr"/>
      <c r="EQ616" t="n">
        <v>0</v>
      </c>
      <c r="ER616" t="n">
        <v>20.2</v>
      </c>
      <c r="ES616" t="n">
        <v>20.2</v>
      </c>
      <c r="ET616" t="n">
        <v>0</v>
      </c>
      <c r="EU616" t="n">
        <v>0</v>
      </c>
      <c r="EV616" t="n">
        <v>0</v>
      </c>
      <c r="EW616" t="n">
        <v>0</v>
      </c>
      <c r="EX616" t="n">
        <v>0</v>
      </c>
      <c r="FQ616" t="n">
        <v>0</v>
      </c>
      <c r="FR616" t="n">
        <v>0</v>
      </c>
      <c r="FS616" t="n">
        <v>0</v>
      </c>
      <c r="FX616" t="n">
        <v>103</v>
      </c>
      <c r="FY616" t="n">
        <v>52</v>
      </c>
      <c r="GA616" t="inlineStr"/>
      <c r="GD616" t="n">
        <v>1</v>
      </c>
      <c r="GF616" t="n">
        <v>-1602907712</v>
      </c>
      <c r="GG616" t="n">
        <v>2</v>
      </c>
      <c r="GH616" t="n">
        <v>1</v>
      </c>
      <c r="GI616" t="n">
        <v>2</v>
      </c>
      <c r="GJ616" t="n">
        <v>0</v>
      </c>
      <c r="GK616" t="n">
        <v>0</v>
      </c>
      <c r="GL616">
        <f>ROUND(IF(AND(BH616=3,BI616=3,FS616&lt;&gt;0),P616,0),0)</f>
        <v/>
      </c>
      <c r="GM616">
        <f>ROUND(O616+X616+Y616,0)+GX616</f>
        <v/>
      </c>
      <c r="GN616">
        <f>IF(OR(BI616=0,BI616=1),GM616-GX616,0)</f>
        <v/>
      </c>
      <c r="GO616">
        <f>IF(BI616=2,GM616-GX616,0)</f>
        <v/>
      </c>
      <c r="GP616">
        <f>IF(BI616=4,GM616-GX616,0)</f>
        <v/>
      </c>
      <c r="GR616" t="n">
        <v>0</v>
      </c>
      <c r="GS616" t="n">
        <v>3</v>
      </c>
      <c r="GT616" t="n">
        <v>0</v>
      </c>
      <c r="GU616" t="inlineStr"/>
      <c r="GV616">
        <f>ROUND((GT616),2)</f>
        <v/>
      </c>
      <c r="GW616" t="n">
        <v>1</v>
      </c>
      <c r="GX616">
        <f>ROUND(HC616*I616,0)</f>
        <v/>
      </c>
      <c r="HA616" t="n">
        <v>0</v>
      </c>
      <c r="HB616" t="n">
        <v>0</v>
      </c>
      <c r="HC616">
        <f>GV616*GW616</f>
        <v/>
      </c>
      <c r="HE616" t="inlineStr"/>
      <c r="HF616" t="inlineStr"/>
      <c r="HM616" t="inlineStr"/>
      <c r="HN616" t="inlineStr">
        <is>
          <t>Пр/812-099.2-1</t>
        </is>
      </c>
      <c r="HO616" t="inlineStr">
        <is>
          <t>Пр/774-099.2</t>
        </is>
      </c>
      <c r="HP616" t="inlineStr">
        <is>
          <t>Внутренние санитарнотехнические работы: смена труб, санприборов, запорной арматуры и другое</t>
        </is>
      </c>
      <c r="HQ616" t="inlineStr">
        <is>
          <t>Внутренние санитарнотехнические работы: смена труб, санприборов, запорной арматуры и другое</t>
        </is>
      </c>
      <c r="HS616" t="n">
        <v>0</v>
      </c>
      <c r="IK616" t="n">
        <v>0</v>
      </c>
    </row>
    <row r="617">
      <c r="A617" t="n">
        <v>18</v>
      </c>
      <c r="B617" t="n">
        <v>1</v>
      </c>
      <c r="C617" t="n">
        <v>329</v>
      </c>
      <c r="E617" t="inlineStr">
        <is>
          <t>6,6</t>
        </is>
      </c>
      <c r="F617" t="inlineStr">
        <is>
          <t>507-5029</t>
        </is>
      </c>
      <c r="G617" t="inlineStr">
        <is>
          <t>Муфта полипропиленовая комбинированная, с наружной резьбой диаметром 20х3/4"</t>
        </is>
      </c>
      <c r="H617" t="inlineStr">
        <is>
          <t>10 шт.</t>
        </is>
      </c>
      <c r="I617">
        <f>I611*J617</f>
        <v/>
      </c>
      <c r="J617" t="n">
        <v>20</v>
      </c>
      <c r="K617" t="n">
        <v>20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78869116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134.5</v>
      </c>
      <c r="AL617" t="n">
        <v>134.5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0.06</v>
      </c>
      <c r="AT617" t="n">
        <v>103</v>
      </c>
      <c r="AU617" t="n">
        <v>52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4.79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507-5029, приказ Минстроя России №675/пр от 28.02.2017 № 258/пр</t>
        </is>
      </c>
      <c r="BM617" t="n">
        <v>65008</v>
      </c>
      <c r="BN617" t="n">
        <v>0</v>
      </c>
      <c r="BO617" t="inlineStr">
        <is>
          <t>507-5029</t>
        </is>
      </c>
      <c r="BP617" t="n">
        <v>1</v>
      </c>
      <c r="BQ617" t="n">
        <v>6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103</v>
      </c>
      <c r="CA617" t="n">
        <v>52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10 шт.</t>
        </is>
      </c>
      <c r="DW617" t="inlineStr">
        <is>
          <t>10 шт.</t>
        </is>
      </c>
      <c r="DX617" t="n">
        <v>10</v>
      </c>
      <c r="DZ617" t="inlineStr"/>
      <c r="EA617" t="inlineStr"/>
      <c r="EB617" t="inlineStr"/>
      <c r="EC617" t="inlineStr"/>
      <c r="EE617" t="n">
        <v>78726002</v>
      </c>
      <c r="EF617" t="n">
        <v>6</v>
      </c>
      <c r="EG617" t="inlineStr">
        <is>
          <t>Ремонтно-строительные работы</t>
        </is>
      </c>
      <c r="EH617" t="n">
        <v>99</v>
      </c>
      <c r="EI617" t="inlineStr">
        <is>
          <t>Внутренние санитарно-технические работы</t>
        </is>
      </c>
      <c r="EJ617" t="n">
        <v>1</v>
      </c>
      <c r="EK617" t="n">
        <v>65008</v>
      </c>
      <c r="EL617" t="inlineStr">
        <is>
          <t>Внутренние санитарнотехнические работы: смена труб, санприборов, запорной арматуры и другое</t>
        </is>
      </c>
      <c r="EM617" t="inlineStr">
        <is>
          <t>рФЕР-65</t>
        </is>
      </c>
      <c r="EO617" t="inlineStr"/>
      <c r="EQ617" t="n">
        <v>0</v>
      </c>
      <c r="ER617" t="n">
        <v>134.5</v>
      </c>
      <c r="ES617" t="n">
        <v>134.5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FQ617" t="n">
        <v>0</v>
      </c>
      <c r="FR617" t="n">
        <v>0</v>
      </c>
      <c r="FS617" t="n">
        <v>0</v>
      </c>
      <c r="FX617" t="n">
        <v>103</v>
      </c>
      <c r="FY617" t="n">
        <v>52</v>
      </c>
      <c r="GA617" t="inlineStr"/>
      <c r="GD617" t="n">
        <v>1</v>
      </c>
      <c r="GF617" t="n">
        <v>-197347034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Пр/812-099.2-1</t>
        </is>
      </c>
      <c r="HO617" t="inlineStr">
        <is>
          <t>Пр/774-099.2</t>
        </is>
      </c>
      <c r="HP617" t="inlineStr">
        <is>
          <t>Внутренние санитарнотехнические работы: смена труб, санприборов, запорной арматуры и другое</t>
        </is>
      </c>
      <c r="HQ617" t="inlineStr">
        <is>
          <t>Внутренние санитарнотехнические работы: смена труб, санприборов, запорной арматуры и другое</t>
        </is>
      </c>
      <c r="HS617" t="n">
        <v>0</v>
      </c>
      <c r="IK617" t="n">
        <v>0</v>
      </c>
    </row>
    <row r="618">
      <c r="A618" t="n">
        <v>18</v>
      </c>
      <c r="B618" t="n">
        <v>1</v>
      </c>
      <c r="C618" t="n">
        <v>328</v>
      </c>
      <c r="E618" t="inlineStr">
        <is>
          <t>6,7</t>
        </is>
      </c>
      <c r="F618" t="inlineStr">
        <is>
          <t>507-5028</t>
        </is>
      </c>
      <c r="G618" t="inlineStr">
        <is>
          <t>Муфта полипропиленовая комбинированная, с наружной резьбой диаметром 20х1/2"</t>
        </is>
      </c>
      <c r="H618" t="inlineStr">
        <is>
          <t>10 шт.</t>
        </is>
      </c>
      <c r="I618">
        <f>I611*J618</f>
        <v/>
      </c>
      <c r="J618" t="n">
        <v>20</v>
      </c>
      <c r="K618" t="n">
        <v>20</v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78869116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84.90000000000001</v>
      </c>
      <c r="AL618" t="n">
        <v>84.90000000000001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n">
        <v>0.06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1</v>
      </c>
      <c r="BB618" t="n">
        <v>1</v>
      </c>
      <c r="BC618" t="n">
        <v>4.91</v>
      </c>
      <c r="BD618" t="inlineStr"/>
      <c r="BE618" t="inlineStr"/>
      <c r="BF618" t="inlineStr"/>
      <c r="BG618" t="inlineStr"/>
      <c r="BH618" t="n">
        <v>3</v>
      </c>
      <c r="BI618" t="n">
        <v>1</v>
      </c>
      <c r="BJ618" t="inlineStr">
        <is>
          <t>ТССЦ Московской обл., 507-5028, приказ Минстроя России №675/пр от 28.02.2017 № 258/пр</t>
        </is>
      </c>
      <c r="BM618" t="n">
        <v>65008</v>
      </c>
      <c r="BN618" t="n">
        <v>0</v>
      </c>
      <c r="BO618" t="inlineStr">
        <is>
          <t>507-5028</t>
        </is>
      </c>
      <c r="BP618" t="n">
        <v>1</v>
      </c>
      <c r="BQ618" t="n">
        <v>6</v>
      </c>
      <c r="BR618" t="n">
        <v>0</v>
      </c>
      <c r="BS618" t="n">
        <v>1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1010</v>
      </c>
      <c r="DV618" t="inlineStr">
        <is>
          <t>10 шт.</t>
        </is>
      </c>
      <c r="DW618" t="inlineStr">
        <is>
          <t>10 шт.</t>
        </is>
      </c>
      <c r="DX618" t="n">
        <v>10</v>
      </c>
      <c r="DZ618" t="inlineStr"/>
      <c r="EA618" t="inlineStr"/>
      <c r="EB618" t="inlineStr"/>
      <c r="EC618" t="inlineStr"/>
      <c r="EE618" t="n">
        <v>78726002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65008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84.90000000000001</v>
      </c>
      <c r="ES618" t="n">
        <v>84.90000000000001</v>
      </c>
      <c r="ET618" t="n">
        <v>0</v>
      </c>
      <c r="EU618" t="n">
        <v>0</v>
      </c>
      <c r="EV618" t="n">
        <v>0</v>
      </c>
      <c r="EW618" t="n">
        <v>0</v>
      </c>
      <c r="EX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-1911527899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1</v>
      </c>
      <c r="C619" t="n">
        <v>327</v>
      </c>
      <c r="E619" t="inlineStr">
        <is>
          <t>6,8</t>
        </is>
      </c>
      <c r="F619" t="inlineStr">
        <is>
          <t>507-5024</t>
        </is>
      </c>
      <c r="G619" t="inlineStr">
        <is>
          <t>Муфта полипропиленовая комбинированная, с внутренней резьбой диаметром 32х1"</t>
        </is>
      </c>
      <c r="H619" t="inlineStr">
        <is>
          <t>10 шт.</t>
        </is>
      </c>
      <c r="I619">
        <f>I611*J619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78869116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178.6</v>
      </c>
      <c r="AL619" t="n">
        <v>178.6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0.09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4.93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>
        <is>
          <t>ТССЦ Московской обл., 507-5024, приказ Минстроя России №675/пр от 28.02.2017 № 258/пр</t>
        </is>
      </c>
      <c r="BM619" t="n">
        <v>65008</v>
      </c>
      <c r="BN619" t="n">
        <v>0</v>
      </c>
      <c r="BO619" t="inlineStr">
        <is>
          <t>507-5024</t>
        </is>
      </c>
      <c r="BP619" t="n">
        <v>1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AC619*BC619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1010</v>
      </c>
      <c r="DV619" t="inlineStr">
        <is>
          <t>10 шт.</t>
        </is>
      </c>
      <c r="DW619" t="inlineStr">
        <is>
          <t>10 шт.</t>
        </is>
      </c>
      <c r="DX619" t="n">
        <v>10</v>
      </c>
      <c r="DZ619" t="inlineStr"/>
      <c r="EA619" t="inlineStr"/>
      <c r="EB619" t="inlineStr"/>
      <c r="EC619" t="inlineStr"/>
      <c r="EE619" t="n">
        <v>78726002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65008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178.6</v>
      </c>
      <c r="ES619" t="n">
        <v>178.6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/>
      <c r="GD619" t="n">
        <v>1</v>
      </c>
      <c r="GF619" t="n">
        <v>-317381250</v>
      </c>
      <c r="GG619" t="n">
        <v>2</v>
      </c>
      <c r="GH619" t="n">
        <v>1</v>
      </c>
      <c r="GI619" t="n">
        <v>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0</v>
      </c>
      <c r="GS619" t="n">
        <v>3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/>
      <c r="HF619" t="inlineStr"/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402" t="n">
        <v>51</v>
      </c>
      <c r="B621" s="402">
        <f>B597</f>
        <v/>
      </c>
      <c r="C621" s="402">
        <f>A597</f>
        <v/>
      </c>
      <c r="D621" s="402">
        <f>ROW(A597)</f>
        <v/>
      </c>
      <c r="E621" s="402" t="n"/>
      <c r="F621" s="402">
        <f>IF(F597&lt;&gt;"",F597,"")</f>
        <v/>
      </c>
      <c r="G621" s="402">
        <f>IF(G597&lt;&gt;"",G597,"")</f>
        <v/>
      </c>
      <c r="H621" s="402" t="n">
        <v>0</v>
      </c>
      <c r="I621" s="402" t="n"/>
      <c r="J621" s="402" t="n"/>
      <c r="K621" s="402" t="n"/>
      <c r="L621" s="402" t="n"/>
      <c r="M621" s="402" t="n"/>
      <c r="N621" s="402" t="n"/>
      <c r="O621" s="402">
        <f>ROUND(AB621,0)</f>
        <v/>
      </c>
      <c r="P621" s="402">
        <f>ROUND(AC621,0)</f>
        <v/>
      </c>
      <c r="Q621" s="402">
        <f>ROUND(AD621,0)</f>
        <v/>
      </c>
      <c r="R621" s="402">
        <f>ROUND(AE621,0)</f>
        <v/>
      </c>
      <c r="S621" s="402">
        <f>ROUND(AF621,0)</f>
        <v/>
      </c>
      <c r="T621" s="402">
        <f>ROUND(AG621,0)</f>
        <v/>
      </c>
      <c r="U621" s="402">
        <f>AH621</f>
        <v/>
      </c>
      <c r="V621" s="402">
        <f>AI621</f>
        <v/>
      </c>
      <c r="W621" s="402">
        <f>ROUND(AJ621,0)</f>
        <v/>
      </c>
      <c r="X621" s="402">
        <f>ROUND(AK621,0)</f>
        <v/>
      </c>
      <c r="Y621" s="402">
        <f>ROUND(AL621,0)</f>
        <v/>
      </c>
      <c r="Z621" s="402" t="n"/>
      <c r="AA621" s="402" t="n"/>
      <c r="AB621" s="402">
        <f>ROUND(SUMIF(AA601:AA619,"=78869116",O601:O619),0)</f>
        <v/>
      </c>
      <c r="AC621" s="402">
        <f>ROUND(SUMIF(AA601:AA619,"=78869116",P601:P619),0)</f>
        <v/>
      </c>
      <c r="AD621" s="402">
        <f>ROUND(SUMIF(AA601:AA619,"=78869116",Q601:Q619),0)</f>
        <v/>
      </c>
      <c r="AE621" s="402">
        <f>ROUND(SUMIF(AA601:AA619,"=78869116",R601:R619),0)</f>
        <v/>
      </c>
      <c r="AF621" s="402">
        <f>ROUND(SUMIF(AA601:AA619,"=78869116",S601:S619),0)</f>
        <v/>
      </c>
      <c r="AG621" s="402">
        <f>ROUND(SUMIF(AA601:AA619,"=78869116",T601:T619),0)</f>
        <v/>
      </c>
      <c r="AH621" s="402">
        <f>SUMIF(AA601:AA619,"=78869116",U601:U619)</f>
        <v/>
      </c>
      <c r="AI621" s="402">
        <f>SUMIF(AA601:AA619,"=78869116",V601:V619)</f>
        <v/>
      </c>
      <c r="AJ621" s="402">
        <f>ROUND(SUMIF(AA601:AA619,"=78869116",W601:W619),0)</f>
        <v/>
      </c>
      <c r="AK621" s="402">
        <f>ROUND(SUMIF(AA601:AA619,"=78869116",X601:X619),0)</f>
        <v/>
      </c>
      <c r="AL621" s="402">
        <f>ROUND(SUMIF(AA601:AA619,"=78869116",Y601:Y619),0)</f>
        <v/>
      </c>
      <c r="AM621" s="402" t="n"/>
      <c r="AN621" s="402" t="n"/>
      <c r="AO621" s="402">
        <f>ROUND(BX621,0)</f>
        <v/>
      </c>
      <c r="AP621" s="402">
        <f>ROUND(BY621,0)</f>
        <v/>
      </c>
      <c r="AQ621" s="402">
        <f>ROUND(BZ621,0)</f>
        <v/>
      </c>
      <c r="AR621" s="402">
        <f>ROUND(CA621,0)</f>
        <v/>
      </c>
      <c r="AS621" s="402">
        <f>ROUND(CB621,0)</f>
        <v/>
      </c>
      <c r="AT621" s="402">
        <f>ROUND(CC621,0)</f>
        <v/>
      </c>
      <c r="AU621" s="402">
        <f>ROUND(CD621,0)</f>
        <v/>
      </c>
      <c r="AV621" s="402">
        <f>ROUND(CE621,0)</f>
        <v/>
      </c>
      <c r="AW621" s="402">
        <f>ROUND(CF621,0)</f>
        <v/>
      </c>
      <c r="AX621" s="402">
        <f>ROUND(CG621,0)</f>
        <v/>
      </c>
      <c r="AY621" s="402">
        <f>ROUND(CH621,0)</f>
        <v/>
      </c>
      <c r="AZ621" s="402">
        <f>ROUND(CI621,0)</f>
        <v/>
      </c>
      <c r="BA621" s="402">
        <f>ROUND(CJ621,0)</f>
        <v/>
      </c>
      <c r="BB621" s="402">
        <f>ROUND(CK621,0)</f>
        <v/>
      </c>
      <c r="BC621" s="402">
        <f>ROUND(CL621,0)</f>
        <v/>
      </c>
      <c r="BD621" s="402">
        <f>ROUND(CM621,0)</f>
        <v/>
      </c>
      <c r="BE621" s="402" t="n"/>
      <c r="BF621" s="402" t="n"/>
      <c r="BG621" s="402" t="n"/>
      <c r="BH621" s="402" t="n"/>
      <c r="BI621" s="402" t="n"/>
      <c r="BJ621" s="402" t="n"/>
      <c r="BK621" s="402" t="n"/>
      <c r="BL621" s="402" t="n"/>
      <c r="BM621" s="402" t="n"/>
      <c r="BN621" s="402" t="n"/>
      <c r="BO621" s="402" t="n"/>
      <c r="BP621" s="402" t="n"/>
      <c r="BQ621" s="402" t="n"/>
      <c r="BR621" s="402" t="n"/>
      <c r="BS621" s="402" t="n"/>
      <c r="BT621" s="402" t="n"/>
      <c r="BU621" s="402" t="n"/>
      <c r="BV621" s="402" t="n"/>
      <c r="BW621" s="402" t="n"/>
      <c r="BX621" s="402">
        <f>ROUND(SUMIF(AA601:AA619,"=78869116",FQ601:FQ619),0)</f>
        <v/>
      </c>
      <c r="BY621" s="402">
        <f>ROUND(SUMIF(AA601:AA619,"=78869116",FR601:FR619),0)</f>
        <v/>
      </c>
      <c r="BZ621" s="402">
        <f>ROUND(SUMIF(AA601:AA619,"=78869116",GL601:GL619),0)</f>
        <v/>
      </c>
      <c r="CA621" s="402">
        <f>ROUND(SUMIF(AA601:AA619,"=78869116",GM601:GM619),0)</f>
        <v/>
      </c>
      <c r="CB621" s="402">
        <f>ROUND(SUMIF(AA601:AA619,"=78869116",GN601:GN619),0)</f>
        <v/>
      </c>
      <c r="CC621" s="402">
        <f>ROUND(SUMIF(AA601:AA619,"=78869116",GO601:GO619),0)</f>
        <v/>
      </c>
      <c r="CD621" s="402">
        <f>ROUND(SUMIF(AA601:AA619,"=78869116",GP601:GP619),0)</f>
        <v/>
      </c>
      <c r="CE621" s="402">
        <f>AC621-BX621</f>
        <v/>
      </c>
      <c r="CF621" s="402">
        <f>AC621-BY621</f>
        <v/>
      </c>
      <c r="CG621" s="402">
        <f>BX621-BZ621</f>
        <v/>
      </c>
      <c r="CH621" s="402">
        <f>AC621-BX621-BY621+BZ621</f>
        <v/>
      </c>
      <c r="CI621" s="402">
        <f>BY621-BZ621</f>
        <v/>
      </c>
      <c r="CJ621" s="402">
        <f>ROUND(SUMIF(AA601:AA619,"=78869116",GX601:GX619),0)</f>
        <v/>
      </c>
      <c r="CK621" s="402">
        <f>ROUND(SUMIF(AA601:AA619,"=78869116",GY601:GY619),0)</f>
        <v/>
      </c>
      <c r="CL621" s="402">
        <f>ROUND(SUMIF(AA601:AA619,"=78869116",GZ601:GZ619),0)</f>
        <v/>
      </c>
      <c r="CM621" s="402">
        <f>ROUND(SUMIF(AA601:AA619,"=78869116",HD601:HD619),0)</f>
        <v/>
      </c>
      <c r="CN621" s="402" t="n"/>
      <c r="CO621" s="402" t="n"/>
      <c r="CP621" s="402" t="n"/>
      <c r="CQ621" s="402" t="n"/>
      <c r="CR621" s="402" t="n"/>
      <c r="CS621" s="402" t="n"/>
      <c r="CT621" s="402" t="n"/>
      <c r="CU621" s="402" t="n"/>
      <c r="CV621" s="402" t="n"/>
      <c r="CW621" s="402" t="n"/>
      <c r="CX621" s="402" t="n"/>
      <c r="CY621" s="402" t="n"/>
      <c r="CZ621" s="402" t="n"/>
      <c r="DA621" s="402" t="n"/>
      <c r="DB621" s="402" t="n"/>
      <c r="DC621" s="402" t="n"/>
      <c r="DD621" s="402" t="n"/>
      <c r="DE621" s="402" t="n"/>
      <c r="DF621" s="402" t="n"/>
      <c r="DG621" s="403" t="n"/>
      <c r="DH621" s="403" t="n"/>
      <c r="DI621" s="403" t="n"/>
      <c r="DJ621" s="403" t="n"/>
      <c r="DK621" s="403" t="n"/>
      <c r="DL621" s="403" t="n"/>
      <c r="DM621" s="403" t="n"/>
      <c r="DN621" s="403" t="n"/>
      <c r="DO621" s="403" t="n"/>
      <c r="DP621" s="403" t="n"/>
      <c r="DQ621" s="403" t="n"/>
      <c r="DR621" s="403" t="n"/>
      <c r="DS621" s="403" t="n"/>
      <c r="DT621" s="403" t="n"/>
      <c r="DU621" s="403" t="n"/>
      <c r="DV621" s="403" t="n"/>
      <c r="DW621" s="403" t="n"/>
      <c r="DX621" s="403" t="n"/>
      <c r="DY621" s="403" t="n"/>
      <c r="DZ621" s="403" t="n"/>
      <c r="EA621" s="403" t="n"/>
      <c r="EB621" s="403" t="n"/>
      <c r="EC621" s="403" t="n"/>
      <c r="ED621" s="403" t="n"/>
      <c r="EE621" s="403" t="n"/>
      <c r="EF621" s="403" t="n"/>
      <c r="EG621" s="403" t="n"/>
      <c r="EH621" s="403" t="n"/>
      <c r="EI621" s="403" t="n"/>
      <c r="EJ621" s="403" t="n"/>
      <c r="EK621" s="403" t="n"/>
      <c r="EL621" s="403" t="n"/>
      <c r="EM621" s="403" t="n"/>
      <c r="EN621" s="403" t="n"/>
      <c r="EO621" s="403" t="n"/>
      <c r="EP621" s="403" t="n"/>
      <c r="EQ621" s="403" t="n"/>
      <c r="ER621" s="403" t="n"/>
      <c r="ES621" s="403" t="n"/>
      <c r="ET621" s="403" t="n"/>
      <c r="EU621" s="403" t="n"/>
      <c r="EV621" s="403" t="n"/>
      <c r="EW621" s="403" t="n"/>
      <c r="EX621" s="403" t="n"/>
      <c r="EY621" s="403" t="n"/>
      <c r="EZ621" s="403" t="n"/>
      <c r="FA621" s="403" t="n"/>
      <c r="FB621" s="403" t="n"/>
      <c r="FC621" s="403" t="n"/>
      <c r="FD621" s="403" t="n"/>
      <c r="FE621" s="403" t="n"/>
      <c r="FF621" s="403" t="n"/>
      <c r="FG621" s="403" t="n"/>
      <c r="FH621" s="403" t="n"/>
      <c r="FI621" s="403" t="n"/>
      <c r="FJ621" s="403" t="n"/>
      <c r="FK621" s="403" t="n"/>
      <c r="FL621" s="403" t="n"/>
      <c r="FM621" s="403" t="n"/>
      <c r="FN621" s="403" t="n"/>
      <c r="FO621" s="403" t="n"/>
      <c r="FP621" s="403" t="n"/>
      <c r="FQ621" s="403" t="n"/>
      <c r="FR621" s="403" t="n"/>
      <c r="FS621" s="403" t="n"/>
      <c r="FT621" s="403" t="n"/>
      <c r="FU621" s="403" t="n"/>
      <c r="FV621" s="403" t="n"/>
      <c r="FW621" s="403" t="n"/>
      <c r="FX621" s="403" t="n"/>
      <c r="FY621" s="403" t="n"/>
      <c r="FZ621" s="403" t="n"/>
      <c r="GA621" s="403" t="n"/>
      <c r="GB621" s="403" t="n"/>
      <c r="GC621" s="403" t="n"/>
      <c r="GD621" s="403" t="n"/>
      <c r="GE621" s="403" t="n"/>
      <c r="GF621" s="403" t="n"/>
      <c r="GG621" s="403" t="n"/>
      <c r="GH621" s="403" t="n"/>
      <c r="GI621" s="403" t="n"/>
      <c r="GJ621" s="403" t="n"/>
      <c r="GK621" s="403" t="n"/>
      <c r="GL621" s="403" t="n"/>
      <c r="GM621" s="403" t="n"/>
      <c r="GN621" s="403" t="n"/>
      <c r="GO621" s="403" t="n"/>
      <c r="GP621" s="403" t="n"/>
      <c r="GQ621" s="403" t="n"/>
      <c r="GR621" s="403" t="n"/>
      <c r="GS621" s="403" t="n"/>
      <c r="GT621" s="403" t="n"/>
      <c r="GU621" s="403" t="n"/>
      <c r="GV621" s="403" t="n"/>
      <c r="GW621" s="403" t="n"/>
      <c r="GX621" s="403" t="n">
        <v>0</v>
      </c>
    </row>
    <row r="622"/>
    <row r="623">
      <c r="A623" s="404" t="n">
        <v>50</v>
      </c>
      <c r="B623" s="404" t="n">
        <v>0</v>
      </c>
      <c r="C623" s="404" t="n">
        <v>0</v>
      </c>
      <c r="D623" s="404" t="n">
        <v>1</v>
      </c>
      <c r="E623" s="404" t="n">
        <v>201</v>
      </c>
      <c r="F623" s="404">
        <f>ROUND(Source!O621,O623)</f>
        <v/>
      </c>
      <c r="G623" s="404" t="inlineStr">
        <is>
          <t>ПЗ</t>
        </is>
      </c>
      <c r="H623" s="404" t="inlineStr">
        <is>
          <t>Прямые затраты</t>
        </is>
      </c>
      <c r="I623" s="404" t="n"/>
      <c r="J623" s="404" t="n"/>
      <c r="K623" s="404" t="n">
        <v>201</v>
      </c>
      <c r="L623" s="404" t="n">
        <v>1</v>
      </c>
      <c r="M623" s="404" t="n">
        <v>3</v>
      </c>
      <c r="N623" s="404" t="inlineStr"/>
      <c r="O623" s="404" t="n">
        <v>0</v>
      </c>
      <c r="P623" s="404" t="n"/>
      <c r="Q623" s="404" t="n"/>
      <c r="R623" s="404" t="n"/>
      <c r="S623" s="404" t="n"/>
      <c r="T623" s="404" t="n"/>
      <c r="U623" s="404" t="n"/>
      <c r="V623" s="404" t="n"/>
      <c r="W623" s="404" t="n">
        <v>31301</v>
      </c>
      <c r="X623" s="404" t="n">
        <v>1</v>
      </c>
      <c r="Y623" s="404" t="n">
        <v>31301</v>
      </c>
      <c r="Z623" s="404" t="n"/>
      <c r="AA623" s="404" t="n"/>
      <c r="AB623" s="404" t="n"/>
    </row>
    <row r="624">
      <c r="A624" s="404" t="n">
        <v>50</v>
      </c>
      <c r="B624" s="404" t="n">
        <v>0</v>
      </c>
      <c r="C624" s="404" t="n">
        <v>0</v>
      </c>
      <c r="D624" s="404" t="n">
        <v>1</v>
      </c>
      <c r="E624" s="404" t="n">
        <v>202</v>
      </c>
      <c r="F624" s="404">
        <f>ROUND(Source!P621,O624)</f>
        <v/>
      </c>
      <c r="G624" s="404" t="inlineStr">
        <is>
          <t>СтМатОб</t>
        </is>
      </c>
      <c r="H624" s="404" t="inlineStr">
        <is>
          <t>Стоимость материальных ресурсов (всего)</t>
        </is>
      </c>
      <c r="I624" s="404" t="n"/>
      <c r="J624" s="404" t="n"/>
      <c r="K624" s="404" t="n">
        <v>202</v>
      </c>
      <c r="L624" s="404" t="n">
        <v>2</v>
      </c>
      <c r="M624" s="404" t="n">
        <v>3</v>
      </c>
      <c r="N624" s="404" t="inlineStr"/>
      <c r="O624" s="404" t="n">
        <v>0</v>
      </c>
      <c r="P624" s="404" t="n"/>
      <c r="Q624" s="404" t="n"/>
      <c r="R624" s="404" t="n"/>
      <c r="S624" s="404" t="n"/>
      <c r="T624" s="404" t="n"/>
      <c r="U624" s="404" t="n"/>
      <c r="V624" s="404" t="n"/>
      <c r="W624" s="404" t="n">
        <v>3663</v>
      </c>
      <c r="X624" s="404" t="n">
        <v>1</v>
      </c>
      <c r="Y624" s="404" t="n">
        <v>3663</v>
      </c>
      <c r="Z624" s="404" t="n"/>
      <c r="AA624" s="404" t="n"/>
      <c r="AB624" s="404" t="n"/>
    </row>
    <row r="625">
      <c r="A625" s="404" t="n">
        <v>50</v>
      </c>
      <c r="B625" s="404" t="n">
        <v>0</v>
      </c>
      <c r="C625" s="404" t="n">
        <v>0</v>
      </c>
      <c r="D625" s="404" t="n">
        <v>1</v>
      </c>
      <c r="E625" s="404" t="n">
        <v>222</v>
      </c>
      <c r="F625" s="404">
        <f>ROUND(Source!AO621,O625)</f>
        <v/>
      </c>
      <c r="G625" s="404" t="inlineStr">
        <is>
          <t>СтМатОбЗак</t>
        </is>
      </c>
      <c r="H625" s="404" t="inlineStr">
        <is>
          <t>Стоимость материалов и оборудования заказчика</t>
        </is>
      </c>
      <c r="I625" s="404" t="n"/>
      <c r="J625" s="404" t="n"/>
      <c r="K625" s="404" t="n">
        <v>222</v>
      </c>
      <c r="L625" s="404" t="n">
        <v>3</v>
      </c>
      <c r="M625" s="404" t="n">
        <v>3</v>
      </c>
      <c r="N625" s="404" t="inlineStr"/>
      <c r="O625" s="404" t="n">
        <v>0</v>
      </c>
      <c r="P625" s="404" t="n"/>
      <c r="Q625" s="404" t="n"/>
      <c r="R625" s="404" t="n"/>
      <c r="S625" s="404" t="n"/>
      <c r="T625" s="404" t="n"/>
      <c r="U625" s="404" t="n"/>
      <c r="V625" s="404" t="n"/>
      <c r="W625" s="404" t="n">
        <v>0</v>
      </c>
      <c r="X625" s="404" t="n">
        <v>1</v>
      </c>
      <c r="Y625" s="404" t="n">
        <v>0</v>
      </c>
      <c r="Z625" s="404" t="n"/>
      <c r="AA625" s="404" t="n"/>
      <c r="AB625" s="404" t="n"/>
    </row>
    <row r="626">
      <c r="A626" s="404" t="n">
        <v>50</v>
      </c>
      <c r="B626" s="404" t="n">
        <v>0</v>
      </c>
      <c r="C626" s="404" t="n">
        <v>0</v>
      </c>
      <c r="D626" s="404" t="n">
        <v>1</v>
      </c>
      <c r="E626" s="404" t="n">
        <v>225</v>
      </c>
      <c r="F626" s="404">
        <f>ROUND(Source!AV621,O626)</f>
        <v/>
      </c>
      <c r="G626" s="404" t="inlineStr">
        <is>
          <t>СтМатОбПод</t>
        </is>
      </c>
      <c r="H626" s="404" t="inlineStr">
        <is>
          <t>Стоимость материалов и оборудования подрядчика</t>
        </is>
      </c>
      <c r="I626" s="404" t="n"/>
      <c r="J626" s="404" t="n"/>
      <c r="K626" s="404" t="n">
        <v>225</v>
      </c>
      <c r="L626" s="404" t="n">
        <v>4</v>
      </c>
      <c r="M626" s="404" t="n">
        <v>3</v>
      </c>
      <c r="N626" s="404" t="inlineStr"/>
      <c r="O626" s="404" t="n">
        <v>0</v>
      </c>
      <c r="P626" s="404" t="n"/>
      <c r="Q626" s="404" t="n"/>
      <c r="R626" s="404" t="n"/>
      <c r="S626" s="404" t="n"/>
      <c r="T626" s="404" t="n"/>
      <c r="U626" s="404" t="n"/>
      <c r="V626" s="404" t="n"/>
      <c r="W626" s="404" t="n">
        <v>3663</v>
      </c>
      <c r="X626" s="404" t="n">
        <v>1</v>
      </c>
      <c r="Y626" s="404" t="n">
        <v>3663</v>
      </c>
      <c r="Z626" s="404" t="n"/>
      <c r="AA626" s="404" t="n"/>
      <c r="AB626" s="404" t="n"/>
    </row>
    <row r="627">
      <c r="A627" s="404" t="n">
        <v>50</v>
      </c>
      <c r="B627" s="404" t="n">
        <v>0</v>
      </c>
      <c r="C627" s="404" t="n">
        <v>0</v>
      </c>
      <c r="D627" s="404" t="n">
        <v>1</v>
      </c>
      <c r="E627" s="404" t="n">
        <v>226</v>
      </c>
      <c r="F627" s="404">
        <f>ROUND(Source!AW621,O627)</f>
        <v/>
      </c>
      <c r="G627" s="404" t="inlineStr">
        <is>
          <t>СтМат</t>
        </is>
      </c>
      <c r="H627" s="404" t="inlineStr">
        <is>
          <t>Стоимость материалов (всего)</t>
        </is>
      </c>
      <c r="I627" s="404" t="n"/>
      <c r="J627" s="404" t="n"/>
      <c r="K627" s="404" t="n">
        <v>226</v>
      </c>
      <c r="L627" s="404" t="n">
        <v>5</v>
      </c>
      <c r="M627" s="404" t="n">
        <v>3</v>
      </c>
      <c r="N627" s="404" t="inlineStr"/>
      <c r="O627" s="404" t="n">
        <v>0</v>
      </c>
      <c r="P627" s="404" t="n"/>
      <c r="Q627" s="404" t="n"/>
      <c r="R627" s="404" t="n"/>
      <c r="S627" s="404" t="n"/>
      <c r="T627" s="404" t="n"/>
      <c r="U627" s="404" t="n"/>
      <c r="V627" s="404" t="n"/>
      <c r="W627" s="404" t="n">
        <v>3663</v>
      </c>
      <c r="X627" s="404" t="n">
        <v>1</v>
      </c>
      <c r="Y627" s="404" t="n">
        <v>3663</v>
      </c>
      <c r="Z627" s="404" t="n"/>
      <c r="AA627" s="404" t="n"/>
      <c r="AB627" s="404" t="n"/>
    </row>
    <row r="628">
      <c r="A628" s="404" t="n">
        <v>50</v>
      </c>
      <c r="B628" s="404" t="n">
        <v>0</v>
      </c>
      <c r="C628" s="404" t="n">
        <v>0</v>
      </c>
      <c r="D628" s="404" t="n">
        <v>1</v>
      </c>
      <c r="E628" s="404" t="n">
        <v>227</v>
      </c>
      <c r="F628" s="404">
        <f>ROUND(Source!AX621,O628)</f>
        <v/>
      </c>
      <c r="G628" s="404" t="inlineStr">
        <is>
          <t>СтМатЗак</t>
        </is>
      </c>
      <c r="H628" s="404" t="inlineStr">
        <is>
          <t>Стоимость материалов заказчика</t>
        </is>
      </c>
      <c r="I628" s="404" t="n"/>
      <c r="J628" s="404" t="n"/>
      <c r="K628" s="404" t="n">
        <v>227</v>
      </c>
      <c r="L628" s="404" t="n">
        <v>6</v>
      </c>
      <c r="M628" s="404" t="n">
        <v>3</v>
      </c>
      <c r="N628" s="404" t="inlineStr"/>
      <c r="O628" s="404" t="n">
        <v>0</v>
      </c>
      <c r="P628" s="404" t="n"/>
      <c r="Q628" s="404" t="n"/>
      <c r="R628" s="404" t="n"/>
      <c r="S628" s="404" t="n"/>
      <c r="T628" s="404" t="n"/>
      <c r="U628" s="404" t="n"/>
      <c r="V628" s="404" t="n"/>
      <c r="W628" s="404" t="n">
        <v>0</v>
      </c>
      <c r="X628" s="404" t="n">
        <v>1</v>
      </c>
      <c r="Y628" s="404" t="n">
        <v>0</v>
      </c>
      <c r="Z628" s="404" t="n"/>
      <c r="AA628" s="404" t="n"/>
      <c r="AB628" s="404" t="n"/>
    </row>
    <row r="629">
      <c r="A629" s="404" t="n">
        <v>50</v>
      </c>
      <c r="B629" s="404" t="n">
        <v>0</v>
      </c>
      <c r="C629" s="404" t="n">
        <v>0</v>
      </c>
      <c r="D629" s="404" t="n">
        <v>1</v>
      </c>
      <c r="E629" s="404" t="n">
        <v>228</v>
      </c>
      <c r="F629" s="404">
        <f>ROUND(Source!AY621,O629)</f>
        <v/>
      </c>
      <c r="G629" s="404" t="inlineStr">
        <is>
          <t>СтМатПод</t>
        </is>
      </c>
      <c r="H629" s="404" t="inlineStr">
        <is>
          <t>Стоимость материалов подрядчика</t>
        </is>
      </c>
      <c r="I629" s="404" t="n"/>
      <c r="J629" s="404" t="n"/>
      <c r="K629" s="404" t="n">
        <v>228</v>
      </c>
      <c r="L629" s="404" t="n">
        <v>7</v>
      </c>
      <c r="M629" s="404" t="n">
        <v>3</v>
      </c>
      <c r="N629" s="404" t="inlineStr"/>
      <c r="O629" s="404" t="n">
        <v>0</v>
      </c>
      <c r="P629" s="404" t="n"/>
      <c r="Q629" s="404" t="n"/>
      <c r="R629" s="404" t="n"/>
      <c r="S629" s="404" t="n"/>
      <c r="T629" s="404" t="n"/>
      <c r="U629" s="404" t="n"/>
      <c r="V629" s="404" t="n"/>
      <c r="W629" s="404" t="n">
        <v>3663</v>
      </c>
      <c r="X629" s="404" t="n">
        <v>1</v>
      </c>
      <c r="Y629" s="404" t="n">
        <v>3663</v>
      </c>
      <c r="Z629" s="404" t="n"/>
      <c r="AA629" s="404" t="n"/>
      <c r="AB629" s="404" t="n"/>
    </row>
    <row r="630">
      <c r="A630" s="404" t="n">
        <v>50</v>
      </c>
      <c r="B630" s="404" t="n">
        <v>0</v>
      </c>
      <c r="C630" s="404" t="n">
        <v>0</v>
      </c>
      <c r="D630" s="404" t="n">
        <v>1</v>
      </c>
      <c r="E630" s="404" t="n">
        <v>216</v>
      </c>
      <c r="F630" s="404">
        <f>ROUND(Source!AP621,O630)</f>
        <v/>
      </c>
      <c r="G630" s="404" t="inlineStr">
        <is>
          <t>Оборуд</t>
        </is>
      </c>
      <c r="H630" s="404" t="inlineStr">
        <is>
          <t>Стоимость оборудования (всего)</t>
        </is>
      </c>
      <c r="I630" s="404" t="n"/>
      <c r="J630" s="404" t="n"/>
      <c r="K630" s="404" t="n">
        <v>216</v>
      </c>
      <c r="L630" s="404" t="n">
        <v>8</v>
      </c>
      <c r="M630" s="404" t="n">
        <v>3</v>
      </c>
      <c r="N630" s="404" t="inlineStr"/>
      <c r="O630" s="404" t="n">
        <v>0</v>
      </c>
      <c r="P630" s="404" t="n"/>
      <c r="Q630" s="404" t="n"/>
      <c r="R630" s="404" t="n"/>
      <c r="S630" s="404" t="n"/>
      <c r="T630" s="404" t="n"/>
      <c r="U630" s="404" t="n"/>
      <c r="V630" s="404" t="n"/>
      <c r="W630" s="404" t="n">
        <v>0</v>
      </c>
      <c r="X630" s="404" t="n">
        <v>1</v>
      </c>
      <c r="Y630" s="404" t="n">
        <v>0</v>
      </c>
      <c r="Z630" s="404" t="n"/>
      <c r="AA630" s="404" t="n"/>
      <c r="AB630" s="404" t="n"/>
    </row>
    <row r="631">
      <c r="A631" s="404" t="n">
        <v>50</v>
      </c>
      <c r="B631" s="404" t="n">
        <v>0</v>
      </c>
      <c r="C631" s="404" t="n">
        <v>0</v>
      </c>
      <c r="D631" s="404" t="n">
        <v>1</v>
      </c>
      <c r="E631" s="404" t="n">
        <v>223</v>
      </c>
      <c r="F631" s="404">
        <f>ROUND(Source!AQ621,O631)</f>
        <v/>
      </c>
      <c r="G631" s="404" t="inlineStr">
        <is>
          <t>ОборудЗак</t>
        </is>
      </c>
      <c r="H631" s="404" t="inlineStr">
        <is>
          <t>Стоимость оборудования заказчика</t>
        </is>
      </c>
      <c r="I631" s="404" t="n"/>
      <c r="J631" s="404" t="n"/>
      <c r="K631" s="404" t="n">
        <v>223</v>
      </c>
      <c r="L631" s="404" t="n">
        <v>9</v>
      </c>
      <c r="M631" s="404" t="n">
        <v>3</v>
      </c>
      <c r="N631" s="404" t="inlineStr"/>
      <c r="O631" s="404" t="n">
        <v>0</v>
      </c>
      <c r="P631" s="404" t="n"/>
      <c r="Q631" s="404" t="n"/>
      <c r="R631" s="404" t="n"/>
      <c r="S631" s="404" t="n"/>
      <c r="T631" s="404" t="n"/>
      <c r="U631" s="404" t="n"/>
      <c r="V631" s="404" t="n"/>
      <c r="W631" s="404" t="n">
        <v>0</v>
      </c>
      <c r="X631" s="404" t="n">
        <v>1</v>
      </c>
      <c r="Y631" s="404" t="n">
        <v>0</v>
      </c>
      <c r="Z631" s="404" t="n"/>
      <c r="AA631" s="404" t="n"/>
      <c r="AB631" s="404" t="n"/>
    </row>
    <row r="632">
      <c r="A632" s="404" t="n">
        <v>50</v>
      </c>
      <c r="B632" s="404" t="n">
        <v>0</v>
      </c>
      <c r="C632" s="404" t="n">
        <v>0</v>
      </c>
      <c r="D632" s="404" t="n">
        <v>1</v>
      </c>
      <c r="E632" s="404" t="n">
        <v>229</v>
      </c>
      <c r="F632" s="404">
        <f>ROUND(Source!AZ621,O632)</f>
        <v/>
      </c>
      <c r="G632" s="404" t="inlineStr">
        <is>
          <t>ОборудПод</t>
        </is>
      </c>
      <c r="H632" s="404" t="inlineStr">
        <is>
          <t>Стоимость оборудования подрядчика</t>
        </is>
      </c>
      <c r="I632" s="404" t="n"/>
      <c r="J632" s="404" t="n"/>
      <c r="K632" s="404" t="n">
        <v>229</v>
      </c>
      <c r="L632" s="404" t="n">
        <v>10</v>
      </c>
      <c r="M632" s="404" t="n">
        <v>3</v>
      </c>
      <c r="N632" s="404" t="inlineStr"/>
      <c r="O632" s="404" t="n">
        <v>0</v>
      </c>
      <c r="P632" s="404" t="n"/>
      <c r="Q632" s="404" t="n"/>
      <c r="R632" s="404" t="n"/>
      <c r="S632" s="404" t="n"/>
      <c r="T632" s="404" t="n"/>
      <c r="U632" s="404" t="n"/>
      <c r="V632" s="404" t="n"/>
      <c r="W632" s="404" t="n">
        <v>0</v>
      </c>
      <c r="X632" s="404" t="n">
        <v>1</v>
      </c>
      <c r="Y632" s="404" t="n">
        <v>0</v>
      </c>
      <c r="Z632" s="404" t="n"/>
      <c r="AA632" s="404" t="n"/>
      <c r="AB632" s="404" t="n"/>
    </row>
    <row r="633">
      <c r="A633" s="404" t="n">
        <v>50</v>
      </c>
      <c r="B633" s="404" t="n">
        <v>0</v>
      </c>
      <c r="C633" s="404" t="n">
        <v>0</v>
      </c>
      <c r="D633" s="404" t="n">
        <v>1</v>
      </c>
      <c r="E633" s="404" t="n">
        <v>203</v>
      </c>
      <c r="F633" s="404">
        <f>ROUND(Source!Q621,O633)</f>
        <v/>
      </c>
      <c r="G633" s="404" t="inlineStr">
        <is>
          <t>ЭММ</t>
        </is>
      </c>
      <c r="H633" s="404" t="inlineStr">
        <is>
          <t>Эксплуатация машин</t>
        </is>
      </c>
      <c r="I633" s="404" t="n"/>
      <c r="J633" s="404" t="n"/>
      <c r="K633" s="404" t="n">
        <v>203</v>
      </c>
      <c r="L633" s="404" t="n">
        <v>11</v>
      </c>
      <c r="M633" s="404" t="n">
        <v>3</v>
      </c>
      <c r="N633" s="404" t="inlineStr"/>
      <c r="O633" s="404" t="n">
        <v>0</v>
      </c>
      <c r="P633" s="404" t="n"/>
      <c r="Q633" s="404" t="n"/>
      <c r="R633" s="404" t="n"/>
      <c r="S633" s="404" t="n"/>
      <c r="T633" s="404" t="n"/>
      <c r="U633" s="404" t="n"/>
      <c r="V633" s="404" t="n"/>
      <c r="W633" s="404" t="n">
        <v>1311</v>
      </c>
      <c r="X633" s="404" t="n">
        <v>1</v>
      </c>
      <c r="Y633" s="404" t="n">
        <v>1311</v>
      </c>
      <c r="Z633" s="404" t="n"/>
      <c r="AA633" s="404" t="n"/>
      <c r="AB633" s="404" t="n"/>
    </row>
    <row r="634">
      <c r="A634" s="404" t="n">
        <v>50</v>
      </c>
      <c r="B634" s="404" t="n">
        <v>0</v>
      </c>
      <c r="C634" s="404" t="n">
        <v>0</v>
      </c>
      <c r="D634" s="404" t="n">
        <v>1</v>
      </c>
      <c r="E634" s="404" t="n">
        <v>231</v>
      </c>
      <c r="F634" s="404">
        <f>ROUND(Source!BB621,O634)</f>
        <v/>
      </c>
      <c r="G634" s="404" t="inlineStr">
        <is>
          <t>ЭММсНРиСП</t>
        </is>
      </c>
      <c r="H634" s="404" t="inlineStr">
        <is>
          <t>Эксплуатация машин по ТСН-2001.16</t>
        </is>
      </c>
      <c r="I634" s="404" t="n"/>
      <c r="J634" s="404" t="n"/>
      <c r="K634" s="404" t="n">
        <v>231</v>
      </c>
      <c r="L634" s="404" t="n">
        <v>12</v>
      </c>
      <c r="M634" s="404" t="n">
        <v>3</v>
      </c>
      <c r="N634" s="404" t="inlineStr"/>
      <c r="O634" s="404" t="n">
        <v>0</v>
      </c>
      <c r="P634" s="404" t="n"/>
      <c r="Q634" s="404" t="n"/>
      <c r="R634" s="404" t="n"/>
      <c r="S634" s="404" t="n"/>
      <c r="T634" s="404" t="n"/>
      <c r="U634" s="404" t="n"/>
      <c r="V634" s="404" t="n"/>
      <c r="W634" s="404" t="n">
        <v>0</v>
      </c>
      <c r="X634" s="404" t="n">
        <v>1</v>
      </c>
      <c r="Y634" s="404" t="n">
        <v>0</v>
      </c>
      <c r="Z634" s="404" t="n"/>
      <c r="AA634" s="404" t="n"/>
      <c r="AB634" s="404" t="n"/>
    </row>
    <row r="635">
      <c r="A635" s="404" t="n">
        <v>50</v>
      </c>
      <c r="B635" s="404" t="n">
        <v>0</v>
      </c>
      <c r="C635" s="404" t="n">
        <v>0</v>
      </c>
      <c r="D635" s="404" t="n">
        <v>1</v>
      </c>
      <c r="E635" s="404" t="n">
        <v>204</v>
      </c>
      <c r="F635" s="404">
        <f>ROUND(Source!R621,O635)</f>
        <v/>
      </c>
      <c r="G635" s="404" t="inlineStr">
        <is>
          <t>ЗПМ</t>
        </is>
      </c>
      <c r="H635" s="404" t="inlineStr">
        <is>
          <t>ЗП машинистов</t>
        </is>
      </c>
      <c r="I635" s="404" t="n"/>
      <c r="J635" s="404" t="n"/>
      <c r="K635" s="404" t="n">
        <v>204</v>
      </c>
      <c r="L635" s="404" t="n">
        <v>13</v>
      </c>
      <c r="M635" s="404" t="n">
        <v>3</v>
      </c>
      <c r="N635" s="404" t="inlineStr"/>
      <c r="O635" s="404" t="n">
        <v>0</v>
      </c>
      <c r="P635" s="404" t="n"/>
      <c r="Q635" s="404" t="n"/>
      <c r="R635" s="404" t="n"/>
      <c r="S635" s="404" t="n"/>
      <c r="T635" s="404" t="n"/>
      <c r="U635" s="404" t="n"/>
      <c r="V635" s="404" t="n"/>
      <c r="W635" s="404" t="n">
        <v>261</v>
      </c>
      <c r="X635" s="404" t="n">
        <v>1</v>
      </c>
      <c r="Y635" s="404" t="n">
        <v>261</v>
      </c>
      <c r="Z635" s="404" t="n"/>
      <c r="AA635" s="404" t="n"/>
      <c r="AB635" s="404" t="n"/>
    </row>
    <row r="636">
      <c r="A636" s="404" t="n">
        <v>50</v>
      </c>
      <c r="B636" s="404" t="n">
        <v>0</v>
      </c>
      <c r="C636" s="404" t="n">
        <v>0</v>
      </c>
      <c r="D636" s="404" t="n">
        <v>1</v>
      </c>
      <c r="E636" s="404" t="n">
        <v>205</v>
      </c>
      <c r="F636" s="404">
        <f>ROUND(Source!S621,O636)</f>
        <v/>
      </c>
      <c r="G636" s="404" t="inlineStr">
        <is>
          <t>ОЗП</t>
        </is>
      </c>
      <c r="H636" s="404" t="inlineStr">
        <is>
          <t>Основная ЗП рабочих</t>
        </is>
      </c>
      <c r="I636" s="404" t="n"/>
      <c r="J636" s="404" t="n"/>
      <c r="K636" s="404" t="n">
        <v>205</v>
      </c>
      <c r="L636" s="404" t="n">
        <v>14</v>
      </c>
      <c r="M636" s="404" t="n">
        <v>3</v>
      </c>
      <c r="N636" s="404" t="inlineStr"/>
      <c r="O636" s="404" t="n">
        <v>0</v>
      </c>
      <c r="P636" s="404" t="n"/>
      <c r="Q636" s="404" t="n"/>
      <c r="R636" s="404" t="n"/>
      <c r="S636" s="404" t="n"/>
      <c r="T636" s="404" t="n"/>
      <c r="U636" s="404" t="n"/>
      <c r="V636" s="404" t="n"/>
      <c r="W636" s="404" t="n">
        <v>26327</v>
      </c>
      <c r="X636" s="404" t="n">
        <v>1</v>
      </c>
      <c r="Y636" s="404" t="n">
        <v>26327</v>
      </c>
      <c r="Z636" s="404" t="n"/>
      <c r="AA636" s="404" t="n"/>
      <c r="AB636" s="404" t="n"/>
    </row>
    <row r="637">
      <c r="A637" s="404" t="n">
        <v>50</v>
      </c>
      <c r="B637" s="404" t="n">
        <v>0</v>
      </c>
      <c r="C637" s="404" t="n">
        <v>0</v>
      </c>
      <c r="D637" s="404" t="n">
        <v>1</v>
      </c>
      <c r="E637" s="404" t="n">
        <v>232</v>
      </c>
      <c r="F637" s="404">
        <f>ROUND(Source!BC621,O637)</f>
        <v/>
      </c>
      <c r="G637" s="404" t="inlineStr">
        <is>
          <t>ОЗПсНРиСП</t>
        </is>
      </c>
      <c r="H637" s="404" t="inlineStr">
        <is>
          <t>Основная ЗП рабочих по ТСН-2001.16</t>
        </is>
      </c>
      <c r="I637" s="404" t="n"/>
      <c r="J637" s="404" t="n"/>
      <c r="K637" s="404" t="n">
        <v>232</v>
      </c>
      <c r="L637" s="404" t="n">
        <v>15</v>
      </c>
      <c r="M637" s="404" t="n">
        <v>3</v>
      </c>
      <c r="N637" s="404" t="inlineStr"/>
      <c r="O637" s="404" t="n">
        <v>0</v>
      </c>
      <c r="P637" s="404" t="n"/>
      <c r="Q637" s="404" t="n"/>
      <c r="R637" s="404" t="n"/>
      <c r="S637" s="404" t="n"/>
      <c r="T637" s="404" t="n"/>
      <c r="U637" s="404" t="n"/>
      <c r="V637" s="404" t="n"/>
      <c r="W637" s="404" t="n">
        <v>0</v>
      </c>
      <c r="X637" s="404" t="n">
        <v>1</v>
      </c>
      <c r="Y637" s="404" t="n">
        <v>0</v>
      </c>
      <c r="Z637" s="404" t="n"/>
      <c r="AA637" s="404" t="n"/>
      <c r="AB637" s="404" t="n"/>
    </row>
    <row r="638">
      <c r="A638" s="404" t="n">
        <v>50</v>
      </c>
      <c r="B638" s="404" t="n">
        <v>0</v>
      </c>
      <c r="C638" s="404" t="n">
        <v>0</v>
      </c>
      <c r="D638" s="404" t="n">
        <v>1</v>
      </c>
      <c r="E638" s="404" t="n">
        <v>214</v>
      </c>
      <c r="F638" s="404">
        <f>ROUND(Source!AS621,O638)</f>
        <v/>
      </c>
      <c r="G638" s="404" t="inlineStr">
        <is>
          <t>Строит</t>
        </is>
      </c>
      <c r="H638" s="404" t="inlineStr">
        <is>
          <t>Строительные работы с НР и СП</t>
        </is>
      </c>
      <c r="I638" s="404" t="n"/>
      <c r="J638" s="404" t="n"/>
      <c r="K638" s="404" t="n">
        <v>214</v>
      </c>
      <c r="L638" s="404" t="n">
        <v>16</v>
      </c>
      <c r="M638" s="404" t="n">
        <v>3</v>
      </c>
      <c r="N638" s="404" t="inlineStr"/>
      <c r="O638" s="404" t="n">
        <v>0</v>
      </c>
      <c r="P638" s="404" t="n"/>
      <c r="Q638" s="404" t="n"/>
      <c r="R638" s="404" t="n"/>
      <c r="S638" s="404" t="n"/>
      <c r="T638" s="404" t="n"/>
      <c r="U638" s="404" t="n"/>
      <c r="V638" s="404" t="n"/>
      <c r="W638" s="404" t="n">
        <v>77664</v>
      </c>
      <c r="X638" s="404" t="n">
        <v>1</v>
      </c>
      <c r="Y638" s="404" t="n">
        <v>77664</v>
      </c>
      <c r="Z638" s="404" t="n"/>
      <c r="AA638" s="404" t="n"/>
      <c r="AB638" s="404" t="n"/>
    </row>
    <row r="639">
      <c r="A639" s="404" t="n">
        <v>50</v>
      </c>
      <c r="B639" s="404" t="n">
        <v>0</v>
      </c>
      <c r="C639" s="404" t="n">
        <v>0</v>
      </c>
      <c r="D639" s="404" t="n">
        <v>1</v>
      </c>
      <c r="E639" s="404" t="n">
        <v>215</v>
      </c>
      <c r="F639" s="404">
        <f>ROUND(Source!AT621,O639)</f>
        <v/>
      </c>
      <c r="G639" s="404" t="inlineStr">
        <is>
          <t>Монтаж</t>
        </is>
      </c>
      <c r="H639" s="404" t="inlineStr">
        <is>
          <t>Монтажные работы с НР и СП</t>
        </is>
      </c>
      <c r="I639" s="404" t="n"/>
      <c r="J639" s="404" t="n"/>
      <c r="K639" s="404" t="n">
        <v>215</v>
      </c>
      <c r="L639" s="404" t="n">
        <v>17</v>
      </c>
      <c r="M639" s="404" t="n">
        <v>3</v>
      </c>
      <c r="N639" s="404" t="inlineStr"/>
      <c r="O639" s="404" t="n">
        <v>0</v>
      </c>
      <c r="P639" s="404" t="n"/>
      <c r="Q639" s="404" t="n"/>
      <c r="R639" s="404" t="n"/>
      <c r="S639" s="404" t="n"/>
      <c r="T639" s="404" t="n"/>
      <c r="U639" s="404" t="n"/>
      <c r="V639" s="404" t="n"/>
      <c r="W639" s="404" t="n">
        <v>0</v>
      </c>
      <c r="X639" s="404" t="n">
        <v>1</v>
      </c>
      <c r="Y639" s="404" t="n">
        <v>0</v>
      </c>
      <c r="Z639" s="404" t="n"/>
      <c r="AA639" s="404" t="n"/>
      <c r="AB639" s="404" t="n"/>
    </row>
    <row r="640">
      <c r="A640" s="404" t="n">
        <v>50</v>
      </c>
      <c r="B640" s="404" t="n">
        <v>0</v>
      </c>
      <c r="C640" s="404" t="n">
        <v>0</v>
      </c>
      <c r="D640" s="404" t="n">
        <v>1</v>
      </c>
      <c r="E640" s="404" t="n">
        <v>217</v>
      </c>
      <c r="F640" s="404">
        <f>ROUND(Source!AU621,O640)</f>
        <v/>
      </c>
      <c r="G640" s="404" t="inlineStr">
        <is>
          <t>Прочие</t>
        </is>
      </c>
      <c r="H640" s="404" t="inlineStr">
        <is>
          <t>Прочие работы с НР и СП</t>
        </is>
      </c>
      <c r="I640" s="404" t="n"/>
      <c r="J640" s="404" t="n"/>
      <c r="K640" s="404" t="n">
        <v>217</v>
      </c>
      <c r="L640" s="404" t="n">
        <v>18</v>
      </c>
      <c r="M640" s="404" t="n">
        <v>3</v>
      </c>
      <c r="N640" s="404" t="inlineStr"/>
      <c r="O640" s="404" t="n">
        <v>0</v>
      </c>
      <c r="P640" s="404" t="n"/>
      <c r="Q640" s="404" t="n"/>
      <c r="R640" s="404" t="n"/>
      <c r="S640" s="404" t="n"/>
      <c r="T640" s="404" t="n"/>
      <c r="U640" s="404" t="n"/>
      <c r="V640" s="404" t="n"/>
      <c r="W640" s="404" t="n">
        <v>0</v>
      </c>
      <c r="X640" s="404" t="n">
        <v>1</v>
      </c>
      <c r="Y640" s="404" t="n">
        <v>0</v>
      </c>
      <c r="Z640" s="404" t="n"/>
      <c r="AA640" s="404" t="n"/>
      <c r="AB640" s="404" t="n"/>
    </row>
    <row r="641">
      <c r="A641" s="404" t="n">
        <v>50</v>
      </c>
      <c r="B641" s="404" t="n">
        <v>0</v>
      </c>
      <c r="C641" s="404" t="n">
        <v>0</v>
      </c>
      <c r="D641" s="404" t="n">
        <v>1</v>
      </c>
      <c r="E641" s="404" t="n">
        <v>230</v>
      </c>
      <c r="F641" s="404">
        <f>ROUND(Source!BA621,O641)</f>
        <v/>
      </c>
      <c r="G641" s="404" t="inlineStr">
        <is>
          <t>ПрочиеЗатр</t>
        </is>
      </c>
      <c r="H641" s="404" t="inlineStr">
        <is>
          <t>Прочие затраты по ТСН-2001.16</t>
        </is>
      </c>
      <c r="I641" s="404" t="n"/>
      <c r="J641" s="404" t="n"/>
      <c r="K641" s="404" t="n">
        <v>230</v>
      </c>
      <c r="L641" s="404" t="n">
        <v>19</v>
      </c>
      <c r="M641" s="404" t="n">
        <v>3</v>
      </c>
      <c r="N641" s="404" t="inlineStr"/>
      <c r="O641" s="404" t="n">
        <v>0</v>
      </c>
      <c r="P641" s="404" t="n"/>
      <c r="Q641" s="404" t="n"/>
      <c r="R641" s="404" t="n"/>
      <c r="S641" s="404" t="n"/>
      <c r="T641" s="404" t="n"/>
      <c r="U641" s="404" t="n"/>
      <c r="V641" s="404" t="n"/>
      <c r="W641" s="404" t="n">
        <v>0</v>
      </c>
      <c r="X641" s="404" t="n">
        <v>1</v>
      </c>
      <c r="Y641" s="404" t="n">
        <v>0</v>
      </c>
      <c r="Z641" s="404" t="n"/>
      <c r="AA641" s="404" t="n"/>
      <c r="AB641" s="404" t="n"/>
    </row>
    <row r="642">
      <c r="A642" s="404" t="n">
        <v>50</v>
      </c>
      <c r="B642" s="404" t="n">
        <v>0</v>
      </c>
      <c r="C642" s="404" t="n">
        <v>0</v>
      </c>
      <c r="D642" s="404" t="n">
        <v>1</v>
      </c>
      <c r="E642" s="404" t="n">
        <v>206</v>
      </c>
      <c r="F642" s="404">
        <f>ROUND(Source!T621,O642)</f>
        <v/>
      </c>
      <c r="G642" s="404" t="inlineStr">
        <is>
          <t>ВозврМат</t>
        </is>
      </c>
      <c r="H642" s="404" t="inlineStr">
        <is>
          <t>Возврат материалов</t>
        </is>
      </c>
      <c r="I642" s="404" t="n"/>
      <c r="J642" s="404" t="n"/>
      <c r="K642" s="404" t="n">
        <v>206</v>
      </c>
      <c r="L642" s="404" t="n">
        <v>20</v>
      </c>
      <c r="M642" s="404" t="n">
        <v>3</v>
      </c>
      <c r="N642" s="404" t="inlineStr"/>
      <c r="O642" s="404" t="n">
        <v>0</v>
      </c>
      <c r="P642" s="404" t="n"/>
      <c r="Q642" s="404" t="n"/>
      <c r="R642" s="404" t="n"/>
      <c r="S642" s="404" t="n"/>
      <c r="T642" s="404" t="n"/>
      <c r="U642" s="404" t="n"/>
      <c r="V642" s="404" t="n"/>
      <c r="W642" s="404" t="n">
        <v>0</v>
      </c>
      <c r="X642" s="404" t="n">
        <v>1</v>
      </c>
      <c r="Y642" s="404" t="n">
        <v>0</v>
      </c>
      <c r="Z642" s="404" t="n"/>
      <c r="AA642" s="404" t="n"/>
      <c r="AB642" s="404" t="n"/>
    </row>
    <row r="643">
      <c r="A643" s="404" t="n">
        <v>50</v>
      </c>
      <c r="B643" s="404" t="n">
        <v>0</v>
      </c>
      <c r="C643" s="404" t="n">
        <v>0</v>
      </c>
      <c r="D643" s="404" t="n">
        <v>1</v>
      </c>
      <c r="E643" s="404" t="n">
        <v>207</v>
      </c>
      <c r="F643" s="404">
        <f>ROUND(Source!U621,O643)</f>
        <v/>
      </c>
      <c r="G643" s="404" t="inlineStr">
        <is>
          <t>ТрудСтр</t>
        </is>
      </c>
      <c r="H643" s="404" t="inlineStr">
        <is>
          <t>Трудозатраты строителей</t>
        </is>
      </c>
      <c r="I643" s="404" t="n"/>
      <c r="J643" s="404" t="n"/>
      <c r="K643" s="404" t="n">
        <v>207</v>
      </c>
      <c r="L643" s="404" t="n">
        <v>21</v>
      </c>
      <c r="M643" s="404" t="n">
        <v>3</v>
      </c>
      <c r="N643" s="404" t="inlineStr"/>
      <c r="O643" s="404" t="n">
        <v>7</v>
      </c>
      <c r="P643" s="404" t="n"/>
      <c r="Q643" s="404" t="n"/>
      <c r="R643" s="404" t="n"/>
      <c r="S643" s="404" t="n"/>
      <c r="T643" s="404" t="n"/>
      <c r="U643" s="404" t="n"/>
      <c r="V643" s="404" t="n"/>
      <c r="W643" s="404" t="n">
        <v>52.936</v>
      </c>
      <c r="X643" s="404" t="n">
        <v>1</v>
      </c>
      <c r="Y643" s="404" t="n">
        <v>52.936</v>
      </c>
      <c r="Z643" s="404" t="n"/>
      <c r="AA643" s="404" t="n"/>
      <c r="AB643" s="404" t="n"/>
    </row>
    <row r="644">
      <c r="A644" s="404" t="n">
        <v>50</v>
      </c>
      <c r="B644" s="404" t="n">
        <v>0</v>
      </c>
      <c r="C644" s="404" t="n">
        <v>0</v>
      </c>
      <c r="D644" s="404" t="n">
        <v>1</v>
      </c>
      <c r="E644" s="404" t="n">
        <v>208</v>
      </c>
      <c r="F644" s="404">
        <f>ROUND(Source!V621,O644)</f>
        <v/>
      </c>
      <c r="G644" s="404" t="inlineStr">
        <is>
          <t>ТрудМаш</t>
        </is>
      </c>
      <c r="H644" s="404" t="inlineStr">
        <is>
          <t>Трудозатраты машинистов</t>
        </is>
      </c>
      <c r="I644" s="404" t="n"/>
      <c r="J644" s="404" t="n"/>
      <c r="K644" s="404" t="n">
        <v>208</v>
      </c>
      <c r="L644" s="404" t="n">
        <v>22</v>
      </c>
      <c r="M644" s="404" t="n">
        <v>3</v>
      </c>
      <c r="N644" s="404" t="inlineStr"/>
      <c r="O644" s="404" t="n">
        <v>7</v>
      </c>
      <c r="P644" s="404" t="n"/>
      <c r="Q644" s="404" t="n"/>
      <c r="R644" s="404" t="n"/>
      <c r="S644" s="404" t="n"/>
      <c r="T644" s="404" t="n"/>
      <c r="U644" s="404" t="n"/>
      <c r="V644" s="404" t="n"/>
      <c r="W644" s="404" t="n">
        <v>0.3787</v>
      </c>
      <c r="X644" s="404" t="n">
        <v>1</v>
      </c>
      <c r="Y644" s="404" t="n">
        <v>0.3787</v>
      </c>
      <c r="Z644" s="404" t="n"/>
      <c r="AA644" s="404" t="n"/>
      <c r="AB644" s="404" t="n"/>
    </row>
    <row r="645">
      <c r="A645" s="404" t="n">
        <v>50</v>
      </c>
      <c r="B645" s="404" t="n">
        <v>0</v>
      </c>
      <c r="C645" s="404" t="n">
        <v>0</v>
      </c>
      <c r="D645" s="404" t="n">
        <v>1</v>
      </c>
      <c r="E645" s="404" t="n">
        <v>209</v>
      </c>
      <c r="F645" s="404">
        <f>ROUND(Source!W621,O645)</f>
        <v/>
      </c>
      <c r="G645" s="404" t="inlineStr">
        <is>
          <t>ТранспМат</t>
        </is>
      </c>
      <c r="H645" s="404" t="inlineStr">
        <is>
          <t>Транспорт материалов</t>
        </is>
      </c>
      <c r="I645" s="404" t="n"/>
      <c r="J645" s="404" t="n"/>
      <c r="K645" s="404" t="n">
        <v>209</v>
      </c>
      <c r="L645" s="404" t="n">
        <v>23</v>
      </c>
      <c r="M645" s="404" t="n">
        <v>3</v>
      </c>
      <c r="N645" s="404" t="inlineStr"/>
      <c r="O645" s="404" t="n">
        <v>0</v>
      </c>
      <c r="P645" s="404" t="n"/>
      <c r="Q645" s="404" t="n"/>
      <c r="R645" s="404" t="n"/>
      <c r="S645" s="404" t="n"/>
      <c r="T645" s="404" t="n"/>
      <c r="U645" s="404" t="n"/>
      <c r="V645" s="404" t="n"/>
      <c r="W645" s="404" t="n">
        <v>0</v>
      </c>
      <c r="X645" s="404" t="n">
        <v>1</v>
      </c>
      <c r="Y645" s="404" t="n">
        <v>0</v>
      </c>
      <c r="Z645" s="404" t="n"/>
      <c r="AA645" s="404" t="n"/>
      <c r="AB645" s="404" t="n"/>
    </row>
    <row r="646">
      <c r="A646" s="404" t="n">
        <v>50</v>
      </c>
      <c r="B646" s="404" t="n">
        <v>0</v>
      </c>
      <c r="C646" s="404" t="n">
        <v>0</v>
      </c>
      <c r="D646" s="404" t="n">
        <v>1</v>
      </c>
      <c r="E646" s="404" t="n">
        <v>233</v>
      </c>
      <c r="F646" s="404">
        <f>ROUND(Source!BD621,O646)</f>
        <v/>
      </c>
      <c r="G646" s="404" t="inlineStr">
        <is>
          <t>Перевозка</t>
        </is>
      </c>
      <c r="H646" s="404" t="inlineStr">
        <is>
          <t>Перевозка грузов</t>
        </is>
      </c>
      <c r="I646" s="404" t="n"/>
      <c r="J646" s="404" t="n"/>
      <c r="K646" s="404" t="n">
        <v>233</v>
      </c>
      <c r="L646" s="404" t="n">
        <v>24</v>
      </c>
      <c r="M646" s="404" t="n">
        <v>3</v>
      </c>
      <c r="N646" s="404" t="inlineStr"/>
      <c r="O646" s="404" t="n">
        <v>0</v>
      </c>
      <c r="P646" s="404" t="n"/>
      <c r="Q646" s="404" t="n"/>
      <c r="R646" s="404" t="n"/>
      <c r="S646" s="404" t="n"/>
      <c r="T646" s="404" t="n"/>
      <c r="U646" s="404" t="n"/>
      <c r="V646" s="404" t="n"/>
      <c r="W646" s="404" t="n">
        <v>0</v>
      </c>
      <c r="X646" s="404" t="n">
        <v>1</v>
      </c>
      <c r="Y646" s="404" t="n">
        <v>0</v>
      </c>
      <c r="Z646" s="404" t="n"/>
      <c r="AA646" s="404" t="n"/>
      <c r="AB646" s="404" t="n"/>
    </row>
    <row r="647">
      <c r="A647" s="404" t="n">
        <v>50</v>
      </c>
      <c r="B647" s="404" t="n">
        <v>0</v>
      </c>
      <c r="C647" s="404" t="n">
        <v>0</v>
      </c>
      <c r="D647" s="404" t="n">
        <v>1</v>
      </c>
      <c r="E647" s="404" t="n">
        <v>210</v>
      </c>
      <c r="F647" s="404">
        <f>ROUND(Source!X621,O647)</f>
        <v/>
      </c>
      <c r="G647" s="404" t="inlineStr">
        <is>
          <t>НР</t>
        </is>
      </c>
      <c r="H647" s="404" t="inlineStr">
        <is>
          <t>Накладные расходы</t>
        </is>
      </c>
      <c r="I647" s="404" t="n"/>
      <c r="J647" s="404" t="n"/>
      <c r="K647" s="404" t="n">
        <v>210</v>
      </c>
      <c r="L647" s="404" t="n">
        <v>25</v>
      </c>
      <c r="M647" s="404" t="n">
        <v>3</v>
      </c>
      <c r="N647" s="404" t="inlineStr"/>
      <c r="O647" s="404" t="n">
        <v>0</v>
      </c>
      <c r="P647" s="404" t="n"/>
      <c r="Q647" s="404" t="n"/>
      <c r="R647" s="404" t="n"/>
      <c r="S647" s="404" t="n"/>
      <c r="T647" s="404" t="n"/>
      <c r="U647" s="404" t="n"/>
      <c r="V647" s="404" t="n"/>
      <c r="W647" s="404" t="n">
        <v>29758</v>
      </c>
      <c r="X647" s="404" t="n">
        <v>1</v>
      </c>
      <c r="Y647" s="404" t="n">
        <v>29758</v>
      </c>
      <c r="Z647" s="404" t="n"/>
      <c r="AA647" s="404" t="n"/>
      <c r="AB647" s="404" t="n"/>
    </row>
    <row r="648">
      <c r="A648" s="404" t="n">
        <v>50</v>
      </c>
      <c r="B648" s="404" t="n">
        <v>0</v>
      </c>
      <c r="C648" s="404" t="n">
        <v>0</v>
      </c>
      <c r="D648" s="404" t="n">
        <v>1</v>
      </c>
      <c r="E648" s="404" t="n">
        <v>211</v>
      </c>
      <c r="F648" s="404">
        <f>ROUND(Source!Y621,O648)</f>
        <v/>
      </c>
      <c r="G648" s="404" t="inlineStr">
        <is>
          <t>СмПриб</t>
        </is>
      </c>
      <c r="H648" s="404" t="inlineStr">
        <is>
          <t>Сметная прибыль</t>
        </is>
      </c>
      <c r="I648" s="404" t="n"/>
      <c r="J648" s="404" t="n"/>
      <c r="K648" s="404" t="n">
        <v>211</v>
      </c>
      <c r="L648" s="404" t="n">
        <v>26</v>
      </c>
      <c r="M648" s="404" t="n">
        <v>3</v>
      </c>
      <c r="N648" s="404" t="inlineStr"/>
      <c r="O648" s="404" t="n">
        <v>0</v>
      </c>
      <c r="P648" s="404" t="n"/>
      <c r="Q648" s="404" t="n"/>
      <c r="R648" s="404" t="n"/>
      <c r="S648" s="404" t="n"/>
      <c r="T648" s="404" t="n"/>
      <c r="U648" s="404" t="n"/>
      <c r="V648" s="404" t="n"/>
      <c r="W648" s="404" t="n">
        <v>16605</v>
      </c>
      <c r="X648" s="404" t="n">
        <v>1</v>
      </c>
      <c r="Y648" s="404" t="n">
        <v>16605</v>
      </c>
      <c r="Z648" s="404" t="n"/>
      <c r="AA648" s="404" t="n"/>
      <c r="AB648" s="404" t="n"/>
    </row>
    <row r="649">
      <c r="A649" s="404" t="n">
        <v>50</v>
      </c>
      <c r="B649" s="404" t="n">
        <v>0</v>
      </c>
      <c r="C649" s="404" t="n">
        <v>0</v>
      </c>
      <c r="D649" s="404" t="n">
        <v>1</v>
      </c>
      <c r="E649" s="404" t="n">
        <v>224</v>
      </c>
      <c r="F649" s="404">
        <f>ROUND(Source!AR621,O649)</f>
        <v/>
      </c>
      <c r="G649" s="404" t="inlineStr">
        <is>
          <t>Всего</t>
        </is>
      </c>
      <c r="H649" s="404" t="inlineStr">
        <is>
          <t>Всего с НР и СП</t>
        </is>
      </c>
      <c r="I649" s="404" t="n"/>
      <c r="J649" s="404" t="n"/>
      <c r="K649" s="404" t="n">
        <v>224</v>
      </c>
      <c r="L649" s="404" t="n">
        <v>27</v>
      </c>
      <c r="M649" s="404" t="n">
        <v>3</v>
      </c>
      <c r="N649" s="404" t="inlineStr"/>
      <c r="O649" s="404" t="n">
        <v>0</v>
      </c>
      <c r="P649" s="404" t="n"/>
      <c r="Q649" s="404" t="n"/>
      <c r="R649" s="404" t="n"/>
      <c r="S649" s="404" t="n"/>
      <c r="T649" s="404" t="n"/>
      <c r="U649" s="404" t="n"/>
      <c r="V649" s="404" t="n"/>
      <c r="W649" s="404" t="n">
        <v>77664</v>
      </c>
      <c r="X649" s="404" t="n">
        <v>1</v>
      </c>
      <c r="Y649" s="404" t="n">
        <v>77664</v>
      </c>
      <c r="Z649" s="404" t="n"/>
      <c r="AA649" s="404" t="n"/>
      <c r="AB649" s="404" t="n"/>
    </row>
    <row r="650">
      <c r="A650" s="404" t="n">
        <v>50</v>
      </c>
      <c r="B650" s="404" t="n">
        <v>1</v>
      </c>
      <c r="C650" s="404" t="n">
        <v>0</v>
      </c>
      <c r="D650" s="404" t="n">
        <v>2</v>
      </c>
      <c r="E650" s="404" t="n">
        <v>0</v>
      </c>
      <c r="F650" s="404">
        <f>ROUND(F649,O650)</f>
        <v/>
      </c>
      <c r="G650" s="404" t="inlineStr">
        <is>
          <t>и1</t>
        </is>
      </c>
      <c r="H650" s="404" t="inlineStr">
        <is>
          <t>Итого</t>
        </is>
      </c>
      <c r="I650" s="404" t="n"/>
      <c r="J650" s="404" t="n"/>
      <c r="K650" s="404" t="n">
        <v>212</v>
      </c>
      <c r="L650" s="404" t="n">
        <v>28</v>
      </c>
      <c r="M650" s="404" t="n">
        <v>0</v>
      </c>
      <c r="N650" s="404" t="inlineStr"/>
      <c r="O650" s="404" t="n">
        <v>0</v>
      </c>
      <c r="P650" s="404" t="n"/>
      <c r="Q650" s="404" t="n"/>
      <c r="R650" s="404" t="n"/>
      <c r="S650" s="404" t="n"/>
      <c r="T650" s="404" t="n"/>
      <c r="U650" s="404" t="n"/>
      <c r="V650" s="404" t="n"/>
      <c r="W650" s="404" t="n">
        <v>77664</v>
      </c>
      <c r="X650" s="404" t="n">
        <v>1</v>
      </c>
      <c r="Y650" s="404" t="n">
        <v>77664</v>
      </c>
      <c r="Z650" s="404" t="n"/>
      <c r="AA650" s="404" t="n"/>
      <c r="AB650" s="404" t="n"/>
    </row>
    <row r="651">
      <c r="A651" s="404" t="n">
        <v>50</v>
      </c>
      <c r="B651" s="404" t="n">
        <v>1</v>
      </c>
      <c r="C651" s="404" t="n">
        <v>0</v>
      </c>
      <c r="D651" s="404" t="n">
        <v>2</v>
      </c>
      <c r="E651" s="404" t="n">
        <v>0</v>
      </c>
      <c r="F651" s="404">
        <f>ROUND(F650*0.22,O651)</f>
        <v/>
      </c>
      <c r="G651" s="404" t="inlineStr">
        <is>
          <t>и2</t>
        </is>
      </c>
      <c r="H651" s="404" t="inlineStr">
        <is>
          <t>НДС 22%</t>
        </is>
      </c>
      <c r="I651" s="404" t="n"/>
      <c r="J651" s="404" t="n"/>
      <c r="K651" s="404" t="n">
        <v>212</v>
      </c>
      <c r="L651" s="404" t="n">
        <v>29</v>
      </c>
      <c r="M651" s="404" t="n">
        <v>0</v>
      </c>
      <c r="N651" s="404" t="inlineStr"/>
      <c r="O651" s="404" t="n">
        <v>0</v>
      </c>
      <c r="P651" s="404" t="n"/>
      <c r="Q651" s="404" t="n"/>
      <c r="R651" s="404" t="n"/>
      <c r="S651" s="404" t="n"/>
      <c r="T651" s="404" t="n"/>
      <c r="U651" s="404" t="n"/>
      <c r="V651" s="404" t="n"/>
      <c r="W651" s="404" t="n">
        <v>17086</v>
      </c>
      <c r="X651" s="404" t="n">
        <v>1</v>
      </c>
      <c r="Y651" s="404" t="n">
        <v>17086</v>
      </c>
      <c r="Z651" s="404" t="n"/>
      <c r="AA651" s="404" t="n"/>
      <c r="AB651" s="404" t="n"/>
    </row>
    <row r="652">
      <c r="A652" s="404" t="n">
        <v>50</v>
      </c>
      <c r="B652" s="404" t="n">
        <v>1</v>
      </c>
      <c r="C652" s="404" t="n">
        <v>0</v>
      </c>
      <c r="D652" s="404" t="n">
        <v>2</v>
      </c>
      <c r="E652" s="404" t="n">
        <v>213</v>
      </c>
      <c r="F652" s="404">
        <f>ROUND(F650+F651,O652)</f>
        <v/>
      </c>
      <c r="G652" s="404" t="inlineStr">
        <is>
          <t>и3</t>
        </is>
      </c>
      <c r="H652" s="404" t="inlineStr">
        <is>
          <t>Всего</t>
        </is>
      </c>
      <c r="I652" s="404" t="n"/>
      <c r="J652" s="404" t="n"/>
      <c r="K652" s="404" t="n">
        <v>212</v>
      </c>
      <c r="L652" s="404" t="n">
        <v>30</v>
      </c>
      <c r="M652" s="404" t="n">
        <v>0</v>
      </c>
      <c r="N652" s="404" t="inlineStr"/>
      <c r="O652" s="404" t="n">
        <v>0</v>
      </c>
      <c r="P652" s="404" t="n"/>
      <c r="Q652" s="404" t="n"/>
      <c r="R652" s="404" t="n"/>
      <c r="S652" s="404" t="n"/>
      <c r="T652" s="404" t="n"/>
      <c r="U652" s="404" t="n"/>
      <c r="V652" s="404" t="n"/>
      <c r="W652" s="404" t="n">
        <v>94750</v>
      </c>
      <c r="X652" s="404" t="n">
        <v>1</v>
      </c>
      <c r="Y652" s="404" t="n">
        <v>94750</v>
      </c>
      <c r="Z652" s="404" t="n"/>
      <c r="AA652" s="404" t="n"/>
      <c r="AB652" s="404" t="n"/>
    </row>
    <row r="653"/>
    <row r="654">
      <c r="A654" s="401" t="n">
        <v>3</v>
      </c>
      <c r="B654" s="401" t="n">
        <v>0</v>
      </c>
      <c r="C654" s="401" t="n"/>
      <c r="D654" s="401">
        <f>ROW(A675)</f>
        <v/>
      </c>
      <c r="E654" s="401" t="n"/>
      <c r="F654" s="401" t="inlineStr">
        <is>
          <t>Новая локальная смета</t>
        </is>
      </c>
      <c r="G654" s="401" t="inlineStr">
        <is>
          <t>Молодежная 9</t>
        </is>
      </c>
      <c r="H654" s="401" t="inlineStr"/>
      <c r="I654" s="401" t="n">
        <v>0</v>
      </c>
      <c r="J654" s="401" t="inlineStr"/>
      <c r="K654" s="401" t="n">
        <v>0</v>
      </c>
      <c r="L654" s="401" t="inlineStr">
        <is>
          <t>Новая локальная смета</t>
        </is>
      </c>
      <c r="M654" s="401" t="inlineStr"/>
      <c r="N654" s="401" t="n"/>
      <c r="O654" s="401" t="n"/>
      <c r="P654" s="401" t="n"/>
      <c r="Q654" s="401" t="n"/>
      <c r="R654" s="401" t="n"/>
      <c r="S654" s="401" t="n">
        <v>0</v>
      </c>
      <c r="T654" s="401" t="n"/>
      <c r="U654" s="401" t="inlineStr"/>
      <c r="V654" s="401" t="n">
        <v>0</v>
      </c>
      <c r="W654" s="401" t="n"/>
      <c r="X654" s="401" t="n"/>
      <c r="Y654" s="401" t="n"/>
      <c r="Z654" s="401" t="n"/>
      <c r="AA654" s="401" t="n"/>
      <c r="AB654" s="401" t="inlineStr"/>
      <c r="AC654" s="401" t="inlineStr"/>
      <c r="AD654" s="401" t="inlineStr"/>
      <c r="AE654" s="401" t="inlineStr"/>
      <c r="AF654" s="401" t="inlineStr"/>
      <c r="AG654" s="401" t="inlineStr"/>
      <c r="AH654" s="401" t="n"/>
      <c r="AI654" s="401" t="n"/>
      <c r="AJ654" s="401" t="n"/>
      <c r="AK654" s="401" t="n"/>
      <c r="AL654" s="401" t="n"/>
      <c r="AM654" s="401" t="n"/>
      <c r="AN654" s="401" t="n"/>
      <c r="AO654" s="401" t="n"/>
      <c r="AP654" s="401" t="inlineStr"/>
      <c r="AQ654" s="401" t="inlineStr"/>
      <c r="AR654" s="401" t="inlineStr"/>
      <c r="AS654" s="401" t="n"/>
      <c r="AT654" s="401" t="n"/>
      <c r="AU654" s="401" t="n"/>
      <c r="AV654" s="401" t="n"/>
      <c r="AW654" s="401" t="n"/>
      <c r="AX654" s="401" t="n"/>
      <c r="AY654" s="401" t="n"/>
      <c r="AZ654" s="401" t="inlineStr"/>
      <c r="BA654" s="401" t="n"/>
      <c r="BB654" s="401" t="inlineStr"/>
      <c r="BC654" s="401" t="inlineStr"/>
      <c r="BD654" s="401" t="inlineStr"/>
      <c r="BE654" s="401" t="inlineStr"/>
      <c r="BF654" s="401" t="inlineStr"/>
      <c r="BG654" s="401" t="inlineStr"/>
      <c r="BH654" s="401" t="inlineStr"/>
      <c r="BI654" s="401" t="inlineStr"/>
      <c r="BJ654" s="401" t="inlineStr"/>
      <c r="BK654" s="401" t="inlineStr"/>
      <c r="BL654" s="401" t="inlineStr"/>
      <c r="BM654" s="401" t="inlineStr"/>
      <c r="BN654" s="401" t="inlineStr"/>
      <c r="BO654" s="401" t="inlineStr"/>
      <c r="BP654" s="401" t="inlineStr"/>
      <c r="BQ654" s="401" t="n"/>
      <c r="BR654" s="401" t="n"/>
      <c r="BS654" s="401" t="n"/>
      <c r="BT654" s="401" t="n"/>
      <c r="BU654" s="401" t="n"/>
      <c r="BV654" s="401" t="n"/>
      <c r="BW654" s="401" t="n"/>
      <c r="BX654" s="401" t="n">
        <v>0</v>
      </c>
      <c r="BY654" s="401" t="n"/>
      <c r="BZ654" s="401" t="n"/>
      <c r="CA654" s="401" t="n"/>
      <c r="CB654" s="401" t="n"/>
      <c r="CC654" s="401" t="n"/>
      <c r="CD654" s="401" t="n"/>
      <c r="CE654" s="401" t="n"/>
      <c r="CF654" s="401" t="n">
        <v>0</v>
      </c>
      <c r="CG654" s="401" t="n">
        <v>0</v>
      </c>
      <c r="CH654" s="401" t="n"/>
      <c r="CI654" s="401" t="inlineStr"/>
      <c r="CJ654" s="401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402" t="n">
        <v>52</v>
      </c>
      <c r="B656" s="402">
        <f>B675</f>
        <v/>
      </c>
      <c r="C656" s="402">
        <f>C675</f>
        <v/>
      </c>
      <c r="D656" s="402">
        <f>D675</f>
        <v/>
      </c>
      <c r="E656" s="402">
        <f>E675</f>
        <v/>
      </c>
      <c r="F656" s="402">
        <f>F675</f>
        <v/>
      </c>
      <c r="G656" s="402">
        <f>G675</f>
        <v/>
      </c>
      <c r="H656" s="402" t="n"/>
      <c r="I656" s="402" t="n"/>
      <c r="J656" s="402" t="n"/>
      <c r="K656" s="402" t="n"/>
      <c r="L656" s="402" t="n"/>
      <c r="M656" s="402" t="n"/>
      <c r="N656" s="402" t="n"/>
      <c r="O656" s="402">
        <f>O675</f>
        <v/>
      </c>
      <c r="P656" s="402">
        <f>P675</f>
        <v/>
      </c>
      <c r="Q656" s="402">
        <f>Q675</f>
        <v/>
      </c>
      <c r="R656" s="402">
        <f>R675</f>
        <v/>
      </c>
      <c r="S656" s="402">
        <f>S675</f>
        <v/>
      </c>
      <c r="T656" s="402">
        <f>T675</f>
        <v/>
      </c>
      <c r="U656" s="402">
        <f>U675</f>
        <v/>
      </c>
      <c r="V656" s="402">
        <f>V675</f>
        <v/>
      </c>
      <c r="W656" s="402">
        <f>W675</f>
        <v/>
      </c>
      <c r="X656" s="402">
        <f>X675</f>
        <v/>
      </c>
      <c r="Y656" s="402">
        <f>Y675</f>
        <v/>
      </c>
      <c r="Z656" s="402">
        <f>Z675</f>
        <v/>
      </c>
      <c r="AA656" s="402">
        <f>AA675</f>
        <v/>
      </c>
      <c r="AB656" s="402">
        <f>AB675</f>
        <v/>
      </c>
      <c r="AC656" s="402">
        <f>AC675</f>
        <v/>
      </c>
      <c r="AD656" s="402">
        <f>AD675</f>
        <v/>
      </c>
      <c r="AE656" s="402">
        <f>AE675</f>
        <v/>
      </c>
      <c r="AF656" s="402">
        <f>AF675</f>
        <v/>
      </c>
      <c r="AG656" s="402">
        <f>AG675</f>
        <v/>
      </c>
      <c r="AH656" s="402">
        <f>AH675</f>
        <v/>
      </c>
      <c r="AI656" s="402">
        <f>AI675</f>
        <v/>
      </c>
      <c r="AJ656" s="402">
        <f>AJ675</f>
        <v/>
      </c>
      <c r="AK656" s="402">
        <f>AK675</f>
        <v/>
      </c>
      <c r="AL656" s="402">
        <f>AL675</f>
        <v/>
      </c>
      <c r="AM656" s="402">
        <f>AM675</f>
        <v/>
      </c>
      <c r="AN656" s="402">
        <f>AN675</f>
        <v/>
      </c>
      <c r="AO656" s="402">
        <f>AO675</f>
        <v/>
      </c>
      <c r="AP656" s="402">
        <f>AP675</f>
        <v/>
      </c>
      <c r="AQ656" s="402">
        <f>AQ675</f>
        <v/>
      </c>
      <c r="AR656" s="402">
        <f>AR675</f>
        <v/>
      </c>
      <c r="AS656" s="402">
        <f>AS675</f>
        <v/>
      </c>
      <c r="AT656" s="402">
        <f>AT675</f>
        <v/>
      </c>
      <c r="AU656" s="402">
        <f>AU675</f>
        <v/>
      </c>
      <c r="AV656" s="402">
        <f>AV675</f>
        <v/>
      </c>
      <c r="AW656" s="402">
        <f>AW675</f>
        <v/>
      </c>
      <c r="AX656" s="402">
        <f>AX675</f>
        <v/>
      </c>
      <c r="AY656" s="402">
        <f>AY675</f>
        <v/>
      </c>
      <c r="AZ656" s="402">
        <f>AZ675</f>
        <v/>
      </c>
      <c r="BA656" s="402">
        <f>BA675</f>
        <v/>
      </c>
      <c r="BB656" s="402">
        <f>BB675</f>
        <v/>
      </c>
      <c r="BC656" s="402">
        <f>BC675</f>
        <v/>
      </c>
      <c r="BD656" s="402">
        <f>BD675</f>
        <v/>
      </c>
      <c r="BE656" s="402">
        <f>BE675</f>
        <v/>
      </c>
      <c r="BF656" s="402">
        <f>BF675</f>
        <v/>
      </c>
      <c r="BG656" s="402">
        <f>BG675</f>
        <v/>
      </c>
      <c r="BH656" s="402">
        <f>BH675</f>
        <v/>
      </c>
      <c r="BI656" s="402">
        <f>BI675</f>
        <v/>
      </c>
      <c r="BJ656" s="402">
        <f>BJ675</f>
        <v/>
      </c>
      <c r="BK656" s="402">
        <f>BK675</f>
        <v/>
      </c>
      <c r="BL656" s="402">
        <f>BL675</f>
        <v/>
      </c>
      <c r="BM656" s="402">
        <f>BM675</f>
        <v/>
      </c>
      <c r="BN656" s="402">
        <f>BN675</f>
        <v/>
      </c>
      <c r="BO656" s="402">
        <f>BO675</f>
        <v/>
      </c>
      <c r="BP656" s="402">
        <f>BP675</f>
        <v/>
      </c>
      <c r="BQ656" s="402">
        <f>BQ675</f>
        <v/>
      </c>
      <c r="BR656" s="402">
        <f>BR675</f>
        <v/>
      </c>
      <c r="BS656" s="402">
        <f>BS675</f>
        <v/>
      </c>
      <c r="BT656" s="402">
        <f>BT675</f>
        <v/>
      </c>
      <c r="BU656" s="402">
        <f>BU675</f>
        <v/>
      </c>
      <c r="BV656" s="402">
        <f>BV675</f>
        <v/>
      </c>
      <c r="BW656" s="402">
        <f>BW675</f>
        <v/>
      </c>
      <c r="BX656" s="402">
        <f>BX675</f>
        <v/>
      </c>
      <c r="BY656" s="402">
        <f>BY675</f>
        <v/>
      </c>
      <c r="BZ656" s="402">
        <f>BZ675</f>
        <v/>
      </c>
      <c r="CA656" s="402">
        <f>CA675</f>
        <v/>
      </c>
      <c r="CB656" s="402">
        <f>CB675</f>
        <v/>
      </c>
      <c r="CC656" s="402">
        <f>CC675</f>
        <v/>
      </c>
      <c r="CD656" s="402">
        <f>CD675</f>
        <v/>
      </c>
      <c r="CE656" s="402">
        <f>CE675</f>
        <v/>
      </c>
      <c r="CF656" s="402">
        <f>CF675</f>
        <v/>
      </c>
      <c r="CG656" s="402">
        <f>CG675</f>
        <v/>
      </c>
      <c r="CH656" s="402">
        <f>CH675</f>
        <v/>
      </c>
      <c r="CI656" s="402">
        <f>CI675</f>
        <v/>
      </c>
      <c r="CJ656" s="402">
        <f>CJ675</f>
        <v/>
      </c>
      <c r="CK656" s="402">
        <f>CK675</f>
        <v/>
      </c>
      <c r="CL656" s="402">
        <f>CL675</f>
        <v/>
      </c>
      <c r="CM656" s="402">
        <f>CM675</f>
        <v/>
      </c>
      <c r="CN656" s="402">
        <f>CN675</f>
        <v/>
      </c>
      <c r="CO656" s="402">
        <f>CO675</f>
        <v/>
      </c>
      <c r="CP656" s="402">
        <f>CP675</f>
        <v/>
      </c>
      <c r="CQ656" s="402">
        <f>CQ675</f>
        <v/>
      </c>
      <c r="CR656" s="402">
        <f>CR675</f>
        <v/>
      </c>
      <c r="CS656" s="402">
        <f>CS675</f>
        <v/>
      </c>
      <c r="CT656" s="402">
        <f>CT675</f>
        <v/>
      </c>
      <c r="CU656" s="402">
        <f>CU675</f>
        <v/>
      </c>
      <c r="CV656" s="402">
        <f>CV675</f>
        <v/>
      </c>
      <c r="CW656" s="402">
        <f>CW675</f>
        <v/>
      </c>
      <c r="CX656" s="402">
        <f>CX675</f>
        <v/>
      </c>
      <c r="CY656" s="402">
        <f>CY675</f>
        <v/>
      </c>
      <c r="CZ656" s="402">
        <f>CZ675</f>
        <v/>
      </c>
      <c r="DA656" s="402">
        <f>DA675</f>
        <v/>
      </c>
      <c r="DB656" s="402">
        <f>DB675</f>
        <v/>
      </c>
      <c r="DC656" s="402">
        <f>DC675</f>
        <v/>
      </c>
      <c r="DD656" s="402">
        <f>DD675</f>
        <v/>
      </c>
      <c r="DE656" s="402">
        <f>DE675</f>
        <v/>
      </c>
      <c r="DF656" s="402">
        <f>DF675</f>
        <v/>
      </c>
      <c r="DG656" s="403">
        <f>DG675</f>
        <v/>
      </c>
      <c r="DH656" s="403">
        <f>DH675</f>
        <v/>
      </c>
      <c r="DI656" s="403">
        <f>DI675</f>
        <v/>
      </c>
      <c r="DJ656" s="403">
        <f>DJ675</f>
        <v/>
      </c>
      <c r="DK656" s="403">
        <f>DK675</f>
        <v/>
      </c>
      <c r="DL656" s="403">
        <f>DL675</f>
        <v/>
      </c>
      <c r="DM656" s="403">
        <f>DM675</f>
        <v/>
      </c>
      <c r="DN656" s="403">
        <f>DN675</f>
        <v/>
      </c>
      <c r="DO656" s="403">
        <f>DO675</f>
        <v/>
      </c>
      <c r="DP656" s="403">
        <f>DP675</f>
        <v/>
      </c>
      <c r="DQ656" s="403">
        <f>DQ675</f>
        <v/>
      </c>
      <c r="DR656" s="403">
        <f>DR675</f>
        <v/>
      </c>
      <c r="DS656" s="403">
        <f>DS675</f>
        <v/>
      </c>
      <c r="DT656" s="403">
        <f>DT675</f>
        <v/>
      </c>
      <c r="DU656" s="403">
        <f>DU675</f>
        <v/>
      </c>
      <c r="DV656" s="403">
        <f>DV675</f>
        <v/>
      </c>
      <c r="DW656" s="403">
        <f>DW675</f>
        <v/>
      </c>
      <c r="DX656" s="403">
        <f>DX675</f>
        <v/>
      </c>
      <c r="DY656" s="403">
        <f>DY675</f>
        <v/>
      </c>
      <c r="DZ656" s="403">
        <f>DZ675</f>
        <v/>
      </c>
      <c r="EA656" s="403">
        <f>EA675</f>
        <v/>
      </c>
      <c r="EB656" s="403">
        <f>EB675</f>
        <v/>
      </c>
      <c r="EC656" s="403">
        <f>EC675</f>
        <v/>
      </c>
      <c r="ED656" s="403">
        <f>ED675</f>
        <v/>
      </c>
      <c r="EE656" s="403">
        <f>EE675</f>
        <v/>
      </c>
      <c r="EF656" s="403">
        <f>EF675</f>
        <v/>
      </c>
      <c r="EG656" s="403">
        <f>EG675</f>
        <v/>
      </c>
      <c r="EH656" s="403">
        <f>EH675</f>
        <v/>
      </c>
      <c r="EI656" s="403">
        <f>EI675</f>
        <v/>
      </c>
      <c r="EJ656" s="403">
        <f>EJ675</f>
        <v/>
      </c>
      <c r="EK656" s="403">
        <f>EK675</f>
        <v/>
      </c>
      <c r="EL656" s="403">
        <f>EL675</f>
        <v/>
      </c>
      <c r="EM656" s="403">
        <f>EM675</f>
        <v/>
      </c>
      <c r="EN656" s="403">
        <f>EN675</f>
        <v/>
      </c>
      <c r="EO656" s="403">
        <f>EO675</f>
        <v/>
      </c>
      <c r="EP656" s="403">
        <f>EP675</f>
        <v/>
      </c>
      <c r="EQ656" s="403">
        <f>EQ675</f>
        <v/>
      </c>
      <c r="ER656" s="403">
        <f>ER675</f>
        <v/>
      </c>
      <c r="ES656" s="403">
        <f>ES675</f>
        <v/>
      </c>
      <c r="ET656" s="403">
        <f>ET675</f>
        <v/>
      </c>
      <c r="EU656" s="403">
        <f>EU675</f>
        <v/>
      </c>
      <c r="EV656" s="403">
        <f>EV675</f>
        <v/>
      </c>
      <c r="EW656" s="403">
        <f>EW675</f>
        <v/>
      </c>
      <c r="EX656" s="403">
        <f>EX675</f>
        <v/>
      </c>
      <c r="EY656" s="403">
        <f>EY675</f>
        <v/>
      </c>
      <c r="EZ656" s="403">
        <f>EZ675</f>
        <v/>
      </c>
      <c r="FA656" s="403">
        <f>FA675</f>
        <v/>
      </c>
      <c r="FB656" s="403">
        <f>FB675</f>
        <v/>
      </c>
      <c r="FC656" s="403">
        <f>FC675</f>
        <v/>
      </c>
      <c r="FD656" s="403">
        <f>FD675</f>
        <v/>
      </c>
      <c r="FE656" s="403">
        <f>FE675</f>
        <v/>
      </c>
      <c r="FF656" s="403">
        <f>FF675</f>
        <v/>
      </c>
      <c r="FG656" s="403">
        <f>FG675</f>
        <v/>
      </c>
      <c r="FH656" s="403">
        <f>FH675</f>
        <v/>
      </c>
      <c r="FI656" s="403">
        <f>FI675</f>
        <v/>
      </c>
      <c r="FJ656" s="403">
        <f>FJ675</f>
        <v/>
      </c>
      <c r="FK656" s="403">
        <f>FK675</f>
        <v/>
      </c>
      <c r="FL656" s="403">
        <f>FL675</f>
        <v/>
      </c>
      <c r="FM656" s="403">
        <f>FM675</f>
        <v/>
      </c>
      <c r="FN656" s="403">
        <f>FN675</f>
        <v/>
      </c>
      <c r="FO656" s="403">
        <f>FO675</f>
        <v/>
      </c>
      <c r="FP656" s="403">
        <f>FP675</f>
        <v/>
      </c>
      <c r="FQ656" s="403">
        <f>FQ675</f>
        <v/>
      </c>
      <c r="FR656" s="403">
        <f>FR675</f>
        <v/>
      </c>
      <c r="FS656" s="403">
        <f>FS675</f>
        <v/>
      </c>
      <c r="FT656" s="403">
        <f>FT675</f>
        <v/>
      </c>
      <c r="FU656" s="403">
        <f>FU675</f>
        <v/>
      </c>
      <c r="FV656" s="403">
        <f>FV675</f>
        <v/>
      </c>
      <c r="FW656" s="403">
        <f>FW675</f>
        <v/>
      </c>
      <c r="FX656" s="403">
        <f>FX675</f>
        <v/>
      </c>
      <c r="FY656" s="403">
        <f>FY675</f>
        <v/>
      </c>
      <c r="FZ656" s="403">
        <f>FZ675</f>
        <v/>
      </c>
      <c r="GA656" s="403">
        <f>GA675</f>
        <v/>
      </c>
      <c r="GB656" s="403">
        <f>GB675</f>
        <v/>
      </c>
      <c r="GC656" s="403">
        <f>GC675</f>
        <v/>
      </c>
      <c r="GD656" s="403">
        <f>GD675</f>
        <v/>
      </c>
      <c r="GE656" s="403">
        <f>GE675</f>
        <v/>
      </c>
      <c r="GF656" s="403">
        <f>GF675</f>
        <v/>
      </c>
      <c r="GG656" s="403">
        <f>GG675</f>
        <v/>
      </c>
      <c r="GH656" s="403">
        <f>GH675</f>
        <v/>
      </c>
      <c r="GI656" s="403">
        <f>GI675</f>
        <v/>
      </c>
      <c r="GJ656" s="403">
        <f>GJ675</f>
        <v/>
      </c>
      <c r="GK656" s="403">
        <f>GK675</f>
        <v/>
      </c>
      <c r="GL656" s="403">
        <f>GL675</f>
        <v/>
      </c>
      <c r="GM656" s="403">
        <f>GM675</f>
        <v/>
      </c>
      <c r="GN656" s="403">
        <f>GN675</f>
        <v/>
      </c>
      <c r="GO656" s="403">
        <f>GO675</f>
        <v/>
      </c>
      <c r="GP656" s="403">
        <f>GP675</f>
        <v/>
      </c>
      <c r="GQ656" s="403">
        <f>GQ675</f>
        <v/>
      </c>
      <c r="GR656" s="403">
        <f>GR675</f>
        <v/>
      </c>
      <c r="GS656" s="403">
        <f>GS675</f>
        <v/>
      </c>
      <c r="GT656" s="403">
        <f>GT675</f>
        <v/>
      </c>
      <c r="GU656" s="403">
        <f>GU675</f>
        <v/>
      </c>
      <c r="GV656" s="403">
        <f>GV675</f>
        <v/>
      </c>
      <c r="GW656" s="403">
        <f>GW675</f>
        <v/>
      </c>
      <c r="GX656" s="403">
        <f>GX675</f>
        <v/>
      </c>
    </row>
    <row r="657"/>
    <row r="658">
      <c r="A658" t="n">
        <v>17</v>
      </c>
      <c r="B658" t="n">
        <v>0</v>
      </c>
      <c r="C658">
        <f>ROW(SmtRes!A334)</f>
        <v/>
      </c>
      <c r="D658">
        <f>ROW(EtalonRes!A303)</f>
        <v/>
      </c>
      <c r="E658" t="inlineStr">
        <is>
          <t>1</t>
        </is>
      </c>
      <c r="F658" t="inlineStr">
        <is>
          <t>65-10-1</t>
        </is>
      </c>
      <c r="G658" t="inlineStr">
        <is>
          <t>Очистка канализационной сети внутренней</t>
        </is>
      </c>
      <c r="H658" t="inlineStr">
        <is>
          <t>100 м трубопровода</t>
        </is>
      </c>
      <c r="I658">
        <f>ROUND(ROUND(65/100,4),7)</f>
        <v/>
      </c>
      <c r="J658" t="n">
        <v>0</v>
      </c>
      <c r="K658">
        <f>ROUND(ROUND(65/100,4),7)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78869116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403.3</v>
      </c>
      <c r="AL658" t="n">
        <v>139.36</v>
      </c>
      <c r="AM658" t="n">
        <v>0.87</v>
      </c>
      <c r="AN658" t="n">
        <v>0</v>
      </c>
      <c r="AO658" t="n">
        <v>263.07</v>
      </c>
      <c r="AP658" t="n">
        <v>0</v>
      </c>
      <c r="AQ658" t="n">
        <v>32.2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25.03</v>
      </c>
      <c r="BC658" t="n">
        <v>11.85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65-10-1,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65-10-1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1013</v>
      </c>
      <c r="DV658" t="inlineStr">
        <is>
          <t>100 м трубопровода</t>
        </is>
      </c>
      <c r="DW658" t="inlineStr">
        <is>
          <t>100 м трубопровода</t>
        </is>
      </c>
      <c r="DX658" t="n">
        <v>1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403.3</v>
      </c>
      <c r="ES658" t="n">
        <v>139.36</v>
      </c>
      <c r="ET658" t="n">
        <v>0.87</v>
      </c>
      <c r="EU658" t="n">
        <v>0</v>
      </c>
      <c r="EV658" t="n">
        <v>263.07</v>
      </c>
      <c r="EW658" t="n">
        <v>32.2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-66904957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17</v>
      </c>
      <c r="B659" t="n">
        <v>0</v>
      </c>
      <c r="C659">
        <f>ROW(SmtRes!A342)</f>
        <v/>
      </c>
      <c r="D659">
        <f>ROW(EtalonRes!A310)</f>
        <v/>
      </c>
      <c r="E659" t="inlineStr">
        <is>
          <t>2</t>
        </is>
      </c>
      <c r="F659" t="inlineStr">
        <is>
          <t>65-5-1</t>
        </is>
      </c>
      <c r="G659" t="inlineStr">
        <is>
          <t>Смена вентилей и клапанов обратных муфтовых диаметром до 20 мм</t>
        </is>
      </c>
      <c r="H659" t="inlineStr">
        <is>
          <t>100 шт.</t>
        </is>
      </c>
      <c r="I659">
        <f>ROUND(ROUND(1/100,4),7)</f>
        <v/>
      </c>
      <c r="J659" t="n">
        <v>0</v>
      </c>
      <c r="K659">
        <f>ROUND(ROUND(1/100,4),7)</f>
        <v/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78869116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2979.16</v>
      </c>
      <c r="AL659" t="n">
        <v>2240.13</v>
      </c>
      <c r="AM659" t="n">
        <v>4.36</v>
      </c>
      <c r="AN659" t="n">
        <v>0</v>
      </c>
      <c r="AO659" t="n">
        <v>734.67</v>
      </c>
      <c r="AP659" t="n">
        <v>0</v>
      </c>
      <c r="AQ659" t="n">
        <v>81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52.25</v>
      </c>
      <c r="BB659" t="n">
        <v>24.98</v>
      </c>
      <c r="BC659" t="n">
        <v>10.16</v>
      </c>
      <c r="BD659" t="inlineStr"/>
      <c r="BE659" t="inlineStr"/>
      <c r="BF659" t="inlineStr"/>
      <c r="BG659" t="inlineStr"/>
      <c r="BH659" t="n">
        <v>0</v>
      </c>
      <c r="BI659" t="n">
        <v>1</v>
      </c>
      <c r="BJ659" t="inlineStr">
        <is>
          <t>ТЕРр Московской обл., 65-5-1, приказ Минстроя России №675/пр от 28.02.2017 № 263/пр</t>
        </is>
      </c>
      <c r="BM659" t="n">
        <v>65007</v>
      </c>
      <c r="BN659" t="n">
        <v>0</v>
      </c>
      <c r="BO659" t="inlineStr">
        <is>
          <t>65-5-1</t>
        </is>
      </c>
      <c r="BP659" t="n">
        <v>1</v>
      </c>
      <c r="BQ659" t="n">
        <v>6</v>
      </c>
      <c r="BR659" t="n">
        <v>0</v>
      </c>
      <c r="BS659" t="n">
        <v>52.25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1010</v>
      </c>
      <c r="DV659" t="inlineStr">
        <is>
          <t>100 шт.</t>
        </is>
      </c>
      <c r="DW659" t="inlineStr">
        <is>
          <t>100 шт.</t>
        </is>
      </c>
      <c r="DX659" t="n">
        <v>100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2979.16</v>
      </c>
      <c r="ES659" t="n">
        <v>2240.13</v>
      </c>
      <c r="ET659" t="n">
        <v>4.36</v>
      </c>
      <c r="EU659" t="n">
        <v>0</v>
      </c>
      <c r="EV659" t="n">
        <v>734.67</v>
      </c>
      <c r="EW659" t="n">
        <v>81</v>
      </c>
      <c r="EX659" t="n">
        <v>0</v>
      </c>
      <c r="EY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152852496</v>
      </c>
      <c r="GG659" t="n">
        <v>2</v>
      </c>
      <c r="GH659" t="n">
        <v>1</v>
      </c>
      <c r="GI659" t="n">
        <v>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342</v>
      </c>
      <c r="E660" t="inlineStr">
        <is>
          <t>2,1</t>
        </is>
      </c>
      <c r="F660" t="inlineStr">
        <is>
          <t>509-9899</t>
        </is>
      </c>
      <c r="G660" t="inlineStr">
        <is>
          <t>Строительный мусор и масса возвратных материалов</t>
        </is>
      </c>
      <c r="H660" t="inlineStr">
        <is>
          <t>т</t>
        </is>
      </c>
      <c r="I660">
        <f>I659*J660</f>
        <v/>
      </c>
      <c r="J660" t="n">
        <v>0.04</v>
      </c>
      <c r="K660" t="n">
        <v>0.04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78869116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509-9899, приказ Минстроя России №675/пр от 28.02.2017 № 258/пр</t>
        </is>
      </c>
      <c r="BM660" t="n">
        <v>65007</v>
      </c>
      <c r="BN660" t="n">
        <v>0</v>
      </c>
      <c r="BO660" t="inlineStr"/>
      <c r="BP660" t="n">
        <v>0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1009</v>
      </c>
      <c r="DV660" t="inlineStr">
        <is>
          <t>т</t>
        </is>
      </c>
      <c r="DW660" t="inlineStr">
        <is>
          <t>т</t>
        </is>
      </c>
      <c r="DX660" t="n">
        <v>1000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0</v>
      </c>
      <c r="ES660" t="n">
        <v>0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1839160745</v>
      </c>
      <c r="GG660" t="n">
        <v>2</v>
      </c>
      <c r="GH660" t="n">
        <v>1</v>
      </c>
      <c r="GI660" t="n">
        <v>-2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18</v>
      </c>
      <c r="B661" t="n">
        <v>0</v>
      </c>
      <c r="C661" t="n">
        <v>340</v>
      </c>
      <c r="E661" t="inlineStr">
        <is>
          <t>2,2</t>
        </is>
      </c>
      <c r="F661" t="inlineStr">
        <is>
          <t>302-0062</t>
        </is>
      </c>
      <c r="G661" t="inlineStr">
        <is>
          <t>Кран шаровый муфтовый Valtec для воды диаметром 15 мм, тип в/в</t>
        </is>
      </c>
      <c r="H661" t="inlineStr">
        <is>
          <t>шт.</t>
        </is>
      </c>
      <c r="I661">
        <f>I659*J661</f>
        <v/>
      </c>
      <c r="J661" t="n">
        <v>100</v>
      </c>
      <c r="K661" t="n">
        <v>100</v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78869116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28.53</v>
      </c>
      <c r="AL661" t="n">
        <v>28.53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  <c r="AS661" t="n">
        <v>0.01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1</v>
      </c>
      <c r="BB661" t="n">
        <v>1</v>
      </c>
      <c r="BC661" t="n">
        <v>13.47</v>
      </c>
      <c r="BD661" t="inlineStr"/>
      <c r="BE661" t="inlineStr"/>
      <c r="BF661" t="inlineStr"/>
      <c r="BG661" t="inlineStr"/>
      <c r="BH661" t="n">
        <v>3</v>
      </c>
      <c r="BI661" t="n">
        <v>1</v>
      </c>
      <c r="BJ661" t="inlineStr">
        <is>
          <t>ТССЦ Московской обл., 302-0062, приказ Минстроя России №675/пр от 28.02.2017 № 256/пр</t>
        </is>
      </c>
      <c r="BM661" t="n">
        <v>65007</v>
      </c>
      <c r="BN661" t="n">
        <v>0</v>
      </c>
      <c r="BO661" t="inlineStr">
        <is>
          <t>302-0062</t>
        </is>
      </c>
      <c r="BP661" t="n">
        <v>1</v>
      </c>
      <c r="BQ661" t="n">
        <v>6</v>
      </c>
      <c r="BR661" t="n">
        <v>0</v>
      </c>
      <c r="BS661" t="n">
        <v>1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1010</v>
      </c>
      <c r="DV661" t="inlineStr">
        <is>
          <t>шт.</t>
        </is>
      </c>
      <c r="DW661" t="inlineStr">
        <is>
          <t>шт.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28.53</v>
      </c>
      <c r="ES661" t="n">
        <v>28.53</v>
      </c>
      <c r="ET661" t="n">
        <v>0</v>
      </c>
      <c r="EU661" t="n">
        <v>0</v>
      </c>
      <c r="EV661" t="n">
        <v>0</v>
      </c>
      <c r="EW661" t="n">
        <v>0</v>
      </c>
      <c r="EX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-1687406522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17</v>
      </c>
      <c r="B662" t="n">
        <v>0</v>
      </c>
      <c r="C662">
        <f>ROW(SmtRes!A348)</f>
        <v/>
      </c>
      <c r="D662">
        <f>ROW(EtalonRes!A316)</f>
        <v/>
      </c>
      <c r="E662" t="inlineStr">
        <is>
          <t>3</t>
        </is>
      </c>
      <c r="F662" t="inlineStr">
        <is>
          <t>16-07-005-1</t>
        </is>
      </c>
      <c r="G6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62" t="inlineStr">
        <is>
          <t>100 м трубопровода</t>
        </is>
      </c>
      <c r="I662">
        <f>ROUND(ROUND(60/100,4),7)</f>
        <v/>
      </c>
      <c r="J662" t="n">
        <v>0</v>
      </c>
      <c r="K662">
        <f>ROUND(ROUND(60/100,4),7)</f>
        <v/>
      </c>
      <c r="O662">
        <f>ROUND(CP662,0)</f>
        <v/>
      </c>
      <c r="P662">
        <f>ROUND(CQ662*I662,0)</f>
        <v/>
      </c>
      <c r="Q662">
        <f>(ROUND((ROUND((((ET662*ROUND(5,7)))*I662),0)*BB662),0)+ROUND((ROUND(((AE662-((EU662*ROUND(5,7))))*I662),0)*BS662),0))</f>
        <v/>
      </c>
      <c r="R662">
        <f>(ROUND((ROUND((((EU662*ROUND(5,7)))*I662),0)*BS662),0)+ROUND((ROUND(((AE662-((EU662*ROUND(5,7))))*I662),0)*BS662),0))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78869116</v>
      </c>
      <c r="AB662">
        <f>ROUND((AC662+AD662+AF662),2)</f>
        <v/>
      </c>
      <c r="AC662">
        <f>ROUND(((ES662*ROUND(5,7))),2)</f>
        <v/>
      </c>
      <c r="AD662">
        <f>ROUND(((((ET662*ROUND(5,7)))-((EU662*ROUND(5,7))))+AE662),2)</f>
        <v/>
      </c>
      <c r="AE662">
        <f>ROUND(((EU662*ROUND(5,7))),2)</f>
        <v/>
      </c>
      <c r="AF662">
        <f>ROUND(((EV662*ROUND(5,7))),2)</f>
        <v/>
      </c>
      <c r="AG662">
        <f>ROUND((AP662),2)</f>
        <v/>
      </c>
      <c r="AH662">
        <f>((EW662*ROUND(5,7)))</f>
        <v/>
      </c>
      <c r="AI662">
        <f>((EX662*ROUND(5,7)))</f>
        <v/>
      </c>
      <c r="AJ662">
        <f>(AS662)</f>
        <v/>
      </c>
      <c r="AK662" t="n">
        <v>107.11</v>
      </c>
      <c r="AL662" t="n">
        <v>4.28</v>
      </c>
      <c r="AM662" t="n">
        <v>44.51</v>
      </c>
      <c r="AN662" t="n">
        <v>0</v>
      </c>
      <c r="AO662" t="n">
        <v>58.32</v>
      </c>
      <c r="AP662" t="n">
        <v>0</v>
      </c>
      <c r="AQ662" t="n">
        <v>5.01</v>
      </c>
      <c r="AR662" t="n">
        <v>0</v>
      </c>
      <c r="AS662" t="n">
        <v>0</v>
      </c>
      <c r="AT662" t="n">
        <v>121</v>
      </c>
      <c r="AU662" t="n">
        <v>72</v>
      </c>
      <c r="AV662" t="n">
        <v>1</v>
      </c>
      <c r="AW662" t="n">
        <v>1</v>
      </c>
      <c r="AZ662" t="n">
        <v>1</v>
      </c>
      <c r="BA662" t="n">
        <v>52.25</v>
      </c>
      <c r="BB662" t="n">
        <v>5.97</v>
      </c>
      <c r="BC662" t="n">
        <v>11.38</v>
      </c>
      <c r="BD662" t="inlineStr"/>
      <c r="BE662" t="inlineStr"/>
      <c r="BF662" t="inlineStr"/>
      <c r="BG662" t="inlineStr"/>
      <c r="BH662" t="n">
        <v>0</v>
      </c>
      <c r="BI662" t="n">
        <v>1</v>
      </c>
      <c r="BJ662" t="inlineStr">
        <is>
          <t>ТЕР Московской обл., 16-07-005-1, приказ Минстроя России №675/пр от 28.02.2017 № 260/пр</t>
        </is>
      </c>
      <c r="BM662" t="n">
        <v>16001</v>
      </c>
      <c r="BN662" t="n">
        <v>0</v>
      </c>
      <c r="BO662" t="inlineStr">
        <is>
          <t>16-07-005-1</t>
        </is>
      </c>
      <c r="BP662" t="n">
        <v>1</v>
      </c>
      <c r="BQ662" t="n">
        <v>2</v>
      </c>
      <c r="BR662" t="n">
        <v>0</v>
      </c>
      <c r="BS662" t="n">
        <v>52.25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121</v>
      </c>
      <c r="CA662" t="n">
        <v>72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AC662*BC662</f>
        <v/>
      </c>
      <c r="CR662">
        <f>(ROUND((ROUND((((ET662*ROUND(5,7)))*1),0)*BB662),0)+ROUND((ROUND(((AE662-((EU662*ROUND(5,7))))*1),0)*BS662),0))</f>
        <v/>
      </c>
      <c r="CS662">
        <f>(ROUND((ROUND((((EU662*ROUND(5,7)))*1),0)*BS662),0)+ROUND((ROUND(((AE662-((EU662*ROUND(5,7))))*1),0)*BS662),0))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>
        <is>
          <t>)*5</t>
        </is>
      </c>
      <c r="DE662" t="inlineStr">
        <is>
          <t>)*5</t>
        </is>
      </c>
      <c r="DF662" t="inlineStr">
        <is>
          <t>)*5</t>
        </is>
      </c>
      <c r="DG662" t="inlineStr">
        <is>
          <t>)*5</t>
        </is>
      </c>
      <c r="DH662" t="inlineStr"/>
      <c r="DI662" t="inlineStr">
        <is>
          <t>)*5</t>
        </is>
      </c>
      <c r="DJ662" t="inlineStr">
        <is>
          <t>)*5</t>
        </is>
      </c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1013</v>
      </c>
      <c r="DV662" t="inlineStr">
        <is>
          <t>100 м трубопровода</t>
        </is>
      </c>
      <c r="DW662" t="inlineStr">
        <is>
          <t>100 м трубопровода</t>
        </is>
      </c>
      <c r="DX662" t="n">
        <v>1</v>
      </c>
      <c r="DZ662" t="inlineStr"/>
      <c r="EA662" t="inlineStr"/>
      <c r="EB662" t="inlineStr"/>
      <c r="EC662" t="inlineStr"/>
      <c r="EE662" t="n">
        <v>78725882</v>
      </c>
      <c r="EF662" t="n">
        <v>2</v>
      </c>
      <c r="EG662" t="inlineStr">
        <is>
          <t>Общестроительные работы</t>
        </is>
      </c>
      <c r="EH662" t="n">
        <v>16</v>
      </c>
      <c r="EI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2" t="n">
        <v>1</v>
      </c>
      <c r="EK662" t="n">
        <v>16001</v>
      </c>
      <c r="EL662" t="inlineStr">
        <is>
          <t>Трубопроводы внутренние</t>
        </is>
      </c>
      <c r="EM662" t="inlineStr">
        <is>
          <t>ФЕР-16</t>
        </is>
      </c>
      <c r="EO662" t="inlineStr"/>
      <c r="EQ662" t="n">
        <v>0</v>
      </c>
      <c r="ER662" t="n">
        <v>107.11</v>
      </c>
      <c r="ES662" t="n">
        <v>4.28</v>
      </c>
      <c r="ET662" t="n">
        <v>44.51</v>
      </c>
      <c r="EU662" t="n">
        <v>0</v>
      </c>
      <c r="EV662" t="n">
        <v>58.32</v>
      </c>
      <c r="EW662" t="n">
        <v>5.01</v>
      </c>
      <c r="EX662" t="n">
        <v>0</v>
      </c>
      <c r="EY662" t="n">
        <v>0</v>
      </c>
      <c r="FQ662" t="n">
        <v>0</v>
      </c>
      <c r="FR662" t="n">
        <v>0</v>
      </c>
      <c r="FS662" t="n">
        <v>0</v>
      </c>
      <c r="FX662" t="n">
        <v>121</v>
      </c>
      <c r="FY662" t="n">
        <v>72</v>
      </c>
      <c r="GA662" t="inlineStr"/>
      <c r="GD662" t="n">
        <v>1</v>
      </c>
      <c r="GF662" t="n">
        <v>635989612</v>
      </c>
      <c r="GG662" t="n">
        <v>2</v>
      </c>
      <c r="GH662" t="n">
        <v>1</v>
      </c>
      <c r="GI662" t="n">
        <v>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0</v>
      </c>
      <c r="GS662" t="n">
        <v>3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/>
      <c r="HF662" t="inlineStr"/>
      <c r="HM662" t="inlineStr"/>
      <c r="HN662" t="inlineStr">
        <is>
          <t>Пр/812-016.0-1</t>
        </is>
      </c>
      <c r="HO662" t="inlineStr">
        <is>
          <t>Пр/774-016.0</t>
        </is>
      </c>
      <c r="HP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2" t="n">
        <v>0</v>
      </c>
      <c r="IK662" t="n">
        <v>0</v>
      </c>
    </row>
    <row r="663">
      <c r="A663" t="n">
        <v>17</v>
      </c>
      <c r="B663" t="n">
        <v>0</v>
      </c>
      <c r="C663">
        <f>ROW(SmtRes!A351)</f>
        <v/>
      </c>
      <c r="D663">
        <f>ROW(EtalonRes!A318)</f>
        <v/>
      </c>
      <c r="E663" t="inlineStr">
        <is>
          <t>4</t>
        </is>
      </c>
      <c r="F663" t="inlineStr">
        <is>
          <t>67-5-2</t>
        </is>
      </c>
      <c r="G663" t="inlineStr">
        <is>
          <t>Смена ламп люминесцентных</t>
        </is>
      </c>
      <c r="H663" t="inlineStr">
        <is>
          <t>100 шт.</t>
        </is>
      </c>
      <c r="I663">
        <f>ROUND(ROUND(3/100,4),7)</f>
        <v/>
      </c>
      <c r="J663" t="n">
        <v>0</v>
      </c>
      <c r="K663">
        <f>ROUND(ROUND(3/100,4),7)</f>
        <v/>
      </c>
      <c r="O663">
        <f>ROUND(CP663,0)</f>
        <v/>
      </c>
      <c r="P663">
        <f>ROUND(CQ663*I663,0)</f>
        <v/>
      </c>
      <c r="Q663">
        <f>(ROUND((ROUND(((ET663)*I663),0)*BB663),0)+ROUND((ROUND(((AE663-(EU663))*I663),0)*BS663),0))</f>
        <v/>
      </c>
      <c r="R663">
        <f>(ROUND((ROUND(((EU663)*I663),0)*BS663),0)+ROUND((ROUND(((AE663-(EU663))*I663),0)*BS663),0))</f>
        <v/>
      </c>
      <c r="S663">
        <f>ROUND(CT663*I663,0)</f>
        <v/>
      </c>
      <c r="T663">
        <f>ROUND(CU663*I663,0)</f>
        <v/>
      </c>
      <c r="U663">
        <f>ROUND(CV663*I663,7)</f>
        <v/>
      </c>
      <c r="V663">
        <f>ROUND(CW663*I663,7)</f>
        <v/>
      </c>
      <c r="W663">
        <f>ROUND(CX663*I663,0)</f>
        <v/>
      </c>
      <c r="X663">
        <f>ROUND(CY663,0)</f>
        <v/>
      </c>
      <c r="Y663">
        <f>ROUND(CZ663,0)</f>
        <v/>
      </c>
      <c r="AA663" t="n">
        <v>78869116</v>
      </c>
      <c r="AB663">
        <f>ROUND((AC663+AD663+AF663),2)</f>
        <v/>
      </c>
      <c r="AC663">
        <f>ROUND((ES663),2)</f>
        <v/>
      </c>
      <c r="AD663">
        <f>ROUND((((ET663)-(EU663))+AE663),2)</f>
        <v/>
      </c>
      <c r="AE663">
        <f>ROUND((EU663),2)</f>
        <v/>
      </c>
      <c r="AF663">
        <f>ROUND((EV663),2)</f>
        <v/>
      </c>
      <c r="AG663">
        <f>ROUND((AP663),2)</f>
        <v/>
      </c>
      <c r="AH663">
        <f>(EW663)</f>
        <v/>
      </c>
      <c r="AI663">
        <f>(EX663)</f>
        <v/>
      </c>
      <c r="AJ663">
        <f>(AS663)</f>
        <v/>
      </c>
      <c r="AK663" t="n">
        <v>970.5700000000001</v>
      </c>
      <c r="AL663" t="n">
        <v>852</v>
      </c>
      <c r="AM663" t="n">
        <v>0</v>
      </c>
      <c r="AN663" t="n">
        <v>0</v>
      </c>
      <c r="AO663" t="n">
        <v>118.57</v>
      </c>
      <c r="AP663" t="n">
        <v>0</v>
      </c>
      <c r="AQ663" t="n">
        <v>13.9</v>
      </c>
      <c r="AR663" t="n">
        <v>0</v>
      </c>
      <c r="AS663" t="n">
        <v>0</v>
      </c>
      <c r="AT663" t="n">
        <v>91</v>
      </c>
      <c r="AU663" t="n">
        <v>48</v>
      </c>
      <c r="AV663" t="n">
        <v>1</v>
      </c>
      <c r="AW663" t="n">
        <v>1</v>
      </c>
      <c r="AZ663" t="n">
        <v>1</v>
      </c>
      <c r="BA663" t="n">
        <v>52.25</v>
      </c>
      <c r="BB663" t="n">
        <v>1</v>
      </c>
      <c r="BC663" t="n">
        <v>4.14</v>
      </c>
      <c r="BD663" t="inlineStr"/>
      <c r="BE663" t="inlineStr"/>
      <c r="BF663" t="inlineStr"/>
      <c r="BG663" t="inlineStr"/>
      <c r="BH663" t="n">
        <v>0</v>
      </c>
      <c r="BI663" t="n">
        <v>1</v>
      </c>
      <c r="BJ663" t="inlineStr">
        <is>
          <t>ТЕРр Московской обл., 67-5-2, приказ Минстроя России №675/пр от 28.02.2017 № 263/пр</t>
        </is>
      </c>
      <c r="BM663" t="n">
        <v>67001</v>
      </c>
      <c r="BN663" t="n">
        <v>0</v>
      </c>
      <c r="BO663" t="inlineStr">
        <is>
          <t>67-5-2</t>
        </is>
      </c>
      <c r="BP663" t="n">
        <v>1</v>
      </c>
      <c r="BQ663" t="n">
        <v>6</v>
      </c>
      <c r="BR663" t="n">
        <v>0</v>
      </c>
      <c r="BS663" t="n">
        <v>52.25</v>
      </c>
      <c r="BT663" t="n">
        <v>1</v>
      </c>
      <c r="BU663" t="n">
        <v>1</v>
      </c>
      <c r="BV663" t="n">
        <v>1</v>
      </c>
      <c r="BW663" t="n">
        <v>1</v>
      </c>
      <c r="BX663" t="n">
        <v>1</v>
      </c>
      <c r="BY663" t="inlineStr"/>
      <c r="BZ663" t="n">
        <v>91</v>
      </c>
      <c r="CA663" t="n">
        <v>48</v>
      </c>
      <c r="CB663" t="inlineStr"/>
      <c r="CE663" t="n">
        <v>12</v>
      </c>
      <c r="CF663" t="n">
        <v>0</v>
      </c>
      <c r="CG663" t="n">
        <v>0</v>
      </c>
      <c r="CM663" t="n">
        <v>0</v>
      </c>
      <c r="CN663" t="inlineStr"/>
      <c r="CO663" t="n">
        <v>0</v>
      </c>
      <c r="CP663">
        <f>(P663+Q663+S663)</f>
        <v/>
      </c>
      <c r="CQ663">
        <f>AC663*BC663</f>
        <v/>
      </c>
      <c r="CR663">
        <f>(ROUND((ROUND(((ET663)*1),0)*BB663),0)+ROUND((ROUND(((AE663-(EU663))*1),0)*BS663),0))</f>
        <v/>
      </c>
      <c r="CS663">
        <f>(ROUND((ROUND(((EU663)*1),0)*BS663),0)+ROUND((ROUND(((AE663-(EU663))*1),0)*BS663),0))</f>
        <v/>
      </c>
      <c r="CT663">
        <f>AF663*BA663</f>
        <v/>
      </c>
      <c r="CU663">
        <f>AG663</f>
        <v/>
      </c>
      <c r="CV663">
        <f>AH663</f>
        <v/>
      </c>
      <c r="CW663">
        <f>AI663</f>
        <v/>
      </c>
      <c r="CX663">
        <f>AJ663</f>
        <v/>
      </c>
      <c r="CY663">
        <f>(((S663+R663)*AT663)/100)</f>
        <v/>
      </c>
      <c r="CZ663">
        <f>(((S663+R663)*AU663)/100)</f>
        <v/>
      </c>
      <c r="DC663" t="inlineStr"/>
      <c r="DD663" t="inlineStr"/>
      <c r="DE663" t="inlineStr"/>
      <c r="DF663" t="inlineStr"/>
      <c r="DG663" t="inlineStr"/>
      <c r="DH663" t="inlineStr"/>
      <c r="DI663" t="inlineStr"/>
      <c r="DJ663" t="inlineStr"/>
      <c r="DK663" t="inlineStr"/>
      <c r="DL663" t="inlineStr"/>
      <c r="DM663" t="inlineStr"/>
      <c r="DN663" t="n">
        <v>0</v>
      </c>
      <c r="DO663" t="n">
        <v>0</v>
      </c>
      <c r="DP663" t="n">
        <v>1</v>
      </c>
      <c r="DQ663" t="n">
        <v>1</v>
      </c>
      <c r="DU663" t="n">
        <v>1010</v>
      </c>
      <c r="DV663" t="inlineStr">
        <is>
          <t>100 шт.</t>
        </is>
      </c>
      <c r="DW663" t="inlineStr">
        <is>
          <t>100 шт.</t>
        </is>
      </c>
      <c r="DX663" t="n">
        <v>100</v>
      </c>
      <c r="DZ663" t="inlineStr"/>
      <c r="EA663" t="inlineStr"/>
      <c r="EB663" t="inlineStr"/>
      <c r="EC663" t="inlineStr"/>
      <c r="EE663" t="n">
        <v>78726030</v>
      </c>
      <c r="EF663" t="n">
        <v>6</v>
      </c>
      <c r="EG663" t="inlineStr">
        <is>
          <t>Ремонтно-строительные работы</t>
        </is>
      </c>
      <c r="EH663" t="n">
        <v>101</v>
      </c>
      <c r="EI663" t="inlineStr">
        <is>
          <t>Электромонтажные работы</t>
        </is>
      </c>
      <c r="EJ663" t="n">
        <v>1</v>
      </c>
      <c r="EK663" t="n">
        <v>67001</v>
      </c>
      <c r="EL663" t="inlineStr">
        <is>
          <t>Электромонтажные работы</t>
        </is>
      </c>
      <c r="EM663" t="inlineStr">
        <is>
          <t>рФЕР-67</t>
        </is>
      </c>
      <c r="EO663" t="inlineStr"/>
      <c r="EQ663" t="n">
        <v>0</v>
      </c>
      <c r="ER663" t="n">
        <v>970.5700000000001</v>
      </c>
      <c r="ES663" t="n">
        <v>852</v>
      </c>
      <c r="ET663" t="n">
        <v>0</v>
      </c>
      <c r="EU663" t="n">
        <v>0</v>
      </c>
      <c r="EV663" t="n">
        <v>118.57</v>
      </c>
      <c r="EW663" t="n">
        <v>13.9</v>
      </c>
      <c r="EX663" t="n">
        <v>0</v>
      </c>
      <c r="EY663" t="n">
        <v>0</v>
      </c>
      <c r="FQ663" t="n">
        <v>0</v>
      </c>
      <c r="FR663" t="n">
        <v>0</v>
      </c>
      <c r="FS663" t="n">
        <v>0</v>
      </c>
      <c r="FX663" t="n">
        <v>91</v>
      </c>
      <c r="FY663" t="n">
        <v>48</v>
      </c>
      <c r="GA663" t="inlineStr"/>
      <c r="GD663" t="n">
        <v>1</v>
      </c>
      <c r="GF663" t="n">
        <v>1400342257</v>
      </c>
      <c r="GG663" t="n">
        <v>2</v>
      </c>
      <c r="GH663" t="n">
        <v>1</v>
      </c>
      <c r="GI663" t="n">
        <v>2</v>
      </c>
      <c r="GJ663" t="n">
        <v>0</v>
      </c>
      <c r="GK663" t="n">
        <v>0</v>
      </c>
      <c r="GL663">
        <f>ROUND(IF(AND(BH663=3,BI663=3,FS663&lt;&gt;0),P663,0),0)</f>
        <v/>
      </c>
      <c r="GM663">
        <f>ROUND(O663+X663+Y663,0)+GX663</f>
        <v/>
      </c>
      <c r="GN663">
        <f>IF(OR(BI663=0,BI663=1),GM663-GX663,0)</f>
        <v/>
      </c>
      <c r="GO663">
        <f>IF(BI663=2,GM663-GX663,0)</f>
        <v/>
      </c>
      <c r="GP663">
        <f>IF(BI663=4,GM663-GX663,0)</f>
        <v/>
      </c>
      <c r="GR663" t="n">
        <v>0</v>
      </c>
      <c r="GS663" t="n">
        <v>3</v>
      </c>
      <c r="GT663" t="n">
        <v>0</v>
      </c>
      <c r="GU663" t="inlineStr"/>
      <c r="GV663">
        <f>ROUND((GT663),2)</f>
        <v/>
      </c>
      <c r="GW663" t="n">
        <v>1</v>
      </c>
      <c r="GX663">
        <f>ROUND(HC663*I663,0)</f>
        <v/>
      </c>
      <c r="HA663" t="n">
        <v>0</v>
      </c>
      <c r="HB663" t="n">
        <v>0</v>
      </c>
      <c r="HC663">
        <f>GV663*GW663</f>
        <v/>
      </c>
      <c r="HE663" t="inlineStr"/>
      <c r="HF663" t="inlineStr"/>
      <c r="HM663" t="inlineStr"/>
      <c r="HN663" t="inlineStr">
        <is>
          <t>Пр/812-101.0-1</t>
        </is>
      </c>
      <c r="HO663" t="inlineStr">
        <is>
          <t>Пр/774-101.0</t>
        </is>
      </c>
      <c r="HP663" t="inlineStr">
        <is>
          <t>Электромонтажные работы</t>
        </is>
      </c>
      <c r="HQ663" t="inlineStr">
        <is>
          <t>Электромонтажные работы</t>
        </is>
      </c>
      <c r="HS663" t="n">
        <v>0</v>
      </c>
      <c r="IK663" t="n">
        <v>0</v>
      </c>
    </row>
    <row r="664">
      <c r="A664" t="n">
        <v>18</v>
      </c>
      <c r="B664" t="n">
        <v>0</v>
      </c>
      <c r="C664" t="n">
        <v>351</v>
      </c>
      <c r="E664" t="inlineStr">
        <is>
          <t>4,1</t>
        </is>
      </c>
      <c r="F664" t="inlineStr">
        <is>
          <t>509-6744</t>
        </is>
      </c>
      <c r="G664" t="inlineStr">
        <is>
          <t>Лампы люминесцентные компактные энергосберегающие с цоколем Е27 мощностью 55 Вт</t>
        </is>
      </c>
      <c r="H664" t="inlineStr">
        <is>
          <t>шт.</t>
        </is>
      </c>
      <c r="I664">
        <f>I663*J664</f>
        <v/>
      </c>
      <c r="J664" t="n">
        <v>100</v>
      </c>
      <c r="K664" t="n">
        <v>100</v>
      </c>
      <c r="O664">
        <f>ROUND(CP664,0)</f>
        <v/>
      </c>
      <c r="P664">
        <f>ROUND(CQ664*I664,0)</f>
        <v/>
      </c>
      <c r="Q664">
        <f>(ROUND((ROUND(((ET664)*I664),0)*BB664),0)+ROUND((ROUND(((AE664-(EU664))*I664),0)*BS664),0))</f>
        <v/>
      </c>
      <c r="R664">
        <f>(ROUND((ROUND(((EU664)*I664),0)*BS664),0)+ROUND((ROUND(((AE664-(EU664))*I664),0)*BS664),0))</f>
        <v/>
      </c>
      <c r="S664">
        <f>ROUND(CT664*I664,0)</f>
        <v/>
      </c>
      <c r="T664">
        <f>ROUND(CU664*I664,0)</f>
        <v/>
      </c>
      <c r="U664">
        <f>ROUND(CV664*I664,7)</f>
        <v/>
      </c>
      <c r="V664">
        <f>ROUND(CW664*I664,7)</f>
        <v/>
      </c>
      <c r="W664">
        <f>ROUND(CX664*I664,0)</f>
        <v/>
      </c>
      <c r="X664">
        <f>ROUND(CY664,0)</f>
        <v/>
      </c>
      <c r="Y664">
        <f>ROUND(CZ664,0)</f>
        <v/>
      </c>
      <c r="AA664" t="n">
        <v>78869116</v>
      </c>
      <c r="AB664">
        <f>ROUND((AC664+AD664+AF664),2)</f>
        <v/>
      </c>
      <c r="AC664">
        <f>ROUND((ES664),2)</f>
        <v/>
      </c>
      <c r="AD664">
        <f>ROUND((((ET664)-(EU664))+AE664),2)</f>
        <v/>
      </c>
      <c r="AE664">
        <f>ROUND((EU664),2)</f>
        <v/>
      </c>
      <c r="AF664">
        <f>ROUND((EV664),2)</f>
        <v/>
      </c>
      <c r="AG664">
        <f>ROUND((AP664),2)</f>
        <v/>
      </c>
      <c r="AH664">
        <f>(EW664)</f>
        <v/>
      </c>
      <c r="AI664">
        <f>(EX664)</f>
        <v/>
      </c>
      <c r="AJ664">
        <f>(AS664)</f>
        <v/>
      </c>
      <c r="AK664" t="n">
        <v>140.69</v>
      </c>
      <c r="AL664" t="n">
        <v>140.69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  <c r="AS664" t="n">
        <v>0.02</v>
      </c>
      <c r="AT664" t="n">
        <v>91</v>
      </c>
      <c r="AU664" t="n">
        <v>48</v>
      </c>
      <c r="AV664" t="n">
        <v>1</v>
      </c>
      <c r="AW664" t="n">
        <v>1</v>
      </c>
      <c r="AZ664" t="n">
        <v>1</v>
      </c>
      <c r="BA664" t="n">
        <v>1</v>
      </c>
      <c r="BB664" t="n">
        <v>1</v>
      </c>
      <c r="BC664" t="n">
        <v>1.69</v>
      </c>
      <c r="BD664" t="inlineStr"/>
      <c r="BE664" t="inlineStr"/>
      <c r="BF664" t="inlineStr"/>
      <c r="BG664" t="inlineStr"/>
      <c r="BH664" t="n">
        <v>3</v>
      </c>
      <c r="BI664" t="n">
        <v>1</v>
      </c>
      <c r="BJ664" t="inlineStr">
        <is>
          <t>ТССЦ Московской обл., 509-6744, приказ Минстроя России №675/пр от 28.02.2017 № 258/пр</t>
        </is>
      </c>
      <c r="BM664" t="n">
        <v>67001</v>
      </c>
      <c r="BN664" t="n">
        <v>0</v>
      </c>
      <c r="BO664" t="inlineStr">
        <is>
          <t>509-6744</t>
        </is>
      </c>
      <c r="BP664" t="n">
        <v>1</v>
      </c>
      <c r="BQ664" t="n">
        <v>6</v>
      </c>
      <c r="BR664" t="n">
        <v>0</v>
      </c>
      <c r="BS664" t="n">
        <v>1</v>
      </c>
      <c r="BT664" t="n">
        <v>1</v>
      </c>
      <c r="BU664" t="n">
        <v>1</v>
      </c>
      <c r="BV664" t="n">
        <v>1</v>
      </c>
      <c r="BW664" t="n">
        <v>1</v>
      </c>
      <c r="BX664" t="n">
        <v>1</v>
      </c>
      <c r="BY664" t="inlineStr"/>
      <c r="BZ664" t="n">
        <v>91</v>
      </c>
      <c r="CA664" t="n">
        <v>48</v>
      </c>
      <c r="CB664" t="inlineStr"/>
      <c r="CE664" t="n">
        <v>12</v>
      </c>
      <c r="CF664" t="n">
        <v>0</v>
      </c>
      <c r="CG664" t="n">
        <v>0</v>
      </c>
      <c r="CM664" t="n">
        <v>0</v>
      </c>
      <c r="CN664" t="inlineStr"/>
      <c r="CO664" t="n">
        <v>0</v>
      </c>
      <c r="CP664">
        <f>(P664+Q664+S664)</f>
        <v/>
      </c>
      <c r="CQ664">
        <f>AC664*BC664</f>
        <v/>
      </c>
      <c r="CR664">
        <f>(ROUND((ROUND(((ET664)*1),0)*BB664),0)+ROUND((ROUND(((AE664-(EU664))*1),0)*BS664),0))</f>
        <v/>
      </c>
      <c r="CS664">
        <f>(ROUND((ROUND(((EU664)*1),0)*BS664),0)+ROUND((ROUND(((AE664-(EU664))*1),0)*BS664),0))</f>
        <v/>
      </c>
      <c r="CT664">
        <f>AF664*BA664</f>
        <v/>
      </c>
      <c r="CU664">
        <f>AG664</f>
        <v/>
      </c>
      <c r="CV664">
        <f>AH664</f>
        <v/>
      </c>
      <c r="CW664">
        <f>AI664</f>
        <v/>
      </c>
      <c r="CX664">
        <f>AJ664</f>
        <v/>
      </c>
      <c r="CY664">
        <f>(((S664+R664)*AT664)/100)</f>
        <v/>
      </c>
      <c r="CZ664">
        <f>(((S664+R664)*AU664)/100)</f>
        <v/>
      </c>
      <c r="DC664" t="inlineStr"/>
      <c r="DD664" t="inlineStr"/>
      <c r="DE664" t="inlineStr"/>
      <c r="DF664" t="inlineStr"/>
      <c r="DG664" t="inlineStr"/>
      <c r="DH664" t="inlineStr"/>
      <c r="DI664" t="inlineStr"/>
      <c r="DJ664" t="inlineStr"/>
      <c r="DK664" t="inlineStr"/>
      <c r="DL664" t="inlineStr"/>
      <c r="DM664" t="inlineStr"/>
      <c r="DN664" t="n">
        <v>0</v>
      </c>
      <c r="DO664" t="n">
        <v>0</v>
      </c>
      <c r="DP664" t="n">
        <v>1</v>
      </c>
      <c r="DQ664" t="n">
        <v>1</v>
      </c>
      <c r="DU664" t="n">
        <v>1010</v>
      </c>
      <c r="DV664" t="inlineStr">
        <is>
          <t>шт.</t>
        </is>
      </c>
      <c r="DW664" t="inlineStr">
        <is>
          <t>шт.</t>
        </is>
      </c>
      <c r="DX664" t="n">
        <v>1</v>
      </c>
      <c r="DZ664" t="inlineStr"/>
      <c r="EA664" t="inlineStr"/>
      <c r="EB664" t="inlineStr"/>
      <c r="EC664" t="inlineStr"/>
      <c r="EE664" t="n">
        <v>78726030</v>
      </c>
      <c r="EF664" t="n">
        <v>6</v>
      </c>
      <c r="EG664" t="inlineStr">
        <is>
          <t>Ремонтно-строительные работы</t>
        </is>
      </c>
      <c r="EH664" t="n">
        <v>101</v>
      </c>
      <c r="EI664" t="inlineStr">
        <is>
          <t>Электромонтажные работы</t>
        </is>
      </c>
      <c r="EJ664" t="n">
        <v>1</v>
      </c>
      <c r="EK664" t="n">
        <v>67001</v>
      </c>
      <c r="EL664" t="inlineStr">
        <is>
          <t>Электромонтажные работы</t>
        </is>
      </c>
      <c r="EM664" t="inlineStr">
        <is>
          <t>рФЕР-67</t>
        </is>
      </c>
      <c r="EO664" t="inlineStr"/>
      <c r="EQ664" t="n">
        <v>0</v>
      </c>
      <c r="ER664" t="n">
        <v>140.69</v>
      </c>
      <c r="ES664" t="n">
        <v>140.69</v>
      </c>
      <c r="ET664" t="n">
        <v>0</v>
      </c>
      <c r="EU664" t="n">
        <v>0</v>
      </c>
      <c r="EV664" t="n">
        <v>0</v>
      </c>
      <c r="EW664" t="n">
        <v>0</v>
      </c>
      <c r="EX664" t="n">
        <v>0</v>
      </c>
      <c r="FQ664" t="n">
        <v>0</v>
      </c>
      <c r="FR664" t="n">
        <v>0</v>
      </c>
      <c r="FS664" t="n">
        <v>0</v>
      </c>
      <c r="FX664" t="n">
        <v>91</v>
      </c>
      <c r="FY664" t="n">
        <v>48</v>
      </c>
      <c r="GA664" t="inlineStr"/>
      <c r="GD664" t="n">
        <v>1</v>
      </c>
      <c r="GF664" t="n">
        <v>-228955380</v>
      </c>
      <c r="GG664" t="n">
        <v>2</v>
      </c>
      <c r="GH664" t="n">
        <v>1</v>
      </c>
      <c r="GI664" t="n">
        <v>2</v>
      </c>
      <c r="GJ664" t="n">
        <v>0</v>
      </c>
      <c r="GK664" t="n">
        <v>0</v>
      </c>
      <c r="GL664">
        <f>ROUND(IF(AND(BH664=3,BI664=3,FS664&lt;&gt;0),P664,0),0)</f>
        <v/>
      </c>
      <c r="GM664">
        <f>ROUND(O664+X664+Y664,0)+GX664</f>
        <v/>
      </c>
      <c r="GN664">
        <f>IF(OR(BI664=0,BI664=1),GM664-GX664,0)</f>
        <v/>
      </c>
      <c r="GO664">
        <f>IF(BI664=2,GM664-GX664,0)</f>
        <v/>
      </c>
      <c r="GP664">
        <f>IF(BI664=4,GM664-GX664,0)</f>
        <v/>
      </c>
      <c r="GR664" t="n">
        <v>0</v>
      </c>
      <c r="GS664" t="n">
        <v>3</v>
      </c>
      <c r="GT664" t="n">
        <v>0</v>
      </c>
      <c r="GU664" t="inlineStr"/>
      <c r="GV664">
        <f>ROUND((GT664),2)</f>
        <v/>
      </c>
      <c r="GW664" t="n">
        <v>1</v>
      </c>
      <c r="GX664">
        <f>ROUND(HC664*I664,0)</f>
        <v/>
      </c>
      <c r="HA664" t="n">
        <v>0</v>
      </c>
      <c r="HB664" t="n">
        <v>0</v>
      </c>
      <c r="HC664">
        <f>GV664*GW664</f>
        <v/>
      </c>
      <c r="HE664" t="inlineStr"/>
      <c r="HF664" t="inlineStr"/>
      <c r="HM664" t="inlineStr"/>
      <c r="HN664" t="inlineStr">
        <is>
          <t>Пр/812-101.0-1</t>
        </is>
      </c>
      <c r="HO664" t="inlineStr">
        <is>
          <t>Пр/774-101.0</t>
        </is>
      </c>
      <c r="HP664" t="inlineStr">
        <is>
          <t>Электромонтажные работы</t>
        </is>
      </c>
      <c r="HQ664" t="inlineStr">
        <is>
          <t>Электромонтажные работы</t>
        </is>
      </c>
      <c r="HS664" t="n">
        <v>0</v>
      </c>
      <c r="IK664" t="n">
        <v>0</v>
      </c>
    </row>
    <row r="665">
      <c r="A665" t="n">
        <v>17</v>
      </c>
      <c r="B665" t="n">
        <v>0</v>
      </c>
      <c r="C665">
        <f>ROW(SmtRes!A370)</f>
        <v/>
      </c>
      <c r="D665">
        <f>ROW(EtalonRes!A337)</f>
        <v/>
      </c>
      <c r="E665" t="inlineStr">
        <is>
          <t>5</t>
        </is>
      </c>
      <c r="F665" t="inlineStr">
        <is>
          <t>м08-03-526-2</t>
        </is>
      </c>
      <c r="G665" t="inlineStr">
        <is>
          <t>Автомат одно-, двух-, трехполюсный, устанавливаемый на конструкции на стене или колонне, на ток до 100 А</t>
        </is>
      </c>
      <c r="H665" t="inlineStr">
        <is>
          <t>1  ШТ.</t>
        </is>
      </c>
      <c r="I665">
        <f>ROUND(ROUND(1,4),7)</f>
        <v/>
      </c>
      <c r="J665" t="n">
        <v>0</v>
      </c>
      <c r="K665">
        <f>ROUND(ROUND(1,4),7)</f>
        <v/>
      </c>
      <c r="O665">
        <f>ROUND(CP665,0)</f>
        <v/>
      </c>
      <c r="P665">
        <f>ROUND(CQ665*I665,0)</f>
        <v/>
      </c>
      <c r="Q665">
        <f>(ROUND((ROUND((((ET665*ROUND(0.2,7)))*I665),0)*BB665),0)+ROUND((ROUND(((AE665-((EU665*ROUND(0.2,7))))*I665),0)*BS665),0))</f>
        <v/>
      </c>
      <c r="R665">
        <f>(ROUND((ROUND((((EU665*ROUND(0.2,7)))*I665),0)*BS665),0)+ROUND((ROUND(((AE665-((EU665*ROUND(0.2,7))))*I665),0)*BS665),0))</f>
        <v/>
      </c>
      <c r="S665">
        <f>ROUND(CT665*I665,0)</f>
        <v/>
      </c>
      <c r="T665">
        <f>ROUND(CU665*I665,0)</f>
        <v/>
      </c>
      <c r="U665">
        <f>ROUND(CV665*I665,7)</f>
        <v/>
      </c>
      <c r="V665">
        <f>ROUND(CW665*I665,7)</f>
        <v/>
      </c>
      <c r="W665">
        <f>ROUND(CX665*I665,0)</f>
        <v/>
      </c>
      <c r="X665">
        <f>ROUND(CY665,0)</f>
        <v/>
      </c>
      <c r="Y665">
        <f>ROUND(CZ665,0)</f>
        <v/>
      </c>
      <c r="AA665" t="n">
        <v>78869116</v>
      </c>
      <c r="AB665">
        <f>ROUND((AC665+AD665+AF665),2)</f>
        <v/>
      </c>
      <c r="AC665">
        <f>ROUND(((ES665*ROUND(0.2,7))),2)</f>
        <v/>
      </c>
      <c r="AD665">
        <f>ROUND(((((ET665*ROUND(0.2,7)))-((EU665*ROUND(0.2,7))))+AE665),2)</f>
        <v/>
      </c>
      <c r="AE665">
        <f>ROUND(((EU665*ROUND(0.2,7))),2)</f>
        <v/>
      </c>
      <c r="AF665">
        <f>ROUND(((EV665*ROUND(0.2,7))),2)</f>
        <v/>
      </c>
      <c r="AG665">
        <f>ROUND((AP665),2)</f>
        <v/>
      </c>
      <c r="AH665">
        <f>((EW665*ROUND(0.2,7)))</f>
        <v/>
      </c>
      <c r="AI665">
        <f>((EX665*ROUND(0.2,7)))</f>
        <v/>
      </c>
      <c r="AJ665">
        <f>(AS665)</f>
        <v/>
      </c>
      <c r="AK665" t="n">
        <v>62.43</v>
      </c>
      <c r="AL665" t="n">
        <v>36.8</v>
      </c>
      <c r="AM665" t="n">
        <v>3.57</v>
      </c>
      <c r="AN665" t="n">
        <v>0.14</v>
      </c>
      <c r="AO665" t="n">
        <v>22.06</v>
      </c>
      <c r="AP665" t="n">
        <v>0</v>
      </c>
      <c r="AQ665" t="n">
        <v>2.32</v>
      </c>
      <c r="AR665" t="n">
        <v>0.01</v>
      </c>
      <c r="AS665" t="n">
        <v>0</v>
      </c>
      <c r="AT665" t="n">
        <v>97</v>
      </c>
      <c r="AU665" t="n">
        <v>51</v>
      </c>
      <c r="AV665" t="n">
        <v>1</v>
      </c>
      <c r="AW665" t="n">
        <v>1</v>
      </c>
      <c r="AZ665" t="n">
        <v>1</v>
      </c>
      <c r="BA665" t="n">
        <v>52.25</v>
      </c>
      <c r="BB665" t="n">
        <v>13.3</v>
      </c>
      <c r="BC665" t="n">
        <v>13.79</v>
      </c>
      <c r="BD665" t="inlineStr"/>
      <c r="BE665" t="inlineStr"/>
      <c r="BF665" t="inlineStr"/>
      <c r="BG665" t="inlineStr"/>
      <c r="BH665" t="n">
        <v>0</v>
      </c>
      <c r="BI665" t="n">
        <v>2</v>
      </c>
      <c r="BJ665" t="inlineStr">
        <is>
          <t>ТЕРм Московской обл., м08-03-526-2, приказ Минстроя России №675/пр от 28.02.2017 № 259/пр</t>
        </is>
      </c>
      <c r="BM665" t="n">
        <v>108001</v>
      </c>
      <c r="BN665" t="n">
        <v>0</v>
      </c>
      <c r="BO665" t="inlineStr">
        <is>
          <t>м08-03-526-2</t>
        </is>
      </c>
      <c r="BP665" t="n">
        <v>1</v>
      </c>
      <c r="BQ665" t="n">
        <v>3</v>
      </c>
      <c r="BR665" t="n">
        <v>0</v>
      </c>
      <c r="BS665" t="n">
        <v>52.25</v>
      </c>
      <c r="BT665" t="n">
        <v>1</v>
      </c>
      <c r="BU665" t="n">
        <v>1</v>
      </c>
      <c r="BV665" t="n">
        <v>1</v>
      </c>
      <c r="BW665" t="n">
        <v>1</v>
      </c>
      <c r="BX665" t="n">
        <v>1</v>
      </c>
      <c r="BY665" t="inlineStr"/>
      <c r="BZ665" t="n">
        <v>97</v>
      </c>
      <c r="CA665" t="n">
        <v>51</v>
      </c>
      <c r="CB665" t="inlineStr"/>
      <c r="CE665" t="n">
        <v>12</v>
      </c>
      <c r="CF665" t="n">
        <v>0</v>
      </c>
      <c r="CG665" t="n">
        <v>0</v>
      </c>
      <c r="CM665" t="n">
        <v>0</v>
      </c>
      <c r="CN665" t="inlineStr"/>
      <c r="CO665" t="n">
        <v>0</v>
      </c>
      <c r="CP665">
        <f>(P665+Q665+S665)</f>
        <v/>
      </c>
      <c r="CQ665">
        <f>AC665*BC665</f>
        <v/>
      </c>
      <c r="CR665">
        <f>(ROUND((ROUND((((ET665*ROUND(0.2,7)))*1),0)*BB665),0)+ROUND((ROUND(((AE665-((EU665*ROUND(0.2,7))))*1),0)*BS665),0))</f>
        <v/>
      </c>
      <c r="CS665">
        <f>(ROUND((ROUND((((EU665*ROUND(0.2,7)))*1),0)*BS665),0)+ROUND((ROUND(((AE665-((EU665*ROUND(0.2,7))))*1),0)*BS665),0))</f>
        <v/>
      </c>
      <c r="CT665">
        <f>AF665*BA665</f>
        <v/>
      </c>
      <c r="CU665">
        <f>AG665</f>
        <v/>
      </c>
      <c r="CV665">
        <f>AH665</f>
        <v/>
      </c>
      <c r="CW665">
        <f>AI665</f>
        <v/>
      </c>
      <c r="CX665">
        <f>AJ665</f>
        <v/>
      </c>
      <c r="CY665">
        <f>(((S665+R665)*AT665)/100)</f>
        <v/>
      </c>
      <c r="CZ665">
        <f>(((S665+R665)*AU665)/100)</f>
        <v/>
      </c>
      <c r="DC665" t="inlineStr"/>
      <c r="DD665" t="inlineStr">
        <is>
          <t>)*0,2</t>
        </is>
      </c>
      <c r="DE665" t="inlineStr">
        <is>
          <t>)*0,2</t>
        </is>
      </c>
      <c r="DF665" t="inlineStr">
        <is>
          <t>)*0,2</t>
        </is>
      </c>
      <c r="DG665" t="inlineStr">
        <is>
          <t>)*0,2</t>
        </is>
      </c>
      <c r="DH665" t="inlineStr"/>
      <c r="DI665" t="inlineStr">
        <is>
          <t>)*0,2</t>
        </is>
      </c>
      <c r="DJ665" t="inlineStr">
        <is>
          <t>)*0,2</t>
        </is>
      </c>
      <c r="DK665" t="inlineStr"/>
      <c r="DL665" t="inlineStr"/>
      <c r="DM665" t="inlineStr"/>
      <c r="DN665" t="n">
        <v>0</v>
      </c>
      <c r="DO665" t="n">
        <v>0</v>
      </c>
      <c r="DP665" t="n">
        <v>1</v>
      </c>
      <c r="DQ665" t="n">
        <v>1</v>
      </c>
      <c r="DU665" t="n">
        <v>1013</v>
      </c>
      <c r="DV665" t="inlineStr">
        <is>
          <t>1  ШТ.</t>
        </is>
      </c>
      <c r="DW665" t="inlineStr">
        <is>
          <t>1  ШТ.</t>
        </is>
      </c>
      <c r="DX665" t="n">
        <v>1</v>
      </c>
      <c r="DZ665" t="inlineStr"/>
      <c r="EA665" t="inlineStr"/>
      <c r="EB665" t="inlineStr"/>
      <c r="EC665" t="inlineStr"/>
      <c r="EE665" t="n">
        <v>78725665</v>
      </c>
      <c r="EF665" t="n">
        <v>3</v>
      </c>
      <c r="EG665" t="inlineStr">
        <is>
          <t>Монтажные работы</t>
        </is>
      </c>
      <c r="EH665" t="n">
        <v>0</v>
      </c>
      <c r="EI665" t="inlineStr"/>
      <c r="EJ665" t="n">
        <v>2</v>
      </c>
      <c r="EK665" t="n">
        <v>108001</v>
      </c>
      <c r="EL665" t="inlineStr">
        <is>
          <t>Электротехнические установки: на других объектах</t>
        </is>
      </c>
      <c r="EM665" t="inlineStr">
        <is>
          <t>мФЕР-08</t>
        </is>
      </c>
      <c r="EO665" t="inlineStr"/>
      <c r="EQ665" t="n">
        <v>0</v>
      </c>
      <c r="ER665" t="n">
        <v>62.43</v>
      </c>
      <c r="ES665" t="n">
        <v>36.8</v>
      </c>
      <c r="ET665" t="n">
        <v>3.57</v>
      </c>
      <c r="EU665" t="n">
        <v>0.14</v>
      </c>
      <c r="EV665" t="n">
        <v>22.06</v>
      </c>
      <c r="EW665" t="n">
        <v>2.32</v>
      </c>
      <c r="EX665" t="n">
        <v>0.01</v>
      </c>
      <c r="EY665" t="n">
        <v>0</v>
      </c>
      <c r="FQ665" t="n">
        <v>0</v>
      </c>
      <c r="FR665" t="n">
        <v>0</v>
      </c>
      <c r="FS665" t="n">
        <v>0</v>
      </c>
      <c r="FX665" t="n">
        <v>97</v>
      </c>
      <c r="FY665" t="n">
        <v>51</v>
      </c>
      <c r="GA665" t="inlineStr"/>
      <c r="GD665" t="n">
        <v>1</v>
      </c>
      <c r="GF665" t="n">
        <v>-2089436795</v>
      </c>
      <c r="GG665" t="n">
        <v>2</v>
      </c>
      <c r="GH665" t="n">
        <v>1</v>
      </c>
      <c r="GI665" t="n">
        <v>2</v>
      </c>
      <c r="GJ665" t="n">
        <v>0</v>
      </c>
      <c r="GK665" t="n">
        <v>0</v>
      </c>
      <c r="GL665">
        <f>ROUND(IF(AND(BH665=3,BI665=3,FS665&lt;&gt;0),P665,0),0)</f>
        <v/>
      </c>
      <c r="GM665">
        <f>ROUND(O665+X665+Y665,0)+GX665</f>
        <v/>
      </c>
      <c r="GN665">
        <f>IF(OR(BI665=0,BI665=1),GM665-GX665,0)</f>
        <v/>
      </c>
      <c r="GO665">
        <f>IF(BI665=2,GM665-GX665,0)</f>
        <v/>
      </c>
      <c r="GP665">
        <f>IF(BI665=4,GM665-GX665,0)</f>
        <v/>
      </c>
      <c r="GR665" t="n">
        <v>0</v>
      </c>
      <c r="GS665" t="n">
        <v>3</v>
      </c>
      <c r="GT665" t="n">
        <v>0</v>
      </c>
      <c r="GU665" t="inlineStr"/>
      <c r="GV665">
        <f>ROUND((GT665),2)</f>
        <v/>
      </c>
      <c r="GW665" t="n">
        <v>1</v>
      </c>
      <c r="GX665">
        <f>ROUND(HC665*I665,0)</f>
        <v/>
      </c>
      <c r="HA665" t="n">
        <v>0</v>
      </c>
      <c r="HB665" t="n">
        <v>0</v>
      </c>
      <c r="HC665">
        <f>GV665*GW665</f>
        <v/>
      </c>
      <c r="HE665" t="inlineStr"/>
      <c r="HF665" t="inlineStr"/>
      <c r="HM665" t="inlineStr"/>
      <c r="HN665" t="inlineStr">
        <is>
          <t>Пр/812-049.3-1</t>
        </is>
      </c>
      <c r="HO665" t="inlineStr">
        <is>
          <t>Пр/774-049.3</t>
        </is>
      </c>
      <c r="HP665" t="inlineStr">
        <is>
          <t>Электротехнические установки: на других объектах</t>
        </is>
      </c>
      <c r="HQ665" t="inlineStr">
        <is>
          <t>Электротехнические установки: на других объектах</t>
        </is>
      </c>
      <c r="HS665" t="n">
        <v>0</v>
      </c>
      <c r="IK665" t="n">
        <v>0</v>
      </c>
    </row>
    <row r="666">
      <c r="A666" t="n">
        <v>17</v>
      </c>
      <c r="B666" t="n">
        <v>0</v>
      </c>
      <c r="C666">
        <f>ROW(SmtRes!A390)</f>
        <v/>
      </c>
      <c r="D666">
        <f>ROW(EtalonRes!A356)</f>
        <v/>
      </c>
      <c r="E666" t="inlineStr">
        <is>
          <t>6</t>
        </is>
      </c>
      <c r="F666" t="inlineStr">
        <is>
          <t>м08-03-526-2</t>
        </is>
      </c>
      <c r="G666" t="inlineStr">
        <is>
          <t>Автомат одно-, двух-, трехполюсный, устанавливаемый на конструкции на стене или колонне, на ток до 100 А</t>
        </is>
      </c>
      <c r="H666" t="inlineStr">
        <is>
          <t>1  ШТ.</t>
        </is>
      </c>
      <c r="I666">
        <f>ROUND(ROUND(1,4),7)</f>
        <v/>
      </c>
      <c r="J666" t="n">
        <v>0</v>
      </c>
      <c r="K666">
        <f>ROUND(ROUND(1,4),7)</f>
        <v/>
      </c>
      <c r="O666">
        <f>ROUND(CP666,0)</f>
        <v/>
      </c>
      <c r="P666">
        <f>ROUND(CQ666*I666,0)</f>
        <v/>
      </c>
      <c r="Q666">
        <f>(ROUND((ROUND(((ET666)*I666),0)*BB666),0)+ROUND((ROUND(((AE666-(EU666))*I666),0)*BS666),0))</f>
        <v/>
      </c>
      <c r="R666">
        <f>(ROUND((ROUND(((EU666)*I666),0)*BS666),0)+ROUND((ROUND(((AE666-(EU666))*I666),0)*BS666),0))</f>
        <v/>
      </c>
      <c r="S666">
        <f>ROUND(CT666*I666,0)</f>
        <v/>
      </c>
      <c r="T666">
        <f>ROUND(CU666*I666,0)</f>
        <v/>
      </c>
      <c r="U666">
        <f>ROUND(CV666*I666,7)</f>
        <v/>
      </c>
      <c r="V666">
        <f>ROUND(CW666*I666,7)</f>
        <v/>
      </c>
      <c r="W666">
        <f>ROUND(CX666*I666,0)</f>
        <v/>
      </c>
      <c r="X666">
        <f>ROUND(CY666,0)</f>
        <v/>
      </c>
      <c r="Y666">
        <f>ROUND(CZ666,0)</f>
        <v/>
      </c>
      <c r="AA666" t="n">
        <v>78869116</v>
      </c>
      <c r="AB666">
        <f>ROUND((AC666+AD666+AF666),2)</f>
        <v/>
      </c>
      <c r="AC666">
        <f>ROUND((ES666),2)</f>
        <v/>
      </c>
      <c r="AD666">
        <f>ROUND((((ET666)-(EU666))+AE666),2)</f>
        <v/>
      </c>
      <c r="AE666">
        <f>ROUND((EU666),2)</f>
        <v/>
      </c>
      <c r="AF666">
        <f>ROUND((EV666),2)</f>
        <v/>
      </c>
      <c r="AG666">
        <f>ROUND((AP666),2)</f>
        <v/>
      </c>
      <c r="AH666">
        <f>(EW666)</f>
        <v/>
      </c>
      <c r="AI666">
        <f>(EX666)</f>
        <v/>
      </c>
      <c r="AJ666">
        <f>(AS666)</f>
        <v/>
      </c>
      <c r="AK666" t="n">
        <v>62.43</v>
      </c>
      <c r="AL666" t="n">
        <v>36.8</v>
      </c>
      <c r="AM666" t="n">
        <v>3.57</v>
      </c>
      <c r="AN666" t="n">
        <v>0.14</v>
      </c>
      <c r="AO666" t="n">
        <v>22.06</v>
      </c>
      <c r="AP666" t="n">
        <v>0</v>
      </c>
      <c r="AQ666" t="n">
        <v>2.32</v>
      </c>
      <c r="AR666" t="n">
        <v>0.01</v>
      </c>
      <c r="AS666" t="n">
        <v>0</v>
      </c>
      <c r="AT666" t="n">
        <v>97</v>
      </c>
      <c r="AU666" t="n">
        <v>51</v>
      </c>
      <c r="AV666" t="n">
        <v>1</v>
      </c>
      <c r="AW666" t="n">
        <v>1</v>
      </c>
      <c r="AZ666" t="n">
        <v>1</v>
      </c>
      <c r="BA666" t="n">
        <v>52.25</v>
      </c>
      <c r="BB666" t="n">
        <v>13.3</v>
      </c>
      <c r="BC666" t="n">
        <v>13.79</v>
      </c>
      <c r="BD666" t="inlineStr"/>
      <c r="BE666" t="inlineStr"/>
      <c r="BF666" t="inlineStr"/>
      <c r="BG666" t="inlineStr"/>
      <c r="BH666" t="n">
        <v>0</v>
      </c>
      <c r="BI666" t="n">
        <v>2</v>
      </c>
      <c r="BJ666" t="inlineStr">
        <is>
          <t>ТЕРм Московской обл., м08-03-526-2, приказ Минстроя России №675/пр от 28.02.2017 № 259/пр</t>
        </is>
      </c>
      <c r="BM666" t="n">
        <v>108001</v>
      </c>
      <c r="BN666" t="n">
        <v>0</v>
      </c>
      <c r="BO666" t="inlineStr">
        <is>
          <t>м08-03-526-2</t>
        </is>
      </c>
      <c r="BP666" t="n">
        <v>1</v>
      </c>
      <c r="BQ666" t="n">
        <v>3</v>
      </c>
      <c r="BR666" t="n">
        <v>0</v>
      </c>
      <c r="BS666" t="n">
        <v>52.25</v>
      </c>
      <c r="BT666" t="n">
        <v>1</v>
      </c>
      <c r="BU666" t="n">
        <v>1</v>
      </c>
      <c r="BV666" t="n">
        <v>1</v>
      </c>
      <c r="BW666" t="n">
        <v>1</v>
      </c>
      <c r="BX666" t="n">
        <v>1</v>
      </c>
      <c r="BY666" t="inlineStr"/>
      <c r="BZ666" t="n">
        <v>97</v>
      </c>
      <c r="CA666" t="n">
        <v>51</v>
      </c>
      <c r="CB666" t="inlineStr"/>
      <c r="CE666" t="n">
        <v>12</v>
      </c>
      <c r="CF666" t="n">
        <v>0</v>
      </c>
      <c r="CG666" t="n">
        <v>0</v>
      </c>
      <c r="CM666" t="n">
        <v>0</v>
      </c>
      <c r="CN666" t="inlineStr"/>
      <c r="CO666" t="n">
        <v>0</v>
      </c>
      <c r="CP666">
        <f>(P666+Q666+S666)</f>
        <v/>
      </c>
      <c r="CQ666">
        <f>AC666*BC666</f>
        <v/>
      </c>
      <c r="CR666">
        <f>(ROUND((ROUND(((ET666)*1),0)*BB666),0)+ROUND((ROUND(((AE666-(EU666))*1),0)*BS666),0))</f>
        <v/>
      </c>
      <c r="CS666">
        <f>(ROUND((ROUND(((EU666)*1),0)*BS666),0)+ROUND((ROUND(((AE666-(EU666))*1),0)*BS666),0))</f>
        <v/>
      </c>
      <c r="CT666">
        <f>AF666*BA666</f>
        <v/>
      </c>
      <c r="CU666">
        <f>AG666</f>
        <v/>
      </c>
      <c r="CV666">
        <f>AH666</f>
        <v/>
      </c>
      <c r="CW666">
        <f>AI666</f>
        <v/>
      </c>
      <c r="CX666">
        <f>AJ666</f>
        <v/>
      </c>
      <c r="CY666">
        <f>(((S666+R666)*AT666)/100)</f>
        <v/>
      </c>
      <c r="CZ666">
        <f>(((S666+R666)*AU666)/100)</f>
        <v/>
      </c>
      <c r="DC666" t="inlineStr"/>
      <c r="DD666" t="inlineStr"/>
      <c r="DE666" t="inlineStr"/>
      <c r="DF666" t="inlineStr"/>
      <c r="DG666" t="inlineStr"/>
      <c r="DH666" t="inlineStr"/>
      <c r="DI666" t="inlineStr"/>
      <c r="DJ666" t="inlineStr"/>
      <c r="DK666" t="inlineStr"/>
      <c r="DL666" t="inlineStr"/>
      <c r="DM666" t="inlineStr"/>
      <c r="DN666" t="n">
        <v>0</v>
      </c>
      <c r="DO666" t="n">
        <v>0</v>
      </c>
      <c r="DP666" t="n">
        <v>1</v>
      </c>
      <c r="DQ666" t="n">
        <v>1</v>
      </c>
      <c r="DU666" t="n">
        <v>1013</v>
      </c>
      <c r="DV666" t="inlineStr">
        <is>
          <t>1  ШТ.</t>
        </is>
      </c>
      <c r="DW666" t="inlineStr">
        <is>
          <t>1  ШТ.</t>
        </is>
      </c>
      <c r="DX666" t="n">
        <v>1</v>
      </c>
      <c r="DZ666" t="inlineStr"/>
      <c r="EA666" t="inlineStr"/>
      <c r="EB666" t="inlineStr"/>
      <c r="EC666" t="inlineStr"/>
      <c r="EE666" t="n">
        <v>78725665</v>
      </c>
      <c r="EF666" t="n">
        <v>3</v>
      </c>
      <c r="EG666" t="inlineStr">
        <is>
          <t>Монтажные работы</t>
        </is>
      </c>
      <c r="EH666" t="n">
        <v>0</v>
      </c>
      <c r="EI666" t="inlineStr"/>
      <c r="EJ666" t="n">
        <v>2</v>
      </c>
      <c r="EK666" t="n">
        <v>108001</v>
      </c>
      <c r="EL666" t="inlineStr">
        <is>
          <t>Электротехнические установки: на других объектах</t>
        </is>
      </c>
      <c r="EM666" t="inlineStr">
        <is>
          <t>мФЕР-08</t>
        </is>
      </c>
      <c r="EO666" t="inlineStr"/>
      <c r="EQ666" t="n">
        <v>0</v>
      </c>
      <c r="ER666" t="n">
        <v>62.43</v>
      </c>
      <c r="ES666" t="n">
        <v>36.8</v>
      </c>
      <c r="ET666" t="n">
        <v>3.57</v>
      </c>
      <c r="EU666" t="n">
        <v>0.14</v>
      </c>
      <c r="EV666" t="n">
        <v>22.06</v>
      </c>
      <c r="EW666" t="n">
        <v>2.32</v>
      </c>
      <c r="EX666" t="n">
        <v>0.01</v>
      </c>
      <c r="EY666" t="n">
        <v>0</v>
      </c>
      <c r="FQ666" t="n">
        <v>0</v>
      </c>
      <c r="FR666" t="n">
        <v>0</v>
      </c>
      <c r="FS666" t="n">
        <v>0</v>
      </c>
      <c r="FX666" t="n">
        <v>97</v>
      </c>
      <c r="FY666" t="n">
        <v>51</v>
      </c>
      <c r="GA666" t="inlineStr"/>
      <c r="GD666" t="n">
        <v>1</v>
      </c>
      <c r="GF666" t="n">
        <v>-2089436795</v>
      </c>
      <c r="GG666" t="n">
        <v>2</v>
      </c>
      <c r="GH666" t="n">
        <v>1</v>
      </c>
      <c r="GI666" t="n">
        <v>2</v>
      </c>
      <c r="GJ666" t="n">
        <v>0</v>
      </c>
      <c r="GK666" t="n">
        <v>0</v>
      </c>
      <c r="GL666">
        <f>ROUND(IF(AND(BH666=3,BI666=3,FS666&lt;&gt;0),P666,0),0)</f>
        <v/>
      </c>
      <c r="GM666">
        <f>ROUND(O666+X666+Y666,0)+GX666</f>
        <v/>
      </c>
      <c r="GN666">
        <f>IF(OR(BI666=0,BI666=1),GM666-GX666,0)</f>
        <v/>
      </c>
      <c r="GO666">
        <f>IF(BI666=2,GM666-GX666,0)</f>
        <v/>
      </c>
      <c r="GP666">
        <f>IF(BI666=4,GM666-GX666,0)</f>
        <v/>
      </c>
      <c r="GR666" t="n">
        <v>0</v>
      </c>
      <c r="GS666" t="n">
        <v>3</v>
      </c>
      <c r="GT666" t="n">
        <v>0</v>
      </c>
      <c r="GU666" t="inlineStr"/>
      <c r="GV666">
        <f>ROUND((GT666),2)</f>
        <v/>
      </c>
      <c r="GW666" t="n">
        <v>1</v>
      </c>
      <c r="GX666">
        <f>ROUND(HC666*I666,0)</f>
        <v/>
      </c>
      <c r="HA666" t="n">
        <v>0</v>
      </c>
      <c r="HB666" t="n">
        <v>0</v>
      </c>
      <c r="HC666">
        <f>GV666*GW666</f>
        <v/>
      </c>
      <c r="HE666" t="inlineStr"/>
      <c r="HF666" t="inlineStr"/>
      <c r="HM666" t="inlineStr"/>
      <c r="HN666" t="inlineStr">
        <is>
          <t>Пр/812-049.3-1</t>
        </is>
      </c>
      <c r="HO666" t="inlineStr">
        <is>
          <t>Пр/774-049.3</t>
        </is>
      </c>
      <c r="HP666" t="inlineStr">
        <is>
          <t>Электротехнические установки: на других объектах</t>
        </is>
      </c>
      <c r="HQ666" t="inlineStr">
        <is>
          <t>Электротехнические установки: на других объектах</t>
        </is>
      </c>
      <c r="HS666" t="n">
        <v>0</v>
      </c>
      <c r="IK666" t="n">
        <v>0</v>
      </c>
    </row>
    <row r="667">
      <c r="A667" t="n">
        <v>18</v>
      </c>
      <c r="B667" t="n">
        <v>0</v>
      </c>
      <c r="C667" t="n">
        <v>389</v>
      </c>
      <c r="E667" t="inlineStr">
        <is>
          <t>6,1</t>
        </is>
      </c>
      <c r="F667" t="inlineStr">
        <is>
          <t>509-2247</t>
        </is>
      </c>
      <c r="G667" t="inlineStr">
        <is>
          <t>Выключатели автоматические «IEK» ВА47-29 4Р 25А, характеристика С</t>
        </is>
      </c>
      <c r="H667" t="inlineStr">
        <is>
          <t>шт.</t>
        </is>
      </c>
      <c r="I667">
        <f>I666*J667</f>
        <v/>
      </c>
      <c r="J667" t="n">
        <v>1</v>
      </c>
      <c r="K667" t="n">
        <v>1</v>
      </c>
      <c r="O667">
        <f>ROUND(CP667,0)</f>
        <v/>
      </c>
      <c r="P667">
        <f>ROUND(CQ667*I667,0)</f>
        <v/>
      </c>
      <c r="Q667">
        <f>(ROUND((ROUND(((ET667)*I667),0)*BB667),0)+ROUND((ROUND(((AE667-(EU667))*I667),0)*BS667),0))</f>
        <v/>
      </c>
      <c r="R667">
        <f>(ROUND((ROUND(((EU667)*I667),0)*BS667),0)+ROUND((ROUND(((AE667-(EU667))*I667),0)*BS667),0))</f>
        <v/>
      </c>
      <c r="S667">
        <f>ROUND(CT667*I667,0)</f>
        <v/>
      </c>
      <c r="T667">
        <f>ROUND(CU667*I667,0)</f>
        <v/>
      </c>
      <c r="U667">
        <f>ROUND(CV667*I667,7)</f>
        <v/>
      </c>
      <c r="V667">
        <f>ROUND(CW667*I667,7)</f>
        <v/>
      </c>
      <c r="W667">
        <f>ROUND(CX667*I667,0)</f>
        <v/>
      </c>
      <c r="X667">
        <f>ROUND(CY667,0)</f>
        <v/>
      </c>
      <c r="Y667">
        <f>ROUND(CZ667,0)</f>
        <v/>
      </c>
      <c r="AA667" t="n">
        <v>78869116</v>
      </c>
      <c r="AB667">
        <f>ROUND((AC667+AD667+AF667),2)</f>
        <v/>
      </c>
      <c r="AC667">
        <f>ROUND((ES667),2)</f>
        <v/>
      </c>
      <c r="AD667">
        <f>ROUND((((ET667)-(EU667))+AE667),2)</f>
        <v/>
      </c>
      <c r="AE667">
        <f>ROUND((EU667),2)</f>
        <v/>
      </c>
      <c r="AF667">
        <f>ROUND((EV667),2)</f>
        <v/>
      </c>
      <c r="AG667">
        <f>ROUND((AP667),2)</f>
        <v/>
      </c>
      <c r="AH667">
        <f>(EW667)</f>
        <v/>
      </c>
      <c r="AI667">
        <f>(EX667)</f>
        <v/>
      </c>
      <c r="AJ667">
        <f>(AS667)</f>
        <v/>
      </c>
      <c r="AK667" t="n">
        <v>57.43</v>
      </c>
      <c r="AL667" t="n">
        <v>57.43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  <c r="AS667" t="n">
        <v>0.02</v>
      </c>
      <c r="AT667" t="n">
        <v>97</v>
      </c>
      <c r="AU667" t="n">
        <v>51</v>
      </c>
      <c r="AV667" t="n">
        <v>1</v>
      </c>
      <c r="AW667" t="n">
        <v>1</v>
      </c>
      <c r="AZ667" t="n">
        <v>1</v>
      </c>
      <c r="BA667" t="n">
        <v>1</v>
      </c>
      <c r="BB667" t="n">
        <v>1</v>
      </c>
      <c r="BC667" t="n">
        <v>8.539999999999999</v>
      </c>
      <c r="BD667" t="inlineStr"/>
      <c r="BE667" t="inlineStr"/>
      <c r="BF667" t="inlineStr"/>
      <c r="BG667" t="inlineStr"/>
      <c r="BH667" t="n">
        <v>3</v>
      </c>
      <c r="BI667" t="n">
        <v>2</v>
      </c>
      <c r="BJ667" t="inlineStr">
        <is>
          <t>ТССЦ Московской обл., 509-2247, приказ Минстроя России №675/пр от 28.02.2017 № 258/пр</t>
        </is>
      </c>
      <c r="BM667" t="n">
        <v>108001</v>
      </c>
      <c r="BN667" t="n">
        <v>0</v>
      </c>
      <c r="BO667" t="inlineStr">
        <is>
          <t>509-2247</t>
        </is>
      </c>
      <c r="BP667" t="n">
        <v>1</v>
      </c>
      <c r="BQ667" t="n">
        <v>3</v>
      </c>
      <c r="BR667" t="n">
        <v>0</v>
      </c>
      <c r="BS667" t="n">
        <v>1</v>
      </c>
      <c r="BT667" t="n">
        <v>1</v>
      </c>
      <c r="BU667" t="n">
        <v>1</v>
      </c>
      <c r="BV667" t="n">
        <v>1</v>
      </c>
      <c r="BW667" t="n">
        <v>1</v>
      </c>
      <c r="BX667" t="n">
        <v>1</v>
      </c>
      <c r="BY667" t="inlineStr"/>
      <c r="BZ667" t="n">
        <v>97</v>
      </c>
      <c r="CA667" t="n">
        <v>51</v>
      </c>
      <c r="CB667" t="inlineStr"/>
      <c r="CE667" t="n">
        <v>12</v>
      </c>
      <c r="CF667" t="n">
        <v>0</v>
      </c>
      <c r="CG667" t="n">
        <v>0</v>
      </c>
      <c r="CM667" t="n">
        <v>0</v>
      </c>
      <c r="CN667" t="inlineStr"/>
      <c r="CO667" t="n">
        <v>0</v>
      </c>
      <c r="CP667">
        <f>(P667+Q667+S667)</f>
        <v/>
      </c>
      <c r="CQ667">
        <f>AC667*BC667</f>
        <v/>
      </c>
      <c r="CR667">
        <f>(ROUND((ROUND(((ET667)*1),0)*BB667),0)+ROUND((ROUND(((AE667-(EU667))*1),0)*BS667),0))</f>
        <v/>
      </c>
      <c r="CS667">
        <f>(ROUND((ROUND(((EU667)*1),0)*BS667),0)+ROUND((ROUND(((AE667-(EU667))*1),0)*BS667),0))</f>
        <v/>
      </c>
      <c r="CT667">
        <f>AF667*BA667</f>
        <v/>
      </c>
      <c r="CU667">
        <f>AG667</f>
        <v/>
      </c>
      <c r="CV667">
        <f>AH667</f>
        <v/>
      </c>
      <c r="CW667">
        <f>AI667</f>
        <v/>
      </c>
      <c r="CX667">
        <f>AJ667</f>
        <v/>
      </c>
      <c r="CY667">
        <f>(((S667+R667)*AT667)/100)</f>
        <v/>
      </c>
      <c r="CZ667">
        <f>(((S667+R667)*AU667)/100)</f>
        <v/>
      </c>
      <c r="DC667" t="inlineStr"/>
      <c r="DD667" t="inlineStr"/>
      <c r="DE667" t="inlineStr"/>
      <c r="DF667" t="inlineStr"/>
      <c r="DG667" t="inlineStr"/>
      <c r="DH667" t="inlineStr"/>
      <c r="DI667" t="inlineStr"/>
      <c r="DJ667" t="inlineStr"/>
      <c r="DK667" t="inlineStr"/>
      <c r="DL667" t="inlineStr"/>
      <c r="DM667" t="inlineStr"/>
      <c r="DN667" t="n">
        <v>0</v>
      </c>
      <c r="DO667" t="n">
        <v>0</v>
      </c>
      <c r="DP667" t="n">
        <v>1</v>
      </c>
      <c r="DQ667" t="n">
        <v>1</v>
      </c>
      <c r="DU667" t="n">
        <v>1010</v>
      </c>
      <c r="DV667" t="inlineStr">
        <is>
          <t>шт.</t>
        </is>
      </c>
      <c r="DW667" t="inlineStr">
        <is>
          <t>шт.</t>
        </is>
      </c>
      <c r="DX667" t="n">
        <v>1</v>
      </c>
      <c r="DZ667" t="inlineStr"/>
      <c r="EA667" t="inlineStr"/>
      <c r="EB667" t="inlineStr"/>
      <c r="EC667" t="inlineStr"/>
      <c r="EE667" t="n">
        <v>78725665</v>
      </c>
      <c r="EF667" t="n">
        <v>3</v>
      </c>
      <c r="EG667" t="inlineStr">
        <is>
          <t>Монтажные работы</t>
        </is>
      </c>
      <c r="EH667" t="n">
        <v>0</v>
      </c>
      <c r="EI667" t="inlineStr"/>
      <c r="EJ667" t="n">
        <v>2</v>
      </c>
      <c r="EK667" t="n">
        <v>108001</v>
      </c>
      <c r="EL667" t="inlineStr">
        <is>
          <t>Электротехнические установки: на других объектах</t>
        </is>
      </c>
      <c r="EM667" t="inlineStr">
        <is>
          <t>мФЕР-08</t>
        </is>
      </c>
      <c r="EO667" t="inlineStr"/>
      <c r="EQ667" t="n">
        <v>0</v>
      </c>
      <c r="ER667" t="n">
        <v>57.43</v>
      </c>
      <c r="ES667" t="n">
        <v>57.43</v>
      </c>
      <c r="ET667" t="n">
        <v>0</v>
      </c>
      <c r="EU667" t="n">
        <v>0</v>
      </c>
      <c r="EV667" t="n">
        <v>0</v>
      </c>
      <c r="EW667" t="n">
        <v>0</v>
      </c>
      <c r="EX667" t="n">
        <v>0</v>
      </c>
      <c r="FQ667" t="n">
        <v>0</v>
      </c>
      <c r="FR667" t="n">
        <v>0</v>
      </c>
      <c r="FS667" t="n">
        <v>0</v>
      </c>
      <c r="FX667" t="n">
        <v>97</v>
      </c>
      <c r="FY667" t="n">
        <v>51</v>
      </c>
      <c r="GA667" t="inlineStr"/>
      <c r="GD667" t="n">
        <v>1</v>
      </c>
      <c r="GF667" t="n">
        <v>-104479151</v>
      </c>
      <c r="GG667" t="n">
        <v>2</v>
      </c>
      <c r="GH667" t="n">
        <v>1</v>
      </c>
      <c r="GI667" t="n">
        <v>2</v>
      </c>
      <c r="GJ667" t="n">
        <v>0</v>
      </c>
      <c r="GK667" t="n">
        <v>0</v>
      </c>
      <c r="GL667">
        <f>ROUND(IF(AND(BH667=3,BI667=3,FS667&lt;&gt;0),P667,0),0)</f>
        <v/>
      </c>
      <c r="GM667">
        <f>ROUND(O667+X667+Y667,0)+GX667</f>
        <v/>
      </c>
      <c r="GN667">
        <f>IF(OR(BI667=0,BI667=1),GM667-GX667,0)</f>
        <v/>
      </c>
      <c r="GO667">
        <f>IF(BI667=2,GM667-GX667,0)</f>
        <v/>
      </c>
      <c r="GP667">
        <f>IF(BI667=4,GM667-GX667,0)</f>
        <v/>
      </c>
      <c r="GR667" t="n">
        <v>0</v>
      </c>
      <c r="GS667" t="n">
        <v>3</v>
      </c>
      <c r="GT667" t="n">
        <v>0</v>
      </c>
      <c r="GU667" t="inlineStr"/>
      <c r="GV667">
        <f>ROUND((GT667),2)</f>
        <v/>
      </c>
      <c r="GW667" t="n">
        <v>1</v>
      </c>
      <c r="GX667">
        <f>ROUND(HC667*I667,0)</f>
        <v/>
      </c>
      <c r="HA667" t="n">
        <v>0</v>
      </c>
      <c r="HB667" t="n">
        <v>0</v>
      </c>
      <c r="HC667">
        <f>GV667*GW667</f>
        <v/>
      </c>
      <c r="HE667" t="inlineStr"/>
      <c r="HF667" t="inlineStr"/>
      <c r="HM667" t="inlineStr"/>
      <c r="HN667" t="inlineStr">
        <is>
          <t>Пр/812-049.3-1</t>
        </is>
      </c>
      <c r="HO667" t="inlineStr">
        <is>
          <t>Пр/774-049.3</t>
        </is>
      </c>
      <c r="HP667" t="inlineStr">
        <is>
          <t>Электротехнические установки: на других объектах</t>
        </is>
      </c>
      <c r="HQ667" t="inlineStr">
        <is>
          <t>Электротехнические установки: на других объектах</t>
        </is>
      </c>
      <c r="HS667" t="n">
        <v>0</v>
      </c>
      <c r="IK667" t="n">
        <v>0</v>
      </c>
    </row>
    <row r="668">
      <c r="A668" t="n">
        <v>17</v>
      </c>
      <c r="B668" t="n">
        <v>0</v>
      </c>
      <c r="C668">
        <f>ROW(SmtRes!A391)</f>
        <v/>
      </c>
      <c r="D668">
        <f>ROW(EtalonRes!A357)</f>
        <v/>
      </c>
      <c r="E668" t="inlineStr">
        <is>
          <t>7</t>
        </is>
      </c>
      <c r="F668" t="inlineStr">
        <is>
          <t>65-14-1</t>
        </is>
      </c>
      <c r="G668" t="inlineStr">
        <is>
          <t>Разборка трубопроводов из водогазопроводных труб в зданиях и сооружениях на резьбе диаметром до 32 мм</t>
        </is>
      </c>
      <c r="H668" t="inlineStr">
        <is>
          <t>100 м трубопровода</t>
        </is>
      </c>
      <c r="I668">
        <f>ROUND(ROUND(12/100,4),7)</f>
        <v/>
      </c>
      <c r="J668" t="n">
        <v>0</v>
      </c>
      <c r="K668">
        <f>ROUND(ROUND(12/100,4),7)</f>
        <v/>
      </c>
      <c r="O668">
        <f>ROUND(CP668,0)</f>
        <v/>
      </c>
      <c r="P668">
        <f>ROUND(CQ668*I668,0)</f>
        <v/>
      </c>
      <c r="Q668">
        <f>(ROUND((ROUND(((ET668)*I668),0)*BB668),0)+ROUND((ROUND(((AE668-(EU668))*I668),0)*BS668),0))</f>
        <v/>
      </c>
      <c r="R668">
        <f>(ROUND((ROUND(((EU668)*I668),0)*BS668),0)+ROUND((ROUND(((AE668-(EU668))*I668),0)*BS668),0))</f>
        <v/>
      </c>
      <c r="S668">
        <f>ROUND(CT668*I668,0)</f>
        <v/>
      </c>
      <c r="T668">
        <f>ROUND(CU668*I668,0)</f>
        <v/>
      </c>
      <c r="U668">
        <f>ROUND(CV668*I668,7)</f>
        <v/>
      </c>
      <c r="V668">
        <f>ROUND(CW668*I668,7)</f>
        <v/>
      </c>
      <c r="W668">
        <f>ROUND(CX668*I668,0)</f>
        <v/>
      </c>
      <c r="X668">
        <f>ROUND(CY668,0)</f>
        <v/>
      </c>
      <c r="Y668">
        <f>ROUND(CZ668,0)</f>
        <v/>
      </c>
      <c r="AA668" t="n">
        <v>78869116</v>
      </c>
      <c r="AB668">
        <f>ROUND((AC668+AD668+AF668),2)</f>
        <v/>
      </c>
      <c r="AC668">
        <f>ROUND((ES668),2)</f>
        <v/>
      </c>
      <c r="AD668">
        <f>ROUND((((ET668)-(EU668))+AE668),2)</f>
        <v/>
      </c>
      <c r="AE668">
        <f>ROUND((EU668),2)</f>
        <v/>
      </c>
      <c r="AF668">
        <f>ROUND((EV668),2)</f>
        <v/>
      </c>
      <c r="AG668">
        <f>ROUND((AP668),2)</f>
        <v/>
      </c>
      <c r="AH668">
        <f>(EW668)</f>
        <v/>
      </c>
      <c r="AI668">
        <f>(EX668)</f>
        <v/>
      </c>
      <c r="AJ668">
        <f>(AS668)</f>
        <v/>
      </c>
      <c r="AK668" t="n">
        <v>322.43</v>
      </c>
      <c r="AL668" t="n">
        <v>0</v>
      </c>
      <c r="AM668" t="n">
        <v>0</v>
      </c>
      <c r="AN668" t="n">
        <v>0</v>
      </c>
      <c r="AO668" t="n">
        <v>322.43</v>
      </c>
      <c r="AP668" t="n">
        <v>0</v>
      </c>
      <c r="AQ668" t="n">
        <v>37.8</v>
      </c>
      <c r="AR668" t="n">
        <v>0</v>
      </c>
      <c r="AS668" t="n">
        <v>0</v>
      </c>
      <c r="AT668" t="n">
        <v>87</v>
      </c>
      <c r="AU668" t="n">
        <v>44</v>
      </c>
      <c r="AV668" t="n">
        <v>1</v>
      </c>
      <c r="AW668" t="n">
        <v>1</v>
      </c>
      <c r="AZ668" t="n">
        <v>1</v>
      </c>
      <c r="BA668" t="n">
        <v>52.25</v>
      </c>
      <c r="BB668" t="n">
        <v>1</v>
      </c>
      <c r="BC668" t="n">
        <v>1</v>
      </c>
      <c r="BD668" t="inlineStr"/>
      <c r="BE668" t="inlineStr"/>
      <c r="BF668" t="inlineStr"/>
      <c r="BG668" t="inlineStr"/>
      <c r="BH668" t="n">
        <v>0</v>
      </c>
      <c r="BI668" t="n">
        <v>1</v>
      </c>
      <c r="BJ668" t="inlineStr">
        <is>
          <t>ТЕРр Московской обл., 65-14-1, приказ Минстроя России №675/пр от 28.02.2017 № 263/пр</t>
        </is>
      </c>
      <c r="BM668" t="n">
        <v>65002</v>
      </c>
      <c r="BN668" t="n">
        <v>0</v>
      </c>
      <c r="BO668" t="inlineStr">
        <is>
          <t>65-14-1</t>
        </is>
      </c>
      <c r="BP668" t="n">
        <v>1</v>
      </c>
      <c r="BQ668" t="n">
        <v>6</v>
      </c>
      <c r="BR668" t="n">
        <v>0</v>
      </c>
      <c r="BS668" t="n">
        <v>52.25</v>
      </c>
      <c r="BT668" t="n">
        <v>1</v>
      </c>
      <c r="BU668" t="n">
        <v>1</v>
      </c>
      <c r="BV668" t="n">
        <v>1</v>
      </c>
      <c r="BW668" t="n">
        <v>1</v>
      </c>
      <c r="BX668" t="n">
        <v>1</v>
      </c>
      <c r="BY668" t="inlineStr"/>
      <c r="BZ668" t="n">
        <v>87</v>
      </c>
      <c r="CA668" t="n">
        <v>44</v>
      </c>
      <c r="CB668" t="inlineStr"/>
      <c r="CE668" t="n">
        <v>12</v>
      </c>
      <c r="CF668" t="n">
        <v>0</v>
      </c>
      <c r="CG668" t="n">
        <v>0</v>
      </c>
      <c r="CM668" t="n">
        <v>0</v>
      </c>
      <c r="CN668" t="inlineStr"/>
      <c r="CO668" t="n">
        <v>0</v>
      </c>
      <c r="CP668">
        <f>(P668+Q668+S668)</f>
        <v/>
      </c>
      <c r="CQ668">
        <f>AC668*BC668</f>
        <v/>
      </c>
      <c r="CR668">
        <f>(ROUND((ROUND(((ET668)*1),0)*BB668),0)+ROUND((ROUND(((AE668-(EU668))*1),0)*BS668),0))</f>
        <v/>
      </c>
      <c r="CS668">
        <f>(ROUND((ROUND(((EU668)*1),0)*BS668),0)+ROUND((ROUND(((AE668-(EU668))*1),0)*BS668),0))</f>
        <v/>
      </c>
      <c r="CT668">
        <f>AF668*BA668</f>
        <v/>
      </c>
      <c r="CU668">
        <f>AG668</f>
        <v/>
      </c>
      <c r="CV668">
        <f>AH668</f>
        <v/>
      </c>
      <c r="CW668">
        <f>AI668</f>
        <v/>
      </c>
      <c r="CX668">
        <f>AJ668</f>
        <v/>
      </c>
      <c r="CY668">
        <f>(((S668+R668)*AT668)/100)</f>
        <v/>
      </c>
      <c r="CZ668">
        <f>(((S668+R668)*AU668)/100)</f>
        <v/>
      </c>
      <c r="DC668" t="inlineStr"/>
      <c r="DD668" t="inlineStr"/>
      <c r="DE668" t="inlineStr"/>
      <c r="DF668" t="inlineStr"/>
      <c r="DG668" t="inlineStr"/>
      <c r="DH668" t="inlineStr"/>
      <c r="DI668" t="inlineStr"/>
      <c r="DJ668" t="inlineStr"/>
      <c r="DK668" t="inlineStr"/>
      <c r="DL668" t="inlineStr"/>
      <c r="DM668" t="inlineStr"/>
      <c r="DN668" t="n">
        <v>0</v>
      </c>
      <c r="DO668" t="n">
        <v>0</v>
      </c>
      <c r="DP668" t="n">
        <v>1</v>
      </c>
      <c r="DQ668" t="n">
        <v>1</v>
      </c>
      <c r="DU668" t="n">
        <v>1013</v>
      </c>
      <c r="DV668" t="inlineStr">
        <is>
          <t>100 м трубопровода</t>
        </is>
      </c>
      <c r="DW668" t="inlineStr">
        <is>
          <t>100 м трубопровода</t>
        </is>
      </c>
      <c r="DX668" t="n">
        <v>1</v>
      </c>
      <c r="DZ668" t="inlineStr"/>
      <c r="EA668" t="inlineStr"/>
      <c r="EB668" t="inlineStr"/>
      <c r="EC668" t="inlineStr"/>
      <c r="EE668" t="n">
        <v>78725991</v>
      </c>
      <c r="EF668" t="n">
        <v>6</v>
      </c>
      <c r="EG668" t="inlineStr">
        <is>
          <t>Ремонтно-строительные работы</t>
        </is>
      </c>
      <c r="EH668" t="n">
        <v>99</v>
      </c>
      <c r="EI668" t="inlineStr">
        <is>
          <t>Внутренние санитарно-технические работы</t>
        </is>
      </c>
      <c r="EJ668" t="n">
        <v>1</v>
      </c>
      <c r="EK668" t="n">
        <v>65002</v>
      </c>
      <c r="EL668" t="inlineStr">
        <is>
          <t>Внутренние санитарнотехнические работы: демонтаж и разборка</t>
        </is>
      </c>
      <c r="EM668" t="inlineStr">
        <is>
          <t>рФЕР-65</t>
        </is>
      </c>
      <c r="EO668" t="inlineStr"/>
      <c r="EQ668" t="n">
        <v>0</v>
      </c>
      <c r="ER668" t="n">
        <v>322.43</v>
      </c>
      <c r="ES668" t="n">
        <v>0</v>
      </c>
      <c r="ET668" t="n">
        <v>0</v>
      </c>
      <c r="EU668" t="n">
        <v>0</v>
      </c>
      <c r="EV668" t="n">
        <v>322.43</v>
      </c>
      <c r="EW668" t="n">
        <v>37.8</v>
      </c>
      <c r="EX668" t="n">
        <v>0</v>
      </c>
      <c r="EY668" t="n">
        <v>0</v>
      </c>
      <c r="FQ668" t="n">
        <v>0</v>
      </c>
      <c r="FR668" t="n">
        <v>0</v>
      </c>
      <c r="FS668" t="n">
        <v>0</v>
      </c>
      <c r="FX668" t="n">
        <v>87</v>
      </c>
      <c r="FY668" t="n">
        <v>44</v>
      </c>
      <c r="GA668" t="inlineStr"/>
      <c r="GD668" t="n">
        <v>1</v>
      </c>
      <c r="GF668" t="n">
        <v>-2021722353</v>
      </c>
      <c r="GG668" t="n">
        <v>2</v>
      </c>
      <c r="GH668" t="n">
        <v>1</v>
      </c>
      <c r="GI668" t="n">
        <v>2</v>
      </c>
      <c r="GJ668" t="n">
        <v>0</v>
      </c>
      <c r="GK668" t="n">
        <v>0</v>
      </c>
      <c r="GL668">
        <f>ROUND(IF(AND(BH668=3,BI668=3,FS668&lt;&gt;0),P668,0),0)</f>
        <v/>
      </c>
      <c r="GM668">
        <f>ROUND(O668+X668+Y668,0)+GX668</f>
        <v/>
      </c>
      <c r="GN668">
        <f>IF(OR(BI668=0,BI668=1),GM668-GX668,0)</f>
        <v/>
      </c>
      <c r="GO668">
        <f>IF(BI668=2,GM668-GX668,0)</f>
        <v/>
      </c>
      <c r="GP668">
        <f>IF(BI668=4,GM668-GX668,0)</f>
        <v/>
      </c>
      <c r="GR668" t="n">
        <v>0</v>
      </c>
      <c r="GS668" t="n">
        <v>3</v>
      </c>
      <c r="GT668" t="n">
        <v>0</v>
      </c>
      <c r="GU668" t="inlineStr"/>
      <c r="GV668">
        <f>ROUND((GT668),2)</f>
        <v/>
      </c>
      <c r="GW668" t="n">
        <v>1</v>
      </c>
      <c r="GX668">
        <f>ROUND(HC668*I668,0)</f>
        <v/>
      </c>
      <c r="HA668" t="n">
        <v>0</v>
      </c>
      <c r="HB668" t="n">
        <v>0</v>
      </c>
      <c r="HC668">
        <f>GV668*GW668</f>
        <v/>
      </c>
      <c r="HE668" t="inlineStr"/>
      <c r="HF668" t="inlineStr"/>
      <c r="HM668" t="inlineStr"/>
      <c r="HN668" t="inlineStr">
        <is>
          <t>Пр/812-099.1-1</t>
        </is>
      </c>
      <c r="HO668" t="inlineStr">
        <is>
          <t>Пр/774-099.1</t>
        </is>
      </c>
      <c r="HP668" t="inlineStr">
        <is>
          <t>Внутренние санитарнотехнические работы: демонтаж и разборка</t>
        </is>
      </c>
      <c r="HQ668" t="inlineStr">
        <is>
          <t>Внутренние санитарнотехнические работы: демонтаж и разборка</t>
        </is>
      </c>
      <c r="HS668" t="n">
        <v>0</v>
      </c>
      <c r="IK668" t="n">
        <v>0</v>
      </c>
    </row>
    <row r="669">
      <c r="A669" t="n">
        <v>17</v>
      </c>
      <c r="B669" t="n">
        <v>0</v>
      </c>
      <c r="C669">
        <f>ROW(SmtRes!A409)</f>
        <v/>
      </c>
      <c r="D669">
        <f>ROW(EtalonRes!A374)</f>
        <v/>
      </c>
      <c r="E669" t="inlineStr">
        <is>
          <t>8</t>
        </is>
      </c>
      <c r="F669" t="inlineStr">
        <is>
          <t>16-04-002-3</t>
        </is>
      </c>
      <c r="G669" t="inlineStr">
        <is>
          <t>Прокладка трубопроводов водоснабжения из напорных полиэтиленовых труб наружным диаметром 32 мм</t>
        </is>
      </c>
      <c r="H669" t="inlineStr">
        <is>
          <t>100 м трубопровода</t>
        </is>
      </c>
      <c r="I669">
        <f>ROUND(ROUND(12/100,4),7)</f>
        <v/>
      </c>
      <c r="J669" t="n">
        <v>0</v>
      </c>
      <c r="K669">
        <f>ROUND(ROUND(12/100,4),7)</f>
        <v/>
      </c>
      <c r="O669">
        <f>ROUND(CP669,0)</f>
        <v/>
      </c>
      <c r="P669">
        <f>ROUND(CQ669*I669,0)</f>
        <v/>
      </c>
      <c r="Q669">
        <f>(ROUND((ROUND(((ET669)*I669),0)*BB669),0)+ROUND((ROUND(((AE669-(EU669))*I669),0)*BS669),0))</f>
        <v/>
      </c>
      <c r="R669">
        <f>(ROUND((ROUND(((EU669)*I669),0)*BS669),0)+ROUND((ROUND(((AE669-(EU669))*I669),0)*BS669),0))</f>
        <v/>
      </c>
      <c r="S669">
        <f>ROUND(CT669*I669,0)</f>
        <v/>
      </c>
      <c r="T669">
        <f>ROUND(CU669*I669,0)</f>
        <v/>
      </c>
      <c r="U669">
        <f>ROUND(CV669*I669,7)</f>
        <v/>
      </c>
      <c r="V669">
        <f>ROUND(CW669*I669,7)</f>
        <v/>
      </c>
      <c r="W669">
        <f>ROUND(CX669*I669,0)</f>
        <v/>
      </c>
      <c r="X669">
        <f>ROUND(CY669,0)</f>
        <v/>
      </c>
      <c r="Y669">
        <f>ROUND(CZ669,0)</f>
        <v/>
      </c>
      <c r="AA669" t="n">
        <v>78869116</v>
      </c>
      <c r="AB669">
        <f>ROUND((AC669+AD669+AF669),2)</f>
        <v/>
      </c>
      <c r="AC669">
        <f>ROUND((ES669),2)</f>
        <v/>
      </c>
      <c r="AD669">
        <f>ROUND((((ET669)-(EU669))+AE669),2)</f>
        <v/>
      </c>
      <c r="AE669">
        <f>ROUND((EU669),2)</f>
        <v/>
      </c>
      <c r="AF669">
        <f>ROUND((EV669),2)</f>
        <v/>
      </c>
      <c r="AG669">
        <f>ROUND((AP669),2)</f>
        <v/>
      </c>
      <c r="AH669">
        <f>(EW669)</f>
        <v/>
      </c>
      <c r="AI669">
        <f>(EX669)</f>
        <v/>
      </c>
      <c r="AJ669">
        <f>(AS669)</f>
        <v/>
      </c>
      <c r="AK669" t="n">
        <v>3294.45</v>
      </c>
      <c r="AL669" t="n">
        <v>1594.87</v>
      </c>
      <c r="AM669" t="n">
        <v>491.32</v>
      </c>
      <c r="AN669" t="n">
        <v>63.72</v>
      </c>
      <c r="AO669" t="n">
        <v>1208.26</v>
      </c>
      <c r="AP669" t="n">
        <v>0</v>
      </c>
      <c r="AQ669" t="n">
        <v>121.8</v>
      </c>
      <c r="AR669" t="n">
        <v>4.72</v>
      </c>
      <c r="AS669" t="n">
        <v>0</v>
      </c>
      <c r="AT669" t="n">
        <v>121</v>
      </c>
      <c r="AU669" t="n">
        <v>72</v>
      </c>
      <c r="AV669" t="n">
        <v>1</v>
      </c>
      <c r="AW669" t="n">
        <v>1</v>
      </c>
      <c r="AZ669" t="n">
        <v>1</v>
      </c>
      <c r="BA669" t="n">
        <v>52.25</v>
      </c>
      <c r="BB669" t="n">
        <v>12.46</v>
      </c>
      <c r="BC669" t="n">
        <v>3.21</v>
      </c>
      <c r="BD669" t="inlineStr"/>
      <c r="BE669" t="inlineStr"/>
      <c r="BF669" t="inlineStr"/>
      <c r="BG669" t="inlineStr"/>
      <c r="BH669" t="n">
        <v>0</v>
      </c>
      <c r="BI669" t="n">
        <v>1</v>
      </c>
      <c r="BJ669" t="inlineStr">
        <is>
          <t>ТЕР Московской обл., 16-04-002-3, приказ Минстроя России №675/пр от 28.02.2017 № 260/пр</t>
        </is>
      </c>
      <c r="BM669" t="n">
        <v>16001</v>
      </c>
      <c r="BN669" t="n">
        <v>0</v>
      </c>
      <c r="BO669" t="inlineStr">
        <is>
          <t>16-04-002-3</t>
        </is>
      </c>
      <c r="BP669" t="n">
        <v>1</v>
      </c>
      <c r="BQ669" t="n">
        <v>2</v>
      </c>
      <c r="BR669" t="n">
        <v>0</v>
      </c>
      <c r="BS669" t="n">
        <v>52.25</v>
      </c>
      <c r="BT669" t="n">
        <v>1</v>
      </c>
      <c r="BU669" t="n">
        <v>1</v>
      </c>
      <c r="BV669" t="n">
        <v>1</v>
      </c>
      <c r="BW669" t="n">
        <v>1</v>
      </c>
      <c r="BX669" t="n">
        <v>1</v>
      </c>
      <c r="BY669" t="inlineStr"/>
      <c r="BZ669" t="n">
        <v>121</v>
      </c>
      <c r="CA669" t="n">
        <v>72</v>
      </c>
      <c r="CB669" t="inlineStr"/>
      <c r="CE669" t="n">
        <v>12</v>
      </c>
      <c r="CF669" t="n">
        <v>0</v>
      </c>
      <c r="CG669" t="n">
        <v>0</v>
      </c>
      <c r="CM669" t="n">
        <v>0</v>
      </c>
      <c r="CN669" t="inlineStr"/>
      <c r="CO669" t="n">
        <v>0</v>
      </c>
      <c r="CP669">
        <f>(P669+Q669+S669)</f>
        <v/>
      </c>
      <c r="CQ669">
        <f>AC669*BC669</f>
        <v/>
      </c>
      <c r="CR669">
        <f>(ROUND((ROUND(((ET669)*1),0)*BB669),0)+ROUND((ROUND(((AE669-(EU669))*1),0)*BS669),0))</f>
        <v/>
      </c>
      <c r="CS669">
        <f>(ROUND((ROUND(((EU669)*1),0)*BS669),0)+ROUND((ROUND(((AE669-(EU669))*1),0)*BS669),0))</f>
        <v/>
      </c>
      <c r="CT669">
        <f>AF669*BA669</f>
        <v/>
      </c>
      <c r="CU669">
        <f>AG669</f>
        <v/>
      </c>
      <c r="CV669">
        <f>AH669</f>
        <v/>
      </c>
      <c r="CW669">
        <f>AI669</f>
        <v/>
      </c>
      <c r="CX669">
        <f>AJ669</f>
        <v/>
      </c>
      <c r="CY669">
        <f>(((S669+R669)*AT669)/100)</f>
        <v/>
      </c>
      <c r="CZ669">
        <f>(((S669+R669)*AU669)/100)</f>
        <v/>
      </c>
      <c r="DC669" t="inlineStr"/>
      <c r="DD669" t="inlineStr"/>
      <c r="DE669" t="inlineStr"/>
      <c r="DF669" t="inlineStr"/>
      <c r="DG669" t="inlineStr"/>
      <c r="DH669" t="inlineStr"/>
      <c r="DI669" t="inlineStr"/>
      <c r="DJ669" t="inlineStr"/>
      <c r="DK669" t="inlineStr"/>
      <c r="DL669" t="inlineStr"/>
      <c r="DM669" t="inlineStr"/>
      <c r="DN669" t="n">
        <v>0</v>
      </c>
      <c r="DO669" t="n">
        <v>0</v>
      </c>
      <c r="DP669" t="n">
        <v>1</v>
      </c>
      <c r="DQ669" t="n">
        <v>1</v>
      </c>
      <c r="DU669" t="n">
        <v>1013</v>
      </c>
      <c r="DV669" t="inlineStr">
        <is>
          <t>100 м трубопровода</t>
        </is>
      </c>
      <c r="DW669" t="inlineStr">
        <is>
          <t>100 м трубопровода</t>
        </is>
      </c>
      <c r="DX669" t="n">
        <v>1</v>
      </c>
      <c r="DZ669" t="inlineStr"/>
      <c r="EA669" t="inlineStr"/>
      <c r="EB669" t="inlineStr"/>
      <c r="EC669" t="inlineStr"/>
      <c r="EE669" t="n">
        <v>78725882</v>
      </c>
      <c r="EF669" t="n">
        <v>2</v>
      </c>
      <c r="EG669" t="inlineStr">
        <is>
          <t>Общестроительные работы</t>
        </is>
      </c>
      <c r="EH669" t="n">
        <v>16</v>
      </c>
      <c r="EI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9" t="n">
        <v>1</v>
      </c>
      <c r="EK669" t="n">
        <v>16001</v>
      </c>
      <c r="EL669" t="inlineStr">
        <is>
          <t>Трубопроводы внутренние</t>
        </is>
      </c>
      <c r="EM669" t="inlineStr">
        <is>
          <t>ФЕР-16</t>
        </is>
      </c>
      <c r="EO669" t="inlineStr"/>
      <c r="EQ669" t="n">
        <v>0</v>
      </c>
      <c r="ER669" t="n">
        <v>3294.45</v>
      </c>
      <c r="ES669" t="n">
        <v>1594.87</v>
      </c>
      <c r="ET669" t="n">
        <v>491.32</v>
      </c>
      <c r="EU669" t="n">
        <v>63.72</v>
      </c>
      <c r="EV669" t="n">
        <v>1208.26</v>
      </c>
      <c r="EW669" t="n">
        <v>121.8</v>
      </c>
      <c r="EX669" t="n">
        <v>4.72</v>
      </c>
      <c r="EY669" t="n">
        <v>0</v>
      </c>
      <c r="FQ669" t="n">
        <v>0</v>
      </c>
      <c r="FR669" t="n">
        <v>0</v>
      </c>
      <c r="FS669" t="n">
        <v>0</v>
      </c>
      <c r="FX669" t="n">
        <v>121</v>
      </c>
      <c r="FY669" t="n">
        <v>72</v>
      </c>
      <c r="GA669" t="inlineStr"/>
      <c r="GD669" t="n">
        <v>1</v>
      </c>
      <c r="GF669" t="n">
        <v>-323073205</v>
      </c>
      <c r="GG669" t="n">
        <v>2</v>
      </c>
      <c r="GH669" t="n">
        <v>1</v>
      </c>
      <c r="GI669" t="n">
        <v>2</v>
      </c>
      <c r="GJ669" t="n">
        <v>0</v>
      </c>
      <c r="GK669" t="n">
        <v>0</v>
      </c>
      <c r="GL669">
        <f>ROUND(IF(AND(BH669=3,BI669=3,FS669&lt;&gt;0),P669,0),0)</f>
        <v/>
      </c>
      <c r="GM669">
        <f>ROUND(O669+X669+Y669,0)+GX669</f>
        <v/>
      </c>
      <c r="GN669">
        <f>IF(OR(BI669=0,BI669=1),GM669-GX669,0)</f>
        <v/>
      </c>
      <c r="GO669">
        <f>IF(BI669=2,GM669-GX669,0)</f>
        <v/>
      </c>
      <c r="GP669">
        <f>IF(BI669=4,GM669-GX669,0)</f>
        <v/>
      </c>
      <c r="GR669" t="n">
        <v>0</v>
      </c>
      <c r="GS669" t="n">
        <v>3</v>
      </c>
      <c r="GT669" t="n">
        <v>0</v>
      </c>
      <c r="GU669" t="inlineStr"/>
      <c r="GV669">
        <f>ROUND((GT669),2)</f>
        <v/>
      </c>
      <c r="GW669" t="n">
        <v>1</v>
      </c>
      <c r="GX669">
        <f>ROUND(HC669*I669,0)</f>
        <v/>
      </c>
      <c r="HA669" t="n">
        <v>0</v>
      </c>
      <c r="HB669" t="n">
        <v>0</v>
      </c>
      <c r="HC669">
        <f>GV669*GW669</f>
        <v/>
      </c>
      <c r="HE669" t="inlineStr"/>
      <c r="HF669" t="inlineStr"/>
      <c r="HM669" t="inlineStr"/>
      <c r="HN669" t="inlineStr">
        <is>
          <t>Пр/812-016.0-1</t>
        </is>
      </c>
      <c r="HO669" t="inlineStr">
        <is>
          <t>Пр/774-016.0</t>
        </is>
      </c>
      <c r="HP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9" t="n">
        <v>0</v>
      </c>
      <c r="IK669" t="n">
        <v>0</v>
      </c>
    </row>
    <row r="670">
      <c r="A670" t="n">
        <v>18</v>
      </c>
      <c r="B670" t="n">
        <v>0</v>
      </c>
      <c r="C670" t="n">
        <v>408</v>
      </c>
      <c r="E670" t="inlineStr">
        <is>
          <t>8,1</t>
        </is>
      </c>
      <c r="F670" t="inlineStr">
        <is>
          <t>507-5009</t>
        </is>
      </c>
      <c r="G670" t="inlineStr">
        <is>
          <t>Муфта полипропиленовая соединительная диаметром 32 мм</t>
        </is>
      </c>
      <c r="H670" t="inlineStr">
        <is>
          <t>10 шт.</t>
        </is>
      </c>
      <c r="I670">
        <f>I669*J670</f>
        <v/>
      </c>
      <c r="J670" t="n">
        <v>0.8333333333333334</v>
      </c>
      <c r="K670" t="n">
        <v>0.8333333000000001</v>
      </c>
      <c r="O670">
        <f>ROUND(CP670,0)</f>
        <v/>
      </c>
      <c r="P670">
        <f>ROUND(CQ670*I670,0)</f>
        <v/>
      </c>
      <c r="Q670">
        <f>(ROUND((ROUND(((ET670)*I670),0)*BB670),0)+ROUND((ROUND(((AE670-(EU670))*I670),0)*BS670),0))</f>
        <v/>
      </c>
      <c r="R670">
        <f>(ROUND((ROUND(((EU670)*I670),0)*BS670),0)+ROUND((ROUND(((AE670-(EU670))*I670),0)*BS670),0))</f>
        <v/>
      </c>
      <c r="S670">
        <f>ROUND(CT670*I670,0)</f>
        <v/>
      </c>
      <c r="T670">
        <f>ROUND(CU670*I670,0)</f>
        <v/>
      </c>
      <c r="U670">
        <f>ROUND(CV670*I670,7)</f>
        <v/>
      </c>
      <c r="V670">
        <f>ROUND(CW670*I670,7)</f>
        <v/>
      </c>
      <c r="W670">
        <f>ROUND(CX670*I670,0)</f>
        <v/>
      </c>
      <c r="X670">
        <f>ROUND(CY670,0)</f>
        <v/>
      </c>
      <c r="Y670">
        <f>ROUND(CZ670,0)</f>
        <v/>
      </c>
      <c r="AA670" t="n">
        <v>78869116</v>
      </c>
      <c r="AB670">
        <f>ROUND((AC670+AD670+AF670),2)</f>
        <v/>
      </c>
      <c r="AC670">
        <f>ROUND((ES670),2)</f>
        <v/>
      </c>
      <c r="AD670">
        <f>ROUND((((ET670)-(EU670))+AE670),2)</f>
        <v/>
      </c>
      <c r="AE670">
        <f>ROUND((EU670),2)</f>
        <v/>
      </c>
      <c r="AF670">
        <f>ROUND((EV670),2)</f>
        <v/>
      </c>
      <c r="AG670">
        <f>ROUND((AP670),2)</f>
        <v/>
      </c>
      <c r="AH670">
        <f>(EW670)</f>
        <v/>
      </c>
      <c r="AI670">
        <f>(EX670)</f>
        <v/>
      </c>
      <c r="AJ670">
        <f>(AS670)</f>
        <v/>
      </c>
      <c r="AK670" t="n">
        <v>13.5</v>
      </c>
      <c r="AL670" t="n">
        <v>13.5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  <c r="AS670" t="n">
        <v>0.02</v>
      </c>
      <c r="AT670" t="n">
        <v>121</v>
      </c>
      <c r="AU670" t="n">
        <v>72</v>
      </c>
      <c r="AV670" t="n">
        <v>1</v>
      </c>
      <c r="AW670" t="n">
        <v>1</v>
      </c>
      <c r="AZ670" t="n">
        <v>1</v>
      </c>
      <c r="BA670" t="n">
        <v>1</v>
      </c>
      <c r="BB670" t="n">
        <v>1</v>
      </c>
      <c r="BC670" t="n">
        <v>9.92</v>
      </c>
      <c r="BD670" t="inlineStr"/>
      <c r="BE670" t="inlineStr"/>
      <c r="BF670" t="inlineStr"/>
      <c r="BG670" t="inlineStr"/>
      <c r="BH670" t="n">
        <v>3</v>
      </c>
      <c r="BI670" t="n">
        <v>1</v>
      </c>
      <c r="BJ670" t="inlineStr">
        <is>
          <t>ТССЦ Московской обл., 507-5009, приказ Минстроя России №675/пр от 28.02.2017 № 258/пр</t>
        </is>
      </c>
      <c r="BM670" t="n">
        <v>16001</v>
      </c>
      <c r="BN670" t="n">
        <v>0</v>
      </c>
      <c r="BO670" t="inlineStr">
        <is>
          <t>507-5009</t>
        </is>
      </c>
      <c r="BP670" t="n">
        <v>1</v>
      </c>
      <c r="BQ670" t="n">
        <v>2</v>
      </c>
      <c r="BR670" t="n">
        <v>0</v>
      </c>
      <c r="BS670" t="n">
        <v>1</v>
      </c>
      <c r="BT670" t="n">
        <v>1</v>
      </c>
      <c r="BU670" t="n">
        <v>1</v>
      </c>
      <c r="BV670" t="n">
        <v>1</v>
      </c>
      <c r="BW670" t="n">
        <v>1</v>
      </c>
      <c r="BX670" t="n">
        <v>1</v>
      </c>
      <c r="BY670" t="inlineStr"/>
      <c r="BZ670" t="n">
        <v>121</v>
      </c>
      <c r="CA670" t="n">
        <v>72</v>
      </c>
      <c r="CB670" t="inlineStr"/>
      <c r="CE670" t="n">
        <v>12</v>
      </c>
      <c r="CF670" t="n">
        <v>0</v>
      </c>
      <c r="CG670" t="n">
        <v>0</v>
      </c>
      <c r="CM670" t="n">
        <v>0</v>
      </c>
      <c r="CN670" t="inlineStr"/>
      <c r="CO670" t="n">
        <v>0</v>
      </c>
      <c r="CP670">
        <f>(P670+Q670+S670)</f>
        <v/>
      </c>
      <c r="CQ670">
        <f>AC670*BC670</f>
        <v/>
      </c>
      <c r="CR670">
        <f>(ROUND((ROUND(((ET670)*1),0)*BB670),0)+ROUND((ROUND(((AE670-(EU670))*1),0)*BS670),0))</f>
        <v/>
      </c>
      <c r="CS670">
        <f>(ROUND((ROUND(((EU670)*1),0)*BS670),0)+ROUND((ROUND(((AE670-(EU670))*1),0)*BS670),0))</f>
        <v/>
      </c>
      <c r="CT670">
        <f>AF670*BA670</f>
        <v/>
      </c>
      <c r="CU670">
        <f>AG670</f>
        <v/>
      </c>
      <c r="CV670">
        <f>AH670</f>
        <v/>
      </c>
      <c r="CW670">
        <f>AI670</f>
        <v/>
      </c>
      <c r="CX670">
        <f>AJ670</f>
        <v/>
      </c>
      <c r="CY670">
        <f>(((S670+R670)*AT670)/100)</f>
        <v/>
      </c>
      <c r="CZ670">
        <f>(((S670+R670)*AU670)/100)</f>
        <v/>
      </c>
      <c r="DC670" t="inlineStr"/>
      <c r="DD670" t="inlineStr"/>
      <c r="DE670" t="inlineStr"/>
      <c r="DF670" t="inlineStr"/>
      <c r="DG670" t="inlineStr"/>
      <c r="DH670" t="inlineStr"/>
      <c r="DI670" t="inlineStr"/>
      <c r="DJ670" t="inlineStr"/>
      <c r="DK670" t="inlineStr"/>
      <c r="DL670" t="inlineStr"/>
      <c r="DM670" t="inlineStr"/>
      <c r="DN670" t="n">
        <v>0</v>
      </c>
      <c r="DO670" t="n">
        <v>0</v>
      </c>
      <c r="DP670" t="n">
        <v>1</v>
      </c>
      <c r="DQ670" t="n">
        <v>1</v>
      </c>
      <c r="DU670" t="n">
        <v>1010</v>
      </c>
      <c r="DV670" t="inlineStr">
        <is>
          <t>10 шт.</t>
        </is>
      </c>
      <c r="DW670" t="inlineStr">
        <is>
          <t>10 шт.</t>
        </is>
      </c>
      <c r="DX670" t="n">
        <v>10</v>
      </c>
      <c r="DZ670" t="inlineStr"/>
      <c r="EA670" t="inlineStr"/>
      <c r="EB670" t="inlineStr"/>
      <c r="EC670" t="inlineStr"/>
      <c r="EE670" t="n">
        <v>78725882</v>
      </c>
      <c r="EF670" t="n">
        <v>2</v>
      </c>
      <c r="EG670" t="inlineStr">
        <is>
          <t>Общестроительные работы</t>
        </is>
      </c>
      <c r="EH670" t="n">
        <v>16</v>
      </c>
      <c r="EI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0" t="n">
        <v>1</v>
      </c>
      <c r="EK670" t="n">
        <v>16001</v>
      </c>
      <c r="EL670" t="inlineStr">
        <is>
          <t>Трубопроводы внутренние</t>
        </is>
      </c>
      <c r="EM670" t="inlineStr">
        <is>
          <t>ФЕР-16</t>
        </is>
      </c>
      <c r="EO670" t="inlineStr"/>
      <c r="EQ670" t="n">
        <v>0</v>
      </c>
      <c r="ER670" t="n">
        <v>13.5</v>
      </c>
      <c r="ES670" t="n">
        <v>13.5</v>
      </c>
      <c r="ET670" t="n">
        <v>0</v>
      </c>
      <c r="EU670" t="n">
        <v>0</v>
      </c>
      <c r="EV670" t="n">
        <v>0</v>
      </c>
      <c r="EW670" t="n">
        <v>0</v>
      </c>
      <c r="EX670" t="n">
        <v>0</v>
      </c>
      <c r="FQ670" t="n">
        <v>0</v>
      </c>
      <c r="FR670" t="n">
        <v>0</v>
      </c>
      <c r="FS670" t="n">
        <v>0</v>
      </c>
      <c r="FX670" t="n">
        <v>121</v>
      </c>
      <c r="FY670" t="n">
        <v>72</v>
      </c>
      <c r="GA670" t="inlineStr"/>
      <c r="GD670" t="n">
        <v>1</v>
      </c>
      <c r="GF670" t="n">
        <v>-1186610544</v>
      </c>
      <c r="GG670" t="n">
        <v>2</v>
      </c>
      <c r="GH670" t="n">
        <v>1</v>
      </c>
      <c r="GI670" t="n">
        <v>2</v>
      </c>
      <c r="GJ670" t="n">
        <v>0</v>
      </c>
      <c r="GK670" t="n">
        <v>0</v>
      </c>
      <c r="GL670">
        <f>ROUND(IF(AND(BH670=3,BI670=3,FS670&lt;&gt;0),P670,0),0)</f>
        <v/>
      </c>
      <c r="GM670">
        <f>ROUND(O670+X670+Y670,0)+GX670</f>
        <v/>
      </c>
      <c r="GN670">
        <f>IF(OR(BI670=0,BI670=1),GM670-GX670,0)</f>
        <v/>
      </c>
      <c r="GO670">
        <f>IF(BI670=2,GM670-GX670,0)</f>
        <v/>
      </c>
      <c r="GP670">
        <f>IF(BI670=4,GM670-GX670,0)</f>
        <v/>
      </c>
      <c r="GR670" t="n">
        <v>0</v>
      </c>
      <c r="GS670" t="n">
        <v>3</v>
      </c>
      <c r="GT670" t="n">
        <v>0</v>
      </c>
      <c r="GU670" t="inlineStr"/>
      <c r="GV670">
        <f>ROUND((GT670),2)</f>
        <v/>
      </c>
      <c r="GW670" t="n">
        <v>1</v>
      </c>
      <c r="GX670">
        <f>ROUND(HC670*I670,0)</f>
        <v/>
      </c>
      <c r="HA670" t="n">
        <v>0</v>
      </c>
      <c r="HB670" t="n">
        <v>0</v>
      </c>
      <c r="HC670">
        <f>GV670*GW670</f>
        <v/>
      </c>
      <c r="HE670" t="inlineStr"/>
      <c r="HF670" t="inlineStr"/>
      <c r="HM670" t="inlineStr"/>
      <c r="HN670" t="inlineStr">
        <is>
          <t>Пр/812-016.0-1</t>
        </is>
      </c>
      <c r="HO670" t="inlineStr">
        <is>
          <t>Пр/774-016.0</t>
        </is>
      </c>
      <c r="HP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0" t="n">
        <v>0</v>
      </c>
      <c r="IK670" t="n">
        <v>0</v>
      </c>
    </row>
    <row r="671">
      <c r="A671" t="n">
        <v>18</v>
      </c>
      <c r="B671" t="n">
        <v>0</v>
      </c>
      <c r="C671" t="n">
        <v>403</v>
      </c>
      <c r="E671" t="inlineStr">
        <is>
          <t>8,2</t>
        </is>
      </c>
      <c r="F671" t="inlineStr">
        <is>
          <t>302-0064</t>
        </is>
      </c>
      <c r="G671" t="inlineStr">
        <is>
          <t>Кран шаровый муфтовый Valtec для воды диаметром 25 мм, тип в/в</t>
        </is>
      </c>
      <c r="H671" t="inlineStr">
        <is>
          <t>шт.</t>
        </is>
      </c>
      <c r="I671">
        <f>I669*J671</f>
        <v/>
      </c>
      <c r="J671" t="n">
        <v>41.66666666666667</v>
      </c>
      <c r="K671" t="n">
        <v>41.6666667</v>
      </c>
      <c r="O671">
        <f>ROUND(CP671,0)</f>
        <v/>
      </c>
      <c r="P671">
        <f>ROUND(CQ671*I671,0)</f>
        <v/>
      </c>
      <c r="Q671">
        <f>(ROUND((ROUND(((ET671)*I671),0)*BB671),0)+ROUND((ROUND(((AE671-(EU671))*I671),0)*BS671),0))</f>
        <v/>
      </c>
      <c r="R671">
        <f>(ROUND((ROUND(((EU671)*I671),0)*BS671),0)+ROUND((ROUND(((AE671-(EU671))*I671),0)*BS671),0))</f>
        <v/>
      </c>
      <c r="S671">
        <f>ROUND(CT671*I671,0)</f>
        <v/>
      </c>
      <c r="T671">
        <f>ROUND(CU671*I671,0)</f>
        <v/>
      </c>
      <c r="U671">
        <f>ROUND(CV671*I671,7)</f>
        <v/>
      </c>
      <c r="V671">
        <f>ROUND(CW671*I671,7)</f>
        <v/>
      </c>
      <c r="W671">
        <f>ROUND(CX671*I671,0)</f>
        <v/>
      </c>
      <c r="X671">
        <f>ROUND(CY671,0)</f>
        <v/>
      </c>
      <c r="Y671">
        <f>ROUND(CZ671,0)</f>
        <v/>
      </c>
      <c r="AA671" t="n">
        <v>78869116</v>
      </c>
      <c r="AB671">
        <f>ROUND((AC671+AD671+AF671),2)</f>
        <v/>
      </c>
      <c r="AC671">
        <f>ROUND((ES671),2)</f>
        <v/>
      </c>
      <c r="AD671">
        <f>ROUND((((ET671)-(EU671))+AE671),2)</f>
        <v/>
      </c>
      <c r="AE671">
        <f>ROUND((EU671),2)</f>
        <v/>
      </c>
      <c r="AF671">
        <f>ROUND((EV671),2)</f>
        <v/>
      </c>
      <c r="AG671">
        <f>ROUND((AP671),2)</f>
        <v/>
      </c>
      <c r="AH671">
        <f>(EW671)</f>
        <v/>
      </c>
      <c r="AI671">
        <f>(EX671)</f>
        <v/>
      </c>
      <c r="AJ671">
        <f>(AS671)</f>
        <v/>
      </c>
      <c r="AK671" t="n">
        <v>67.09</v>
      </c>
      <c r="AL671" t="n">
        <v>67.09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  <c r="AS671" t="n">
        <v>0.02</v>
      </c>
      <c r="AT671" t="n">
        <v>121</v>
      </c>
      <c r="AU671" t="n">
        <v>72</v>
      </c>
      <c r="AV671" t="n">
        <v>1</v>
      </c>
      <c r="AW671" t="n">
        <v>1</v>
      </c>
      <c r="AZ671" t="n">
        <v>1</v>
      </c>
      <c r="BA671" t="n">
        <v>1</v>
      </c>
      <c r="BB671" t="n">
        <v>1</v>
      </c>
      <c r="BC671" t="n">
        <v>14.16</v>
      </c>
      <c r="BD671" t="inlineStr"/>
      <c r="BE671" t="inlineStr"/>
      <c r="BF671" t="inlineStr"/>
      <c r="BG671" t="inlineStr"/>
      <c r="BH671" t="n">
        <v>3</v>
      </c>
      <c r="BI671" t="n">
        <v>1</v>
      </c>
      <c r="BJ671" t="inlineStr">
        <is>
          <t>ТССЦ Московской обл., 302-0064, приказ Минстроя России №675/пр от 28.02.2017 № 256/пр</t>
        </is>
      </c>
      <c r="BM671" t="n">
        <v>16001</v>
      </c>
      <c r="BN671" t="n">
        <v>0</v>
      </c>
      <c r="BO671" t="inlineStr">
        <is>
          <t>302-0064</t>
        </is>
      </c>
      <c r="BP671" t="n">
        <v>1</v>
      </c>
      <c r="BQ671" t="n">
        <v>2</v>
      </c>
      <c r="BR671" t="n">
        <v>0</v>
      </c>
      <c r="BS671" t="n">
        <v>1</v>
      </c>
      <c r="BT671" t="n">
        <v>1</v>
      </c>
      <c r="BU671" t="n">
        <v>1</v>
      </c>
      <c r="BV671" t="n">
        <v>1</v>
      </c>
      <c r="BW671" t="n">
        <v>1</v>
      </c>
      <c r="BX671" t="n">
        <v>1</v>
      </c>
      <c r="BY671" t="inlineStr"/>
      <c r="BZ671" t="n">
        <v>121</v>
      </c>
      <c r="CA671" t="n">
        <v>72</v>
      </c>
      <c r="CB671" t="inlineStr"/>
      <c r="CE671" t="n">
        <v>12</v>
      </c>
      <c r="CF671" t="n">
        <v>0</v>
      </c>
      <c r="CG671" t="n">
        <v>0</v>
      </c>
      <c r="CM671" t="n">
        <v>0</v>
      </c>
      <c r="CN671" t="inlineStr"/>
      <c r="CO671" t="n">
        <v>0</v>
      </c>
      <c r="CP671">
        <f>(P671+Q671+S671)</f>
        <v/>
      </c>
      <c r="CQ671">
        <f>AC671*BC671</f>
        <v/>
      </c>
      <c r="CR671">
        <f>(ROUND((ROUND(((ET671)*1),0)*BB671),0)+ROUND((ROUND(((AE671-(EU671))*1),0)*BS671),0))</f>
        <v/>
      </c>
      <c r="CS671">
        <f>(ROUND((ROUND(((EU671)*1),0)*BS671),0)+ROUND((ROUND(((AE671-(EU671))*1),0)*BS671),0))</f>
        <v/>
      </c>
      <c r="CT671">
        <f>AF671*BA671</f>
        <v/>
      </c>
      <c r="CU671">
        <f>AG671</f>
        <v/>
      </c>
      <c r="CV671">
        <f>AH671</f>
        <v/>
      </c>
      <c r="CW671">
        <f>AI671</f>
        <v/>
      </c>
      <c r="CX671">
        <f>AJ671</f>
        <v/>
      </c>
      <c r="CY671">
        <f>(((S671+R671)*AT671)/100)</f>
        <v/>
      </c>
      <c r="CZ671">
        <f>(((S671+R671)*AU671)/100)</f>
        <v/>
      </c>
      <c r="DC671" t="inlineStr"/>
      <c r="DD671" t="inlineStr"/>
      <c r="DE671" t="inlineStr"/>
      <c r="DF671" t="inlineStr"/>
      <c r="DG671" t="inlineStr"/>
      <c r="DH671" t="inlineStr"/>
      <c r="DI671" t="inlineStr"/>
      <c r="DJ671" t="inlineStr"/>
      <c r="DK671" t="inlineStr"/>
      <c r="DL671" t="inlineStr"/>
      <c r="DM671" t="inlineStr"/>
      <c r="DN671" t="n">
        <v>0</v>
      </c>
      <c r="DO671" t="n">
        <v>0</v>
      </c>
      <c r="DP671" t="n">
        <v>1</v>
      </c>
      <c r="DQ671" t="n">
        <v>1</v>
      </c>
      <c r="DU671" t="n">
        <v>1010</v>
      </c>
      <c r="DV671" t="inlineStr">
        <is>
          <t>шт.</t>
        </is>
      </c>
      <c r="DW671" t="inlineStr">
        <is>
          <t>шт.</t>
        </is>
      </c>
      <c r="DX671" t="n">
        <v>1</v>
      </c>
      <c r="DZ671" t="inlineStr"/>
      <c r="EA671" t="inlineStr"/>
      <c r="EB671" t="inlineStr"/>
      <c r="EC671" t="inlineStr"/>
      <c r="EE671" t="n">
        <v>78725882</v>
      </c>
      <c r="EF671" t="n">
        <v>2</v>
      </c>
      <c r="EG671" t="inlineStr">
        <is>
          <t>Общестроительные работы</t>
        </is>
      </c>
      <c r="EH671" t="n">
        <v>16</v>
      </c>
      <c r="EI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1" t="n">
        <v>1</v>
      </c>
      <c r="EK671" t="n">
        <v>16001</v>
      </c>
      <c r="EL671" t="inlineStr">
        <is>
          <t>Трубопроводы внутренние</t>
        </is>
      </c>
      <c r="EM671" t="inlineStr">
        <is>
          <t>ФЕР-16</t>
        </is>
      </c>
      <c r="EO671" t="inlineStr"/>
      <c r="EQ671" t="n">
        <v>0</v>
      </c>
      <c r="ER671" t="n">
        <v>67.09</v>
      </c>
      <c r="ES671" t="n">
        <v>67.09</v>
      </c>
      <c r="ET671" t="n">
        <v>0</v>
      </c>
      <c r="EU671" t="n">
        <v>0</v>
      </c>
      <c r="EV671" t="n">
        <v>0</v>
      </c>
      <c r="EW671" t="n">
        <v>0</v>
      </c>
      <c r="EX671" t="n">
        <v>0</v>
      </c>
      <c r="FQ671" t="n">
        <v>0</v>
      </c>
      <c r="FR671" t="n">
        <v>0</v>
      </c>
      <c r="FS671" t="n">
        <v>0</v>
      </c>
      <c r="FX671" t="n">
        <v>121</v>
      </c>
      <c r="FY671" t="n">
        <v>72</v>
      </c>
      <c r="GA671" t="inlineStr"/>
      <c r="GD671" t="n">
        <v>1</v>
      </c>
      <c r="GF671" t="n">
        <v>1163367142</v>
      </c>
      <c r="GG671" t="n">
        <v>2</v>
      </c>
      <c r="GH671" t="n">
        <v>1</v>
      </c>
      <c r="GI671" t="n">
        <v>2</v>
      </c>
      <c r="GJ671" t="n">
        <v>0</v>
      </c>
      <c r="GK671" t="n">
        <v>0</v>
      </c>
      <c r="GL671">
        <f>ROUND(IF(AND(BH671=3,BI671=3,FS671&lt;&gt;0),P671,0),0)</f>
        <v/>
      </c>
      <c r="GM671">
        <f>ROUND(O671+X671+Y671,0)+GX671</f>
        <v/>
      </c>
      <c r="GN671">
        <f>IF(OR(BI671=0,BI671=1),GM671-GX671,0)</f>
        <v/>
      </c>
      <c r="GO671">
        <f>IF(BI671=2,GM671-GX671,0)</f>
        <v/>
      </c>
      <c r="GP671">
        <f>IF(BI671=4,GM671-GX671,0)</f>
        <v/>
      </c>
      <c r="GR671" t="n">
        <v>0</v>
      </c>
      <c r="GS671" t="n">
        <v>3</v>
      </c>
      <c r="GT671" t="n">
        <v>0</v>
      </c>
      <c r="GU671" t="inlineStr"/>
      <c r="GV671">
        <f>ROUND((GT671),2)</f>
        <v/>
      </c>
      <c r="GW671" t="n">
        <v>1</v>
      </c>
      <c r="GX671">
        <f>ROUND(HC671*I671,0)</f>
        <v/>
      </c>
      <c r="HA671" t="n">
        <v>0</v>
      </c>
      <c r="HB671" t="n">
        <v>0</v>
      </c>
      <c r="HC671">
        <f>GV671*GW671</f>
        <v/>
      </c>
      <c r="HE671" t="inlineStr"/>
      <c r="HF671" t="inlineStr"/>
      <c r="HM671" t="inlineStr"/>
      <c r="HN671" t="inlineStr">
        <is>
          <t>Пр/812-016.0-1</t>
        </is>
      </c>
      <c r="HO671" t="inlineStr">
        <is>
          <t>Пр/774-016.0</t>
        </is>
      </c>
      <c r="HP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1" t="n">
        <v>0</v>
      </c>
      <c r="IK671" t="n">
        <v>0</v>
      </c>
    </row>
    <row r="672">
      <c r="A672" t="n">
        <v>18</v>
      </c>
      <c r="B672" t="n">
        <v>0</v>
      </c>
      <c r="C672" t="n">
        <v>404</v>
      </c>
      <c r="E672" t="inlineStr">
        <is>
          <t>8,3</t>
        </is>
      </c>
      <c r="F672" t="inlineStr">
        <is>
          <t>302-0065</t>
        </is>
      </c>
      <c r="G672" t="inlineStr">
        <is>
          <t>Кран шаровый муфтовый Valtec для воды диаметром 32 мм, тип в/в</t>
        </is>
      </c>
      <c r="H672" t="inlineStr">
        <is>
          <t>шт.</t>
        </is>
      </c>
      <c r="I672">
        <f>I669*J672</f>
        <v/>
      </c>
      <c r="J672" t="n">
        <v>8.333333333333334</v>
      </c>
      <c r="K672" t="n">
        <v>8.3333333</v>
      </c>
      <c r="O672">
        <f>ROUND(CP672,0)</f>
        <v/>
      </c>
      <c r="P672">
        <f>ROUND(CQ672*I672,0)</f>
        <v/>
      </c>
      <c r="Q672">
        <f>(ROUND((ROUND(((ET672)*I672),0)*BB672),0)+ROUND((ROUND(((AE672-(EU672))*I672),0)*BS672),0))</f>
        <v/>
      </c>
      <c r="R672">
        <f>(ROUND((ROUND(((EU672)*I672),0)*BS672),0)+ROUND((ROUND(((AE672-(EU672))*I672),0)*BS672),0))</f>
        <v/>
      </c>
      <c r="S672">
        <f>ROUND(CT672*I672,0)</f>
        <v/>
      </c>
      <c r="T672">
        <f>ROUND(CU672*I672,0)</f>
        <v/>
      </c>
      <c r="U672">
        <f>ROUND(CV672*I672,7)</f>
        <v/>
      </c>
      <c r="V672">
        <f>ROUND(CW672*I672,7)</f>
        <v/>
      </c>
      <c r="W672">
        <f>ROUND(CX672*I672,0)</f>
        <v/>
      </c>
      <c r="X672">
        <f>ROUND(CY672,0)</f>
        <v/>
      </c>
      <c r="Y672">
        <f>ROUND(CZ672,0)</f>
        <v/>
      </c>
      <c r="AA672" t="n">
        <v>78869116</v>
      </c>
      <c r="AB672">
        <f>ROUND((AC672+AD672+AF672),2)</f>
        <v/>
      </c>
      <c r="AC672">
        <f>ROUND((ES672),2)</f>
        <v/>
      </c>
      <c r="AD672">
        <f>ROUND((((ET672)-(EU672))+AE672),2)</f>
        <v/>
      </c>
      <c r="AE672">
        <f>ROUND((EU672),2)</f>
        <v/>
      </c>
      <c r="AF672">
        <f>ROUND((EV672),2)</f>
        <v/>
      </c>
      <c r="AG672">
        <f>ROUND((AP672),2)</f>
        <v/>
      </c>
      <c r="AH672">
        <f>(EW672)</f>
        <v/>
      </c>
      <c r="AI672">
        <f>(EX672)</f>
        <v/>
      </c>
      <c r="AJ672">
        <f>(AS672)</f>
        <v/>
      </c>
      <c r="AK672" t="n">
        <v>106.72</v>
      </c>
      <c r="AL672" t="n">
        <v>106.72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  <c r="AS672" t="n">
        <v>0.03</v>
      </c>
      <c r="AT672" t="n">
        <v>121</v>
      </c>
      <c r="AU672" t="n">
        <v>72</v>
      </c>
      <c r="AV672" t="n">
        <v>1</v>
      </c>
      <c r="AW672" t="n">
        <v>1</v>
      </c>
      <c r="AZ672" t="n">
        <v>1</v>
      </c>
      <c r="BA672" t="n">
        <v>1</v>
      </c>
      <c r="BB672" t="n">
        <v>1</v>
      </c>
      <c r="BC672" t="n">
        <v>14.25</v>
      </c>
      <c r="BD672" t="inlineStr"/>
      <c r="BE672" t="inlineStr"/>
      <c r="BF672" t="inlineStr"/>
      <c r="BG672" t="inlineStr"/>
      <c r="BH672" t="n">
        <v>3</v>
      </c>
      <c r="BI672" t="n">
        <v>1</v>
      </c>
      <c r="BJ672" t="inlineStr">
        <is>
          <t>ТССЦ Московской обл., 302-0065, приказ Минстроя России №675/пр от 28.02.2017 № 256/пр</t>
        </is>
      </c>
      <c r="BM672" t="n">
        <v>16001</v>
      </c>
      <c r="BN672" t="n">
        <v>0</v>
      </c>
      <c r="BO672" t="inlineStr">
        <is>
          <t>302-0065</t>
        </is>
      </c>
      <c r="BP672" t="n">
        <v>1</v>
      </c>
      <c r="BQ672" t="n">
        <v>2</v>
      </c>
      <c r="BR672" t="n">
        <v>0</v>
      </c>
      <c r="BS672" t="n">
        <v>1</v>
      </c>
      <c r="BT672" t="n">
        <v>1</v>
      </c>
      <c r="BU672" t="n">
        <v>1</v>
      </c>
      <c r="BV672" t="n">
        <v>1</v>
      </c>
      <c r="BW672" t="n">
        <v>1</v>
      </c>
      <c r="BX672" t="n">
        <v>1</v>
      </c>
      <c r="BY672" t="inlineStr"/>
      <c r="BZ672" t="n">
        <v>121</v>
      </c>
      <c r="CA672" t="n">
        <v>72</v>
      </c>
      <c r="CB672" t="inlineStr"/>
      <c r="CE672" t="n">
        <v>12</v>
      </c>
      <c r="CF672" t="n">
        <v>0</v>
      </c>
      <c r="CG672" t="n">
        <v>0</v>
      </c>
      <c r="CM672" t="n">
        <v>0</v>
      </c>
      <c r="CN672" t="inlineStr"/>
      <c r="CO672" t="n">
        <v>0</v>
      </c>
      <c r="CP672">
        <f>(P672+Q672+S672)</f>
        <v/>
      </c>
      <c r="CQ672">
        <f>AC672*BC672</f>
        <v/>
      </c>
      <c r="CR672">
        <f>(ROUND((ROUND(((ET672)*1),0)*BB672),0)+ROUND((ROUND(((AE672-(EU672))*1),0)*BS672),0))</f>
        <v/>
      </c>
      <c r="CS672">
        <f>(ROUND((ROUND(((EU672)*1),0)*BS672),0)+ROUND((ROUND(((AE672-(EU672))*1),0)*BS672),0))</f>
        <v/>
      </c>
      <c r="CT672">
        <f>AF672*BA672</f>
        <v/>
      </c>
      <c r="CU672">
        <f>AG672</f>
        <v/>
      </c>
      <c r="CV672">
        <f>AH672</f>
        <v/>
      </c>
      <c r="CW672">
        <f>AI672</f>
        <v/>
      </c>
      <c r="CX672">
        <f>AJ672</f>
        <v/>
      </c>
      <c r="CY672">
        <f>(((S672+R672)*AT672)/100)</f>
        <v/>
      </c>
      <c r="CZ672">
        <f>(((S672+R672)*AU672)/100)</f>
        <v/>
      </c>
      <c r="DC672" t="inlineStr"/>
      <c r="DD672" t="inlineStr"/>
      <c r="DE672" t="inlineStr"/>
      <c r="DF672" t="inlineStr"/>
      <c r="DG672" t="inlineStr"/>
      <c r="DH672" t="inlineStr"/>
      <c r="DI672" t="inlineStr"/>
      <c r="DJ672" t="inlineStr"/>
      <c r="DK672" t="inlineStr"/>
      <c r="DL672" t="inlineStr"/>
      <c r="DM672" t="inlineStr"/>
      <c r="DN672" t="n">
        <v>0</v>
      </c>
      <c r="DO672" t="n">
        <v>0</v>
      </c>
      <c r="DP672" t="n">
        <v>1</v>
      </c>
      <c r="DQ672" t="n">
        <v>1</v>
      </c>
      <c r="DU672" t="n">
        <v>1010</v>
      </c>
      <c r="DV672" t="inlineStr">
        <is>
          <t>шт.</t>
        </is>
      </c>
      <c r="DW672" t="inlineStr">
        <is>
          <t>шт.</t>
        </is>
      </c>
      <c r="DX672" t="n">
        <v>1</v>
      </c>
      <c r="DZ672" t="inlineStr"/>
      <c r="EA672" t="inlineStr"/>
      <c r="EB672" t="inlineStr"/>
      <c r="EC672" t="inlineStr"/>
      <c r="EE672" t="n">
        <v>78725882</v>
      </c>
      <c r="EF672" t="n">
        <v>2</v>
      </c>
      <c r="EG672" t="inlineStr">
        <is>
          <t>Общестроительные работы</t>
        </is>
      </c>
      <c r="EH672" t="n">
        <v>16</v>
      </c>
      <c r="EI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2" t="n">
        <v>1</v>
      </c>
      <c r="EK672" t="n">
        <v>16001</v>
      </c>
      <c r="EL672" t="inlineStr">
        <is>
          <t>Трубопроводы внутренние</t>
        </is>
      </c>
      <c r="EM672" t="inlineStr">
        <is>
          <t>ФЕР-16</t>
        </is>
      </c>
      <c r="EO672" t="inlineStr"/>
      <c r="EQ672" t="n">
        <v>0</v>
      </c>
      <c r="ER672" t="n">
        <v>106.72</v>
      </c>
      <c r="ES672" t="n">
        <v>106.72</v>
      </c>
      <c r="ET672" t="n">
        <v>0</v>
      </c>
      <c r="EU672" t="n">
        <v>0</v>
      </c>
      <c r="EV672" t="n">
        <v>0</v>
      </c>
      <c r="EW672" t="n">
        <v>0</v>
      </c>
      <c r="EX672" t="n">
        <v>0</v>
      </c>
      <c r="FQ672" t="n">
        <v>0</v>
      </c>
      <c r="FR672" t="n">
        <v>0</v>
      </c>
      <c r="FS672" t="n">
        <v>0</v>
      </c>
      <c r="FX672" t="n">
        <v>121</v>
      </c>
      <c r="FY672" t="n">
        <v>72</v>
      </c>
      <c r="GA672" t="inlineStr"/>
      <c r="GD672" t="n">
        <v>1</v>
      </c>
      <c r="GF672" t="n">
        <v>535473645</v>
      </c>
      <c r="GG672" t="n">
        <v>2</v>
      </c>
      <c r="GH672" t="n">
        <v>1</v>
      </c>
      <c r="GI672" t="n">
        <v>2</v>
      </c>
      <c r="GJ672" t="n">
        <v>0</v>
      </c>
      <c r="GK672" t="n">
        <v>0</v>
      </c>
      <c r="GL672">
        <f>ROUND(IF(AND(BH672=3,BI672=3,FS672&lt;&gt;0),P672,0),0)</f>
        <v/>
      </c>
      <c r="GM672">
        <f>ROUND(O672+X672+Y672,0)+GX672</f>
        <v/>
      </c>
      <c r="GN672">
        <f>IF(OR(BI672=0,BI672=1),GM672-GX672,0)</f>
        <v/>
      </c>
      <c r="GO672">
        <f>IF(BI672=2,GM672-GX672,0)</f>
        <v/>
      </c>
      <c r="GP672">
        <f>IF(BI672=4,GM672-GX672,0)</f>
        <v/>
      </c>
      <c r="GR672" t="n">
        <v>0</v>
      </c>
      <c r="GS672" t="n">
        <v>3</v>
      </c>
      <c r="GT672" t="n">
        <v>0</v>
      </c>
      <c r="GU672" t="inlineStr"/>
      <c r="GV672">
        <f>ROUND((GT672),2)</f>
        <v/>
      </c>
      <c r="GW672" t="n">
        <v>1</v>
      </c>
      <c r="GX672">
        <f>ROUND(HC672*I672,0)</f>
        <v/>
      </c>
      <c r="HA672" t="n">
        <v>0</v>
      </c>
      <c r="HB672" t="n">
        <v>0</v>
      </c>
      <c r="HC672">
        <f>GV672*GW672</f>
        <v/>
      </c>
      <c r="HE672" t="inlineStr"/>
      <c r="HF672" t="inlineStr"/>
      <c r="HM672" t="inlineStr"/>
      <c r="HN672" t="inlineStr">
        <is>
          <t>Пр/812-016.0-1</t>
        </is>
      </c>
      <c r="HO672" t="inlineStr">
        <is>
          <t>Пр/774-016.0</t>
        </is>
      </c>
      <c r="HP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2" t="n">
        <v>0</v>
      </c>
      <c r="IK672" t="n">
        <v>0</v>
      </c>
    </row>
    <row r="673">
      <c r="A673" t="n">
        <v>18</v>
      </c>
      <c r="B673" t="n">
        <v>0</v>
      </c>
      <c r="C673" t="n">
        <v>409</v>
      </c>
      <c r="E673" t="inlineStr">
        <is>
          <t>8,4</t>
        </is>
      </c>
      <c r="F673" t="inlineStr">
        <is>
          <t>507-5024</t>
        </is>
      </c>
      <c r="G673" t="inlineStr">
        <is>
          <t>Муфта полипропиленовая комбинированная, с внутренней резьбой диаметром 32х1"</t>
        </is>
      </c>
      <c r="H673" t="inlineStr">
        <is>
          <t>10 шт.</t>
        </is>
      </c>
      <c r="I673">
        <f>I669*J673</f>
        <v/>
      </c>
      <c r="J673" t="n">
        <v>1.666666666666667</v>
      </c>
      <c r="K673" t="n">
        <v>1.6666667</v>
      </c>
      <c r="O673">
        <f>ROUND(CP673,0)</f>
        <v/>
      </c>
      <c r="P673">
        <f>ROUND(CQ673*I673,0)</f>
        <v/>
      </c>
      <c r="Q673">
        <f>(ROUND((ROUND(((ET673)*I673),0)*BB673),0)+ROUND((ROUND(((AE673-(EU673))*I673),0)*BS673),0))</f>
        <v/>
      </c>
      <c r="R673">
        <f>(ROUND((ROUND(((EU673)*I673),0)*BS673),0)+ROUND((ROUND(((AE673-(EU673))*I673),0)*BS673),0))</f>
        <v/>
      </c>
      <c r="S673">
        <f>ROUND(CT673*I673,0)</f>
        <v/>
      </c>
      <c r="T673">
        <f>ROUND(CU673*I673,0)</f>
        <v/>
      </c>
      <c r="U673">
        <f>ROUND(CV673*I673,7)</f>
        <v/>
      </c>
      <c r="V673">
        <f>ROUND(CW673*I673,7)</f>
        <v/>
      </c>
      <c r="W673">
        <f>ROUND(CX673*I673,0)</f>
        <v/>
      </c>
      <c r="X673">
        <f>ROUND(CY673,0)</f>
        <v/>
      </c>
      <c r="Y673">
        <f>ROUND(CZ673,0)</f>
        <v/>
      </c>
      <c r="AA673" t="n">
        <v>78869116</v>
      </c>
      <c r="AB673">
        <f>ROUND((AC673+AD673+AF673),2)</f>
        <v/>
      </c>
      <c r="AC673">
        <f>ROUND((ES673),2)</f>
        <v/>
      </c>
      <c r="AD673">
        <f>ROUND((((ET673)-(EU673))+AE673),2)</f>
        <v/>
      </c>
      <c r="AE673">
        <f>ROUND((EU673),2)</f>
        <v/>
      </c>
      <c r="AF673">
        <f>ROUND((EV673),2)</f>
        <v/>
      </c>
      <c r="AG673">
        <f>ROUND((AP673),2)</f>
        <v/>
      </c>
      <c r="AH673">
        <f>(EW673)</f>
        <v/>
      </c>
      <c r="AI673">
        <f>(EX673)</f>
        <v/>
      </c>
      <c r="AJ673">
        <f>(AS673)</f>
        <v/>
      </c>
      <c r="AK673" t="n">
        <v>178.6</v>
      </c>
      <c r="AL673" t="n">
        <v>178.6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  <c r="AS673" t="n">
        <v>0.09</v>
      </c>
      <c r="AT673" t="n">
        <v>121</v>
      </c>
      <c r="AU673" t="n">
        <v>72</v>
      </c>
      <c r="AV673" t="n">
        <v>1</v>
      </c>
      <c r="AW673" t="n">
        <v>1</v>
      </c>
      <c r="AZ673" t="n">
        <v>1</v>
      </c>
      <c r="BA673" t="n">
        <v>1</v>
      </c>
      <c r="BB673" t="n">
        <v>1</v>
      </c>
      <c r="BC673" t="n">
        <v>4.93</v>
      </c>
      <c r="BD673" t="inlineStr"/>
      <c r="BE673" t="inlineStr"/>
      <c r="BF673" t="inlineStr"/>
      <c r="BG673" t="inlineStr"/>
      <c r="BH673" t="n">
        <v>3</v>
      </c>
      <c r="BI673" t="n">
        <v>1</v>
      </c>
      <c r="BJ673" t="inlineStr">
        <is>
          <t>ТССЦ Московской обл., 507-5024, приказ Минстроя России №675/пр от 28.02.2017 № 258/пр</t>
        </is>
      </c>
      <c r="BM673" t="n">
        <v>16001</v>
      </c>
      <c r="BN673" t="n">
        <v>0</v>
      </c>
      <c r="BO673" t="inlineStr">
        <is>
          <t>507-5024</t>
        </is>
      </c>
      <c r="BP673" t="n">
        <v>1</v>
      </c>
      <c r="BQ673" t="n">
        <v>2</v>
      </c>
      <c r="BR673" t="n">
        <v>0</v>
      </c>
      <c r="BS673" t="n">
        <v>1</v>
      </c>
      <c r="BT673" t="n">
        <v>1</v>
      </c>
      <c r="BU673" t="n">
        <v>1</v>
      </c>
      <c r="BV673" t="n">
        <v>1</v>
      </c>
      <c r="BW673" t="n">
        <v>1</v>
      </c>
      <c r="BX673" t="n">
        <v>1</v>
      </c>
      <c r="BY673" t="inlineStr"/>
      <c r="BZ673" t="n">
        <v>121</v>
      </c>
      <c r="CA673" t="n">
        <v>72</v>
      </c>
      <c r="CB673" t="inlineStr"/>
      <c r="CE673" t="n">
        <v>12</v>
      </c>
      <c r="CF673" t="n">
        <v>0</v>
      </c>
      <c r="CG673" t="n">
        <v>0</v>
      </c>
      <c r="CM673" t="n">
        <v>0</v>
      </c>
      <c r="CN673" t="inlineStr"/>
      <c r="CO673" t="n">
        <v>0</v>
      </c>
      <c r="CP673">
        <f>(P673+Q673+S673)</f>
        <v/>
      </c>
      <c r="CQ673">
        <f>AC673*BC673</f>
        <v/>
      </c>
      <c r="CR673">
        <f>(ROUND((ROUND(((ET673)*1),0)*BB673),0)+ROUND((ROUND(((AE673-(EU673))*1),0)*BS673),0))</f>
        <v/>
      </c>
      <c r="CS673">
        <f>(ROUND((ROUND(((EU673)*1),0)*BS673),0)+ROUND((ROUND(((AE673-(EU673))*1),0)*BS673),0))</f>
        <v/>
      </c>
      <c r="CT673">
        <f>AF673*BA673</f>
        <v/>
      </c>
      <c r="CU673">
        <f>AG673</f>
        <v/>
      </c>
      <c r="CV673">
        <f>AH673</f>
        <v/>
      </c>
      <c r="CW673">
        <f>AI673</f>
        <v/>
      </c>
      <c r="CX673">
        <f>AJ673</f>
        <v/>
      </c>
      <c r="CY673">
        <f>(((S673+R673)*AT673)/100)</f>
        <v/>
      </c>
      <c r="CZ673">
        <f>(((S673+R673)*AU673)/100)</f>
        <v/>
      </c>
      <c r="DC673" t="inlineStr"/>
      <c r="DD673" t="inlineStr"/>
      <c r="DE673" t="inlineStr"/>
      <c r="DF673" t="inlineStr"/>
      <c r="DG673" t="inlineStr"/>
      <c r="DH673" t="inlineStr"/>
      <c r="DI673" t="inlineStr"/>
      <c r="DJ673" t="inlineStr"/>
      <c r="DK673" t="inlineStr"/>
      <c r="DL673" t="inlineStr"/>
      <c r="DM673" t="inlineStr"/>
      <c r="DN673" t="n">
        <v>0</v>
      </c>
      <c r="DO673" t="n">
        <v>0</v>
      </c>
      <c r="DP673" t="n">
        <v>1</v>
      </c>
      <c r="DQ673" t="n">
        <v>1</v>
      </c>
      <c r="DU673" t="n">
        <v>1010</v>
      </c>
      <c r="DV673" t="inlineStr">
        <is>
          <t>10 шт.</t>
        </is>
      </c>
      <c r="DW673" t="inlineStr">
        <is>
          <t>10 шт.</t>
        </is>
      </c>
      <c r="DX673" t="n">
        <v>10</v>
      </c>
      <c r="DZ673" t="inlineStr"/>
      <c r="EA673" t="inlineStr"/>
      <c r="EB673" t="inlineStr"/>
      <c r="EC673" t="inlineStr"/>
      <c r="EE673" t="n">
        <v>78725882</v>
      </c>
      <c r="EF673" t="n">
        <v>2</v>
      </c>
      <c r="EG673" t="inlineStr">
        <is>
          <t>Общестроительные работы</t>
        </is>
      </c>
      <c r="EH673" t="n">
        <v>16</v>
      </c>
      <c r="EI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3" t="n">
        <v>1</v>
      </c>
      <c r="EK673" t="n">
        <v>16001</v>
      </c>
      <c r="EL673" t="inlineStr">
        <is>
          <t>Трубопроводы внутренние</t>
        </is>
      </c>
      <c r="EM673" t="inlineStr">
        <is>
          <t>ФЕР-16</t>
        </is>
      </c>
      <c r="EO673" t="inlineStr"/>
      <c r="EQ673" t="n">
        <v>0</v>
      </c>
      <c r="ER673" t="n">
        <v>178.6</v>
      </c>
      <c r="ES673" t="n">
        <v>178.6</v>
      </c>
      <c r="ET673" t="n">
        <v>0</v>
      </c>
      <c r="EU673" t="n">
        <v>0</v>
      </c>
      <c r="EV673" t="n">
        <v>0</v>
      </c>
      <c r="EW673" t="n">
        <v>0</v>
      </c>
      <c r="EX673" t="n">
        <v>0</v>
      </c>
      <c r="FQ673" t="n">
        <v>0</v>
      </c>
      <c r="FR673" t="n">
        <v>0</v>
      </c>
      <c r="FS673" t="n">
        <v>0</v>
      </c>
      <c r="FX673" t="n">
        <v>121</v>
      </c>
      <c r="FY673" t="n">
        <v>72</v>
      </c>
      <c r="GA673" t="inlineStr"/>
      <c r="GD673" t="n">
        <v>1</v>
      </c>
      <c r="GF673" t="n">
        <v>-317381250</v>
      </c>
      <c r="GG673" t="n">
        <v>2</v>
      </c>
      <c r="GH673" t="n">
        <v>1</v>
      </c>
      <c r="GI673" t="n">
        <v>2</v>
      </c>
      <c r="GJ673" t="n">
        <v>0</v>
      </c>
      <c r="GK673" t="n">
        <v>0</v>
      </c>
      <c r="GL673">
        <f>ROUND(IF(AND(BH673=3,BI673=3,FS673&lt;&gt;0),P673,0),0)</f>
        <v/>
      </c>
      <c r="GM673">
        <f>ROUND(O673+X673+Y673,0)+GX673</f>
        <v/>
      </c>
      <c r="GN673">
        <f>IF(OR(BI673=0,BI673=1),GM673-GX673,0)</f>
        <v/>
      </c>
      <c r="GO673">
        <f>IF(BI673=2,GM673-GX673,0)</f>
        <v/>
      </c>
      <c r="GP673">
        <f>IF(BI673=4,GM673-GX673,0)</f>
        <v/>
      </c>
      <c r="GR673" t="n">
        <v>0</v>
      </c>
      <c r="GS673" t="n">
        <v>3</v>
      </c>
      <c r="GT673" t="n">
        <v>0</v>
      </c>
      <c r="GU673" t="inlineStr"/>
      <c r="GV673">
        <f>ROUND((GT673),2)</f>
        <v/>
      </c>
      <c r="GW673" t="n">
        <v>1</v>
      </c>
      <c r="GX673">
        <f>ROUND(HC673*I673,0)</f>
        <v/>
      </c>
      <c r="HA673" t="n">
        <v>0</v>
      </c>
      <c r="HB673" t="n">
        <v>0</v>
      </c>
      <c r="HC673">
        <f>GV673*GW673</f>
        <v/>
      </c>
      <c r="HE673" t="inlineStr"/>
      <c r="HF673" t="inlineStr"/>
      <c r="HM673" t="inlineStr"/>
      <c r="HN673" t="inlineStr">
        <is>
          <t>Пр/812-016.0-1</t>
        </is>
      </c>
      <c r="HO673" t="inlineStr">
        <is>
          <t>Пр/774-016.0</t>
        </is>
      </c>
      <c r="HP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3" t="n">
        <v>0</v>
      </c>
      <c r="IK673" t="n">
        <v>0</v>
      </c>
    </row>
    <row r="674"/>
    <row r="675">
      <c r="A675" s="402" t="n">
        <v>51</v>
      </c>
      <c r="B675" s="402">
        <f>B654</f>
        <v/>
      </c>
      <c r="C675" s="402">
        <f>A654</f>
        <v/>
      </c>
      <c r="D675" s="402">
        <f>ROW(A654)</f>
        <v/>
      </c>
      <c r="E675" s="402" t="n"/>
      <c r="F675" s="402">
        <f>IF(F654&lt;&gt;"",F654,"")</f>
        <v/>
      </c>
      <c r="G675" s="402">
        <f>IF(G654&lt;&gt;"",G654,"")</f>
        <v/>
      </c>
      <c r="H675" s="402" t="n">
        <v>0</v>
      </c>
      <c r="I675" s="402" t="n"/>
      <c r="J675" s="402" t="n"/>
      <c r="K675" s="402" t="n"/>
      <c r="L675" s="402" t="n"/>
      <c r="M675" s="402" t="n"/>
      <c r="N675" s="402" t="n"/>
      <c r="O675" s="402" t="n">
        <v>0</v>
      </c>
      <c r="P675" s="402" t="n">
        <v>0</v>
      </c>
      <c r="Q675" s="402" t="n">
        <v>0</v>
      </c>
      <c r="R675" s="402" t="n">
        <v>0</v>
      </c>
      <c r="S675" s="402" t="n">
        <v>0</v>
      </c>
      <c r="T675" s="402" t="n">
        <v>0</v>
      </c>
      <c r="U675" s="402" t="n">
        <v>0</v>
      </c>
      <c r="V675" s="402" t="n">
        <v>0</v>
      </c>
      <c r="W675" s="402" t="n">
        <v>0</v>
      </c>
      <c r="X675" s="402" t="n">
        <v>0</v>
      </c>
      <c r="Y675" s="402" t="n">
        <v>0</v>
      </c>
      <c r="Z675" s="402" t="n"/>
      <c r="AA675" s="402" t="n"/>
      <c r="AB675" s="402" t="n"/>
      <c r="AC675" s="402" t="n"/>
      <c r="AD675" s="402" t="n"/>
      <c r="AE675" s="402" t="n"/>
      <c r="AF675" s="402" t="n"/>
      <c r="AG675" s="402" t="n"/>
      <c r="AH675" s="402" t="n"/>
      <c r="AI675" s="402" t="n"/>
      <c r="AJ675" s="402" t="n"/>
      <c r="AK675" s="402" t="n"/>
      <c r="AL675" s="402" t="n"/>
      <c r="AM675" s="402" t="n"/>
      <c r="AN675" s="402" t="n"/>
      <c r="AO675" s="402">
        <f>ROUND(BX675,0)</f>
        <v/>
      </c>
      <c r="AP675" s="402">
        <f>ROUND(BY675,0)</f>
        <v/>
      </c>
      <c r="AQ675" s="402">
        <f>ROUND(BZ675,0)</f>
        <v/>
      </c>
      <c r="AR675" s="402">
        <f>ROUND(CA675,0)</f>
        <v/>
      </c>
      <c r="AS675" s="402">
        <f>ROUND(CB675,0)</f>
        <v/>
      </c>
      <c r="AT675" s="402">
        <f>ROUND(CC675,0)</f>
        <v/>
      </c>
      <c r="AU675" s="402">
        <f>ROUND(CD675,0)</f>
        <v/>
      </c>
      <c r="AV675" s="402">
        <f>ROUND(CE675,0)</f>
        <v/>
      </c>
      <c r="AW675" s="402">
        <f>ROUND(CF675,0)</f>
        <v/>
      </c>
      <c r="AX675" s="402">
        <f>ROUND(CG675,0)</f>
        <v/>
      </c>
      <c r="AY675" s="402">
        <f>ROUND(CH675,0)</f>
        <v/>
      </c>
      <c r="AZ675" s="402">
        <f>ROUND(CI675,0)</f>
        <v/>
      </c>
      <c r="BA675" s="402">
        <f>ROUND(CJ675,0)</f>
        <v/>
      </c>
      <c r="BB675" s="402">
        <f>ROUND(CK675,0)</f>
        <v/>
      </c>
      <c r="BC675" s="402">
        <f>ROUND(CL675,0)</f>
        <v/>
      </c>
      <c r="BD675" s="402">
        <f>ROUND(CM675,0)</f>
        <v/>
      </c>
      <c r="BE675" s="402" t="n"/>
      <c r="BF675" s="402" t="n"/>
      <c r="BG675" s="402" t="n"/>
      <c r="BH675" s="402" t="n"/>
      <c r="BI675" s="402" t="n"/>
      <c r="BJ675" s="402" t="n"/>
      <c r="BK675" s="402" t="n"/>
      <c r="BL675" s="402" t="n"/>
      <c r="BM675" s="402" t="n"/>
      <c r="BN675" s="402" t="n"/>
      <c r="BO675" s="402" t="n"/>
      <c r="BP675" s="402" t="n"/>
      <c r="BQ675" s="402" t="n"/>
      <c r="BR675" s="402" t="n"/>
      <c r="BS675" s="402" t="n"/>
      <c r="BT675" s="402" t="n"/>
      <c r="BU675" s="402" t="n"/>
      <c r="BV675" s="402" t="n"/>
      <c r="BW675" s="402" t="n"/>
      <c r="BX675" s="402" t="n"/>
      <c r="BY675" s="402" t="n"/>
      <c r="BZ675" s="402" t="n"/>
      <c r="CA675" s="402" t="n"/>
      <c r="CB675" s="402" t="n"/>
      <c r="CC675" s="402" t="n"/>
      <c r="CD675" s="402" t="n"/>
      <c r="CE675" s="402" t="n"/>
      <c r="CF675" s="402" t="n"/>
      <c r="CG675" s="402" t="n"/>
      <c r="CH675" s="402" t="n"/>
      <c r="CI675" s="402" t="n"/>
      <c r="CJ675" s="402" t="n"/>
      <c r="CK675" s="402" t="n"/>
      <c r="CL675" s="402" t="n"/>
      <c r="CM675" s="402" t="n"/>
      <c r="CN675" s="402" t="n"/>
      <c r="CO675" s="402" t="n"/>
      <c r="CP675" s="402" t="n"/>
      <c r="CQ675" s="402" t="n"/>
      <c r="CR675" s="402" t="n"/>
      <c r="CS675" s="402" t="n"/>
      <c r="CT675" s="402" t="n"/>
      <c r="CU675" s="402" t="n"/>
      <c r="CV675" s="402" t="n"/>
      <c r="CW675" s="402" t="n"/>
      <c r="CX675" s="402" t="n"/>
      <c r="CY675" s="402" t="n"/>
      <c r="CZ675" s="402" t="n"/>
      <c r="DA675" s="402" t="n"/>
      <c r="DB675" s="402" t="n"/>
      <c r="DC675" s="402" t="n"/>
      <c r="DD675" s="402" t="n"/>
      <c r="DE675" s="402" t="n"/>
      <c r="DF675" s="402" t="n"/>
      <c r="DG675" s="403" t="n"/>
      <c r="DH675" s="403" t="n"/>
      <c r="DI675" s="403" t="n"/>
      <c r="DJ675" s="403" t="n"/>
      <c r="DK675" s="403" t="n"/>
      <c r="DL675" s="403" t="n"/>
      <c r="DM675" s="403" t="n"/>
      <c r="DN675" s="403" t="n"/>
      <c r="DO675" s="403" t="n"/>
      <c r="DP675" s="403" t="n"/>
      <c r="DQ675" s="403" t="n"/>
      <c r="DR675" s="403" t="n"/>
      <c r="DS675" s="403" t="n"/>
      <c r="DT675" s="403" t="n"/>
      <c r="DU675" s="403" t="n"/>
      <c r="DV675" s="403" t="n"/>
      <c r="DW675" s="403" t="n"/>
      <c r="DX675" s="403" t="n"/>
      <c r="DY675" s="403" t="n"/>
      <c r="DZ675" s="403" t="n"/>
      <c r="EA675" s="403" t="n"/>
      <c r="EB675" s="403" t="n"/>
      <c r="EC675" s="403" t="n"/>
      <c r="ED675" s="403" t="n"/>
      <c r="EE675" s="403" t="n"/>
      <c r="EF675" s="403" t="n"/>
      <c r="EG675" s="403" t="n"/>
      <c r="EH675" s="403" t="n"/>
      <c r="EI675" s="403" t="n"/>
      <c r="EJ675" s="403" t="n"/>
      <c r="EK675" s="403" t="n"/>
      <c r="EL675" s="403" t="n"/>
      <c r="EM675" s="403" t="n"/>
      <c r="EN675" s="403" t="n"/>
      <c r="EO675" s="403" t="n"/>
      <c r="EP675" s="403" t="n"/>
      <c r="EQ675" s="403" t="n"/>
      <c r="ER675" s="403" t="n"/>
      <c r="ES675" s="403" t="n"/>
      <c r="ET675" s="403" t="n"/>
      <c r="EU675" s="403" t="n"/>
      <c r="EV675" s="403" t="n"/>
      <c r="EW675" s="403" t="n"/>
      <c r="EX675" s="403" t="n"/>
      <c r="EY675" s="403" t="n"/>
      <c r="EZ675" s="403" t="n"/>
      <c r="FA675" s="403" t="n"/>
      <c r="FB675" s="403" t="n"/>
      <c r="FC675" s="403" t="n"/>
      <c r="FD675" s="403" t="n"/>
      <c r="FE675" s="403" t="n"/>
      <c r="FF675" s="403" t="n"/>
      <c r="FG675" s="403" t="n"/>
      <c r="FH675" s="403" t="n"/>
      <c r="FI675" s="403" t="n"/>
      <c r="FJ675" s="403" t="n"/>
      <c r="FK675" s="403" t="n"/>
      <c r="FL675" s="403" t="n"/>
      <c r="FM675" s="403" t="n"/>
      <c r="FN675" s="403" t="n"/>
      <c r="FO675" s="403" t="n"/>
      <c r="FP675" s="403" t="n"/>
      <c r="FQ675" s="403" t="n"/>
      <c r="FR675" s="403" t="n"/>
      <c r="FS675" s="403" t="n"/>
      <c r="FT675" s="403" t="n"/>
      <c r="FU675" s="403" t="n"/>
      <c r="FV675" s="403" t="n"/>
      <c r="FW675" s="403" t="n"/>
      <c r="FX675" s="403" t="n"/>
      <c r="FY675" s="403" t="n"/>
      <c r="FZ675" s="403" t="n"/>
      <c r="GA675" s="403" t="n"/>
      <c r="GB675" s="403" t="n"/>
      <c r="GC675" s="403" t="n"/>
      <c r="GD675" s="403" t="n"/>
      <c r="GE675" s="403" t="n"/>
      <c r="GF675" s="403" t="n"/>
      <c r="GG675" s="403" t="n"/>
      <c r="GH675" s="403" t="n"/>
      <c r="GI675" s="403" t="n"/>
      <c r="GJ675" s="403" t="n"/>
      <c r="GK675" s="403" t="n"/>
      <c r="GL675" s="403" t="n"/>
      <c r="GM675" s="403" t="n"/>
      <c r="GN675" s="403" t="n"/>
      <c r="GO675" s="403" t="n"/>
      <c r="GP675" s="403" t="n"/>
      <c r="GQ675" s="403" t="n"/>
      <c r="GR675" s="403" t="n"/>
      <c r="GS675" s="403" t="n"/>
      <c r="GT675" s="403" t="n"/>
      <c r="GU675" s="403" t="n"/>
      <c r="GV675" s="403" t="n"/>
      <c r="GW675" s="403" t="n"/>
      <c r="GX675" s="403" t="n">
        <v>0</v>
      </c>
    </row>
    <row r="676"/>
    <row r="677">
      <c r="A677" s="404" t="n">
        <v>50</v>
      </c>
      <c r="B677" s="404" t="n">
        <v>0</v>
      </c>
      <c r="C677" s="404" t="n">
        <v>0</v>
      </c>
      <c r="D677" s="404" t="n">
        <v>1</v>
      </c>
      <c r="E677" s="404" t="n">
        <v>201</v>
      </c>
      <c r="F677" s="404">
        <f>ROUND(Source!O675,O677)</f>
        <v/>
      </c>
      <c r="G677" s="404" t="inlineStr">
        <is>
          <t>ПЗ</t>
        </is>
      </c>
      <c r="H677" s="404" t="inlineStr">
        <is>
          <t>Прямые затраты</t>
        </is>
      </c>
      <c r="I677" s="404" t="n"/>
      <c r="J677" s="404" t="n"/>
      <c r="K677" s="404" t="n">
        <v>201</v>
      </c>
      <c r="L677" s="404" t="n">
        <v>1</v>
      </c>
      <c r="M677" s="404" t="n">
        <v>3</v>
      </c>
      <c r="N677" s="404" t="inlineStr"/>
      <c r="O677" s="404" t="n">
        <v>0</v>
      </c>
      <c r="P677" s="404" t="n"/>
      <c r="Q677" s="404" t="n"/>
      <c r="R677" s="404" t="n"/>
      <c r="S677" s="404" t="n"/>
      <c r="T677" s="404" t="n"/>
      <c r="U677" s="404" t="n"/>
      <c r="V677" s="404" t="n"/>
      <c r="W677" s="404" t="n">
        <v>0</v>
      </c>
      <c r="X677" s="404" t="n">
        <v>1</v>
      </c>
      <c r="Y677" s="404" t="n">
        <v>0</v>
      </c>
      <c r="Z677" s="404" t="n"/>
      <c r="AA677" s="404" t="n"/>
      <c r="AB677" s="404" t="n"/>
    </row>
    <row r="678">
      <c r="A678" s="404" t="n">
        <v>50</v>
      </c>
      <c r="B678" s="404" t="n">
        <v>0</v>
      </c>
      <c r="C678" s="404" t="n">
        <v>0</v>
      </c>
      <c r="D678" s="404" t="n">
        <v>1</v>
      </c>
      <c r="E678" s="404" t="n">
        <v>202</v>
      </c>
      <c r="F678" s="404">
        <f>ROUND(Source!P675,O678)</f>
        <v/>
      </c>
      <c r="G678" s="404" t="inlineStr">
        <is>
          <t>СтМатОб</t>
        </is>
      </c>
      <c r="H678" s="404" t="inlineStr">
        <is>
          <t>Стоимость материальных ресурсов (всего)</t>
        </is>
      </c>
      <c r="I678" s="404" t="n"/>
      <c r="J678" s="404" t="n"/>
      <c r="K678" s="404" t="n">
        <v>202</v>
      </c>
      <c r="L678" s="404" t="n">
        <v>2</v>
      </c>
      <c r="M678" s="404" t="n">
        <v>3</v>
      </c>
      <c r="N678" s="404" t="inlineStr"/>
      <c r="O678" s="404" t="n">
        <v>0</v>
      </c>
      <c r="P678" s="404" t="n"/>
      <c r="Q678" s="404" t="n"/>
      <c r="R678" s="404" t="n"/>
      <c r="S678" s="404" t="n"/>
      <c r="T678" s="404" t="n"/>
      <c r="U678" s="404" t="n"/>
      <c r="V678" s="404" t="n"/>
      <c r="W678" s="404" t="n">
        <v>0</v>
      </c>
      <c r="X678" s="404" t="n">
        <v>1</v>
      </c>
      <c r="Y678" s="404" t="n">
        <v>0</v>
      </c>
      <c r="Z678" s="404" t="n"/>
      <c r="AA678" s="404" t="n"/>
      <c r="AB678" s="404" t="n"/>
    </row>
    <row r="679">
      <c r="A679" s="404" t="n">
        <v>50</v>
      </c>
      <c r="B679" s="404" t="n">
        <v>0</v>
      </c>
      <c r="C679" s="404" t="n">
        <v>0</v>
      </c>
      <c r="D679" s="404" t="n">
        <v>1</v>
      </c>
      <c r="E679" s="404" t="n">
        <v>222</v>
      </c>
      <c r="F679" s="404">
        <f>ROUND(Source!AO675,O679)</f>
        <v/>
      </c>
      <c r="G679" s="404" t="inlineStr">
        <is>
          <t>СтМатОбЗак</t>
        </is>
      </c>
      <c r="H679" s="404" t="inlineStr">
        <is>
          <t>Стоимость материалов и оборудования заказчика</t>
        </is>
      </c>
      <c r="I679" s="404" t="n"/>
      <c r="J679" s="404" t="n"/>
      <c r="K679" s="404" t="n">
        <v>222</v>
      </c>
      <c r="L679" s="404" t="n">
        <v>3</v>
      </c>
      <c r="M679" s="404" t="n">
        <v>3</v>
      </c>
      <c r="N679" s="404" t="inlineStr"/>
      <c r="O679" s="404" t="n">
        <v>0</v>
      </c>
      <c r="P679" s="404" t="n"/>
      <c r="Q679" s="404" t="n"/>
      <c r="R679" s="404" t="n"/>
      <c r="S679" s="404" t="n"/>
      <c r="T679" s="404" t="n"/>
      <c r="U679" s="404" t="n"/>
      <c r="V679" s="404" t="n"/>
      <c r="W679" s="404" t="n">
        <v>0</v>
      </c>
      <c r="X679" s="404" t="n">
        <v>1</v>
      </c>
      <c r="Y679" s="404" t="n">
        <v>0</v>
      </c>
      <c r="Z679" s="404" t="n"/>
      <c r="AA679" s="404" t="n"/>
      <c r="AB679" s="404" t="n"/>
    </row>
    <row r="680">
      <c r="A680" s="404" t="n">
        <v>50</v>
      </c>
      <c r="B680" s="404" t="n">
        <v>0</v>
      </c>
      <c r="C680" s="404" t="n">
        <v>0</v>
      </c>
      <c r="D680" s="404" t="n">
        <v>1</v>
      </c>
      <c r="E680" s="404" t="n">
        <v>225</v>
      </c>
      <c r="F680" s="404">
        <f>ROUND(Source!AV675,O680)</f>
        <v/>
      </c>
      <c r="G680" s="404" t="inlineStr">
        <is>
          <t>СтМатОбПод</t>
        </is>
      </c>
      <c r="H680" s="404" t="inlineStr">
        <is>
          <t>Стоимость материалов и оборудования подрядчика</t>
        </is>
      </c>
      <c r="I680" s="404" t="n"/>
      <c r="J680" s="404" t="n"/>
      <c r="K680" s="404" t="n">
        <v>225</v>
      </c>
      <c r="L680" s="404" t="n">
        <v>4</v>
      </c>
      <c r="M680" s="404" t="n">
        <v>3</v>
      </c>
      <c r="N680" s="404" t="inlineStr"/>
      <c r="O680" s="404" t="n">
        <v>0</v>
      </c>
      <c r="P680" s="404" t="n"/>
      <c r="Q680" s="404" t="n"/>
      <c r="R680" s="404" t="n"/>
      <c r="S680" s="404" t="n"/>
      <c r="T680" s="404" t="n"/>
      <c r="U680" s="404" t="n"/>
      <c r="V680" s="404" t="n"/>
      <c r="W680" s="404" t="n">
        <v>0</v>
      </c>
      <c r="X680" s="404" t="n">
        <v>1</v>
      </c>
      <c r="Y680" s="404" t="n">
        <v>0</v>
      </c>
      <c r="Z680" s="404" t="n"/>
      <c r="AA680" s="404" t="n"/>
      <c r="AB680" s="404" t="n"/>
    </row>
    <row r="681">
      <c r="A681" s="404" t="n">
        <v>50</v>
      </c>
      <c r="B681" s="404" t="n">
        <v>0</v>
      </c>
      <c r="C681" s="404" t="n">
        <v>0</v>
      </c>
      <c r="D681" s="404" t="n">
        <v>1</v>
      </c>
      <c r="E681" s="404" t="n">
        <v>226</v>
      </c>
      <c r="F681" s="404">
        <f>ROUND(Source!AW675,O681)</f>
        <v/>
      </c>
      <c r="G681" s="404" t="inlineStr">
        <is>
          <t>СтМат</t>
        </is>
      </c>
      <c r="H681" s="404" t="inlineStr">
        <is>
          <t>Стоимость материалов (всего)</t>
        </is>
      </c>
      <c r="I681" s="404" t="n"/>
      <c r="J681" s="404" t="n"/>
      <c r="K681" s="404" t="n">
        <v>226</v>
      </c>
      <c r="L681" s="404" t="n">
        <v>5</v>
      </c>
      <c r="M681" s="404" t="n">
        <v>3</v>
      </c>
      <c r="N681" s="404" t="inlineStr"/>
      <c r="O681" s="404" t="n">
        <v>0</v>
      </c>
      <c r="P681" s="404" t="n"/>
      <c r="Q681" s="404" t="n"/>
      <c r="R681" s="404" t="n"/>
      <c r="S681" s="404" t="n"/>
      <c r="T681" s="404" t="n"/>
      <c r="U681" s="404" t="n"/>
      <c r="V681" s="404" t="n"/>
      <c r="W681" s="404" t="n">
        <v>0</v>
      </c>
      <c r="X681" s="404" t="n">
        <v>1</v>
      </c>
      <c r="Y681" s="404" t="n">
        <v>0</v>
      </c>
      <c r="Z681" s="404" t="n"/>
      <c r="AA681" s="404" t="n"/>
      <c r="AB681" s="404" t="n"/>
    </row>
    <row r="682">
      <c r="A682" s="404" t="n">
        <v>50</v>
      </c>
      <c r="B682" s="404" t="n">
        <v>0</v>
      </c>
      <c r="C682" s="404" t="n">
        <v>0</v>
      </c>
      <c r="D682" s="404" t="n">
        <v>1</v>
      </c>
      <c r="E682" s="404" t="n">
        <v>227</v>
      </c>
      <c r="F682" s="404">
        <f>ROUND(Source!AX675,O682)</f>
        <v/>
      </c>
      <c r="G682" s="404" t="inlineStr">
        <is>
          <t>СтМатЗак</t>
        </is>
      </c>
      <c r="H682" s="404" t="inlineStr">
        <is>
          <t>Стоимость материалов заказчика</t>
        </is>
      </c>
      <c r="I682" s="404" t="n"/>
      <c r="J682" s="404" t="n"/>
      <c r="K682" s="404" t="n">
        <v>227</v>
      </c>
      <c r="L682" s="404" t="n">
        <v>6</v>
      </c>
      <c r="M682" s="404" t="n">
        <v>3</v>
      </c>
      <c r="N682" s="404" t="inlineStr"/>
      <c r="O682" s="404" t="n">
        <v>0</v>
      </c>
      <c r="P682" s="404" t="n"/>
      <c r="Q682" s="404" t="n"/>
      <c r="R682" s="404" t="n"/>
      <c r="S682" s="404" t="n"/>
      <c r="T682" s="404" t="n"/>
      <c r="U682" s="404" t="n"/>
      <c r="V682" s="404" t="n"/>
      <c r="W682" s="404" t="n">
        <v>0</v>
      </c>
      <c r="X682" s="404" t="n">
        <v>1</v>
      </c>
      <c r="Y682" s="404" t="n">
        <v>0</v>
      </c>
      <c r="Z682" s="404" t="n"/>
      <c r="AA682" s="404" t="n"/>
      <c r="AB682" s="404" t="n"/>
    </row>
    <row r="683">
      <c r="A683" s="404" t="n">
        <v>50</v>
      </c>
      <c r="B683" s="404" t="n">
        <v>0</v>
      </c>
      <c r="C683" s="404" t="n">
        <v>0</v>
      </c>
      <c r="D683" s="404" t="n">
        <v>1</v>
      </c>
      <c r="E683" s="404" t="n">
        <v>228</v>
      </c>
      <c r="F683" s="404">
        <f>ROUND(Source!AY675,O683)</f>
        <v/>
      </c>
      <c r="G683" s="404" t="inlineStr">
        <is>
          <t>СтМатПод</t>
        </is>
      </c>
      <c r="H683" s="404" t="inlineStr">
        <is>
          <t>Стоимость материалов подрядчика</t>
        </is>
      </c>
      <c r="I683" s="404" t="n"/>
      <c r="J683" s="404" t="n"/>
      <c r="K683" s="404" t="n">
        <v>228</v>
      </c>
      <c r="L683" s="404" t="n">
        <v>7</v>
      </c>
      <c r="M683" s="404" t="n">
        <v>3</v>
      </c>
      <c r="N683" s="404" t="inlineStr"/>
      <c r="O683" s="404" t="n">
        <v>0</v>
      </c>
      <c r="P683" s="404" t="n"/>
      <c r="Q683" s="404" t="n"/>
      <c r="R683" s="404" t="n"/>
      <c r="S683" s="404" t="n"/>
      <c r="T683" s="404" t="n"/>
      <c r="U683" s="404" t="n"/>
      <c r="V683" s="404" t="n"/>
      <c r="W683" s="404" t="n">
        <v>0</v>
      </c>
      <c r="X683" s="404" t="n">
        <v>1</v>
      </c>
      <c r="Y683" s="404" t="n">
        <v>0</v>
      </c>
      <c r="Z683" s="404" t="n"/>
      <c r="AA683" s="404" t="n"/>
      <c r="AB683" s="404" t="n"/>
    </row>
    <row r="684">
      <c r="A684" s="404" t="n">
        <v>50</v>
      </c>
      <c r="B684" s="404" t="n">
        <v>0</v>
      </c>
      <c r="C684" s="404" t="n">
        <v>0</v>
      </c>
      <c r="D684" s="404" t="n">
        <v>1</v>
      </c>
      <c r="E684" s="404" t="n">
        <v>216</v>
      </c>
      <c r="F684" s="404">
        <f>ROUND(Source!AP675,O684)</f>
        <v/>
      </c>
      <c r="G684" s="404" t="inlineStr">
        <is>
          <t>Оборуд</t>
        </is>
      </c>
      <c r="H684" s="404" t="inlineStr">
        <is>
          <t>Стоимость оборудования (всего)</t>
        </is>
      </c>
      <c r="I684" s="404" t="n"/>
      <c r="J684" s="404" t="n"/>
      <c r="K684" s="404" t="n">
        <v>216</v>
      </c>
      <c r="L684" s="404" t="n">
        <v>8</v>
      </c>
      <c r="M684" s="404" t="n">
        <v>3</v>
      </c>
      <c r="N684" s="404" t="inlineStr"/>
      <c r="O684" s="404" t="n">
        <v>0</v>
      </c>
      <c r="P684" s="404" t="n"/>
      <c r="Q684" s="404" t="n"/>
      <c r="R684" s="404" t="n"/>
      <c r="S684" s="404" t="n"/>
      <c r="T684" s="404" t="n"/>
      <c r="U684" s="404" t="n"/>
      <c r="V684" s="404" t="n"/>
      <c r="W684" s="404" t="n">
        <v>0</v>
      </c>
      <c r="X684" s="404" t="n">
        <v>1</v>
      </c>
      <c r="Y684" s="404" t="n">
        <v>0</v>
      </c>
      <c r="Z684" s="404" t="n"/>
      <c r="AA684" s="404" t="n"/>
      <c r="AB684" s="404" t="n"/>
    </row>
    <row r="685">
      <c r="A685" s="404" t="n">
        <v>50</v>
      </c>
      <c r="B685" s="404" t="n">
        <v>0</v>
      </c>
      <c r="C685" s="404" t="n">
        <v>0</v>
      </c>
      <c r="D685" s="404" t="n">
        <v>1</v>
      </c>
      <c r="E685" s="404" t="n">
        <v>223</v>
      </c>
      <c r="F685" s="404">
        <f>ROUND(Source!AQ675,O685)</f>
        <v/>
      </c>
      <c r="G685" s="404" t="inlineStr">
        <is>
          <t>ОборудЗак</t>
        </is>
      </c>
      <c r="H685" s="404" t="inlineStr">
        <is>
          <t>Стоимость оборудования заказчика</t>
        </is>
      </c>
      <c r="I685" s="404" t="n"/>
      <c r="J685" s="404" t="n"/>
      <c r="K685" s="404" t="n">
        <v>223</v>
      </c>
      <c r="L685" s="404" t="n">
        <v>9</v>
      </c>
      <c r="M685" s="404" t="n">
        <v>3</v>
      </c>
      <c r="N685" s="404" t="inlineStr"/>
      <c r="O685" s="404" t="n">
        <v>0</v>
      </c>
      <c r="P685" s="404" t="n"/>
      <c r="Q685" s="404" t="n"/>
      <c r="R685" s="404" t="n"/>
      <c r="S685" s="404" t="n"/>
      <c r="T685" s="404" t="n"/>
      <c r="U685" s="404" t="n"/>
      <c r="V685" s="404" t="n"/>
      <c r="W685" s="404" t="n">
        <v>0</v>
      </c>
      <c r="X685" s="404" t="n">
        <v>1</v>
      </c>
      <c r="Y685" s="404" t="n">
        <v>0</v>
      </c>
      <c r="Z685" s="404" t="n"/>
      <c r="AA685" s="404" t="n"/>
      <c r="AB685" s="404" t="n"/>
    </row>
    <row r="686">
      <c r="A686" s="404" t="n">
        <v>50</v>
      </c>
      <c r="B686" s="404" t="n">
        <v>0</v>
      </c>
      <c r="C686" s="404" t="n">
        <v>0</v>
      </c>
      <c r="D686" s="404" t="n">
        <v>1</v>
      </c>
      <c r="E686" s="404" t="n">
        <v>229</v>
      </c>
      <c r="F686" s="404">
        <f>ROUND(Source!AZ675,O686)</f>
        <v/>
      </c>
      <c r="G686" s="404" t="inlineStr">
        <is>
          <t>ОборудПод</t>
        </is>
      </c>
      <c r="H686" s="404" t="inlineStr">
        <is>
          <t>Стоимость оборудования подрядчика</t>
        </is>
      </c>
      <c r="I686" s="404" t="n"/>
      <c r="J686" s="404" t="n"/>
      <c r="K686" s="404" t="n">
        <v>229</v>
      </c>
      <c r="L686" s="404" t="n">
        <v>10</v>
      </c>
      <c r="M686" s="404" t="n">
        <v>3</v>
      </c>
      <c r="N686" s="404" t="inlineStr"/>
      <c r="O686" s="404" t="n">
        <v>0</v>
      </c>
      <c r="P686" s="404" t="n"/>
      <c r="Q686" s="404" t="n"/>
      <c r="R686" s="404" t="n"/>
      <c r="S686" s="404" t="n"/>
      <c r="T686" s="404" t="n"/>
      <c r="U686" s="404" t="n"/>
      <c r="V686" s="404" t="n"/>
      <c r="W686" s="404" t="n">
        <v>0</v>
      </c>
      <c r="X686" s="404" t="n">
        <v>1</v>
      </c>
      <c r="Y686" s="404" t="n">
        <v>0</v>
      </c>
      <c r="Z686" s="404" t="n"/>
      <c r="AA686" s="404" t="n"/>
      <c r="AB686" s="404" t="n"/>
    </row>
    <row r="687">
      <c r="A687" s="404" t="n">
        <v>50</v>
      </c>
      <c r="B687" s="404" t="n">
        <v>0</v>
      </c>
      <c r="C687" s="404" t="n">
        <v>0</v>
      </c>
      <c r="D687" s="404" t="n">
        <v>1</v>
      </c>
      <c r="E687" s="404" t="n">
        <v>203</v>
      </c>
      <c r="F687" s="404">
        <f>ROUND(Source!Q675,O687)</f>
        <v/>
      </c>
      <c r="G687" s="404" t="inlineStr">
        <is>
          <t>ЭММ</t>
        </is>
      </c>
      <c r="H687" s="404" t="inlineStr">
        <is>
          <t>Эксплуатация машин</t>
        </is>
      </c>
      <c r="I687" s="404" t="n"/>
      <c r="J687" s="404" t="n"/>
      <c r="K687" s="404" t="n">
        <v>203</v>
      </c>
      <c r="L687" s="404" t="n">
        <v>11</v>
      </c>
      <c r="M687" s="404" t="n">
        <v>3</v>
      </c>
      <c r="N687" s="404" t="inlineStr"/>
      <c r="O687" s="404" t="n">
        <v>0</v>
      </c>
      <c r="P687" s="404" t="n"/>
      <c r="Q687" s="404" t="n"/>
      <c r="R687" s="404" t="n"/>
      <c r="S687" s="404" t="n"/>
      <c r="T687" s="404" t="n"/>
      <c r="U687" s="404" t="n"/>
      <c r="V687" s="404" t="n"/>
      <c r="W687" s="404" t="n">
        <v>0</v>
      </c>
      <c r="X687" s="404" t="n">
        <v>1</v>
      </c>
      <c r="Y687" s="404" t="n">
        <v>0</v>
      </c>
      <c r="Z687" s="404" t="n"/>
      <c r="AA687" s="404" t="n"/>
      <c r="AB687" s="404" t="n"/>
    </row>
    <row r="688">
      <c r="A688" s="404" t="n">
        <v>50</v>
      </c>
      <c r="B688" s="404" t="n">
        <v>0</v>
      </c>
      <c r="C688" s="404" t="n">
        <v>0</v>
      </c>
      <c r="D688" s="404" t="n">
        <v>1</v>
      </c>
      <c r="E688" s="404" t="n">
        <v>231</v>
      </c>
      <c r="F688" s="404">
        <f>ROUND(Source!BB675,O688)</f>
        <v/>
      </c>
      <c r="G688" s="404" t="inlineStr">
        <is>
          <t>ЭММсНРиСП</t>
        </is>
      </c>
      <c r="H688" s="404" t="inlineStr">
        <is>
          <t>Эксплуатация машин по ТСН-2001.16</t>
        </is>
      </c>
      <c r="I688" s="404" t="n"/>
      <c r="J688" s="404" t="n"/>
      <c r="K688" s="404" t="n">
        <v>231</v>
      </c>
      <c r="L688" s="404" t="n">
        <v>12</v>
      </c>
      <c r="M688" s="404" t="n">
        <v>3</v>
      </c>
      <c r="N688" s="404" t="inlineStr"/>
      <c r="O688" s="404" t="n">
        <v>0</v>
      </c>
      <c r="P688" s="404" t="n"/>
      <c r="Q688" s="404" t="n"/>
      <c r="R688" s="404" t="n"/>
      <c r="S688" s="404" t="n"/>
      <c r="T688" s="404" t="n"/>
      <c r="U688" s="404" t="n"/>
      <c r="V688" s="404" t="n"/>
      <c r="W688" s="404" t="n">
        <v>0</v>
      </c>
      <c r="X688" s="404" t="n">
        <v>1</v>
      </c>
      <c r="Y688" s="404" t="n">
        <v>0</v>
      </c>
      <c r="Z688" s="404" t="n"/>
      <c r="AA688" s="404" t="n"/>
      <c r="AB688" s="404" t="n"/>
    </row>
    <row r="689">
      <c r="A689" s="404" t="n">
        <v>50</v>
      </c>
      <c r="B689" s="404" t="n">
        <v>0</v>
      </c>
      <c r="C689" s="404" t="n">
        <v>0</v>
      </c>
      <c r="D689" s="404" t="n">
        <v>1</v>
      </c>
      <c r="E689" s="404" t="n">
        <v>204</v>
      </c>
      <c r="F689" s="404">
        <f>ROUND(Source!R675,O689)</f>
        <v/>
      </c>
      <c r="G689" s="404" t="inlineStr">
        <is>
          <t>ЗПМ</t>
        </is>
      </c>
      <c r="H689" s="404" t="inlineStr">
        <is>
          <t>ЗП машинистов</t>
        </is>
      </c>
      <c r="I689" s="404" t="n"/>
      <c r="J689" s="404" t="n"/>
      <c r="K689" s="404" t="n">
        <v>204</v>
      </c>
      <c r="L689" s="404" t="n">
        <v>13</v>
      </c>
      <c r="M689" s="404" t="n">
        <v>3</v>
      </c>
      <c r="N689" s="404" t="inlineStr"/>
      <c r="O689" s="404" t="n">
        <v>0</v>
      </c>
      <c r="P689" s="404" t="n"/>
      <c r="Q689" s="404" t="n"/>
      <c r="R689" s="404" t="n"/>
      <c r="S689" s="404" t="n"/>
      <c r="T689" s="404" t="n"/>
      <c r="U689" s="404" t="n"/>
      <c r="V689" s="404" t="n"/>
      <c r="W689" s="404" t="n">
        <v>0</v>
      </c>
      <c r="X689" s="404" t="n">
        <v>1</v>
      </c>
      <c r="Y689" s="404" t="n">
        <v>0</v>
      </c>
      <c r="Z689" s="404" t="n"/>
      <c r="AA689" s="404" t="n"/>
      <c r="AB689" s="404" t="n"/>
    </row>
    <row r="690">
      <c r="A690" s="404" t="n">
        <v>50</v>
      </c>
      <c r="B690" s="404" t="n">
        <v>0</v>
      </c>
      <c r="C690" s="404" t="n">
        <v>0</v>
      </c>
      <c r="D690" s="404" t="n">
        <v>1</v>
      </c>
      <c r="E690" s="404" t="n">
        <v>205</v>
      </c>
      <c r="F690" s="404">
        <f>ROUND(Source!S675,O690)</f>
        <v/>
      </c>
      <c r="G690" s="404" t="inlineStr">
        <is>
          <t>ОЗП</t>
        </is>
      </c>
      <c r="H690" s="404" t="inlineStr">
        <is>
          <t>Основная ЗП рабочих</t>
        </is>
      </c>
      <c r="I690" s="404" t="n"/>
      <c r="J690" s="404" t="n"/>
      <c r="K690" s="404" t="n">
        <v>205</v>
      </c>
      <c r="L690" s="404" t="n">
        <v>14</v>
      </c>
      <c r="M690" s="404" t="n">
        <v>3</v>
      </c>
      <c r="N690" s="404" t="inlineStr"/>
      <c r="O690" s="404" t="n">
        <v>0</v>
      </c>
      <c r="P690" s="404" t="n"/>
      <c r="Q690" s="404" t="n"/>
      <c r="R690" s="404" t="n"/>
      <c r="S690" s="404" t="n"/>
      <c r="T690" s="404" t="n"/>
      <c r="U690" s="404" t="n"/>
      <c r="V690" s="404" t="n"/>
      <c r="W690" s="404" t="n">
        <v>0</v>
      </c>
      <c r="X690" s="404" t="n">
        <v>1</v>
      </c>
      <c r="Y690" s="404" t="n">
        <v>0</v>
      </c>
      <c r="Z690" s="404" t="n"/>
      <c r="AA690" s="404" t="n"/>
      <c r="AB690" s="404" t="n"/>
    </row>
    <row r="691">
      <c r="A691" s="404" t="n">
        <v>50</v>
      </c>
      <c r="B691" s="404" t="n">
        <v>0</v>
      </c>
      <c r="C691" s="404" t="n">
        <v>0</v>
      </c>
      <c r="D691" s="404" t="n">
        <v>1</v>
      </c>
      <c r="E691" s="404" t="n">
        <v>232</v>
      </c>
      <c r="F691" s="404">
        <f>ROUND(Source!BC675,O691)</f>
        <v/>
      </c>
      <c r="G691" s="404" t="inlineStr">
        <is>
          <t>ОЗПсНРиСП</t>
        </is>
      </c>
      <c r="H691" s="404" t="inlineStr">
        <is>
          <t>Основная ЗП рабочих по ТСН-2001.16</t>
        </is>
      </c>
      <c r="I691" s="404" t="n"/>
      <c r="J691" s="404" t="n"/>
      <c r="K691" s="404" t="n">
        <v>232</v>
      </c>
      <c r="L691" s="404" t="n">
        <v>15</v>
      </c>
      <c r="M691" s="404" t="n">
        <v>3</v>
      </c>
      <c r="N691" s="404" t="inlineStr"/>
      <c r="O691" s="404" t="n">
        <v>0</v>
      </c>
      <c r="P691" s="404" t="n"/>
      <c r="Q691" s="404" t="n"/>
      <c r="R691" s="404" t="n"/>
      <c r="S691" s="404" t="n"/>
      <c r="T691" s="404" t="n"/>
      <c r="U691" s="404" t="n"/>
      <c r="V691" s="404" t="n"/>
      <c r="W691" s="404" t="n">
        <v>0</v>
      </c>
      <c r="X691" s="404" t="n">
        <v>1</v>
      </c>
      <c r="Y691" s="404" t="n">
        <v>0</v>
      </c>
      <c r="Z691" s="404" t="n"/>
      <c r="AA691" s="404" t="n"/>
      <c r="AB691" s="404" t="n"/>
    </row>
    <row r="692">
      <c r="A692" s="404" t="n">
        <v>50</v>
      </c>
      <c r="B692" s="404" t="n">
        <v>0</v>
      </c>
      <c r="C692" s="404" t="n">
        <v>0</v>
      </c>
      <c r="D692" s="404" t="n">
        <v>1</v>
      </c>
      <c r="E692" s="404" t="n">
        <v>214</v>
      </c>
      <c r="F692" s="404">
        <f>ROUND(Source!AS675,O692)</f>
        <v/>
      </c>
      <c r="G692" s="404" t="inlineStr">
        <is>
          <t>Строит</t>
        </is>
      </c>
      <c r="H692" s="404" t="inlineStr">
        <is>
          <t>Строительные работы с НР и СП</t>
        </is>
      </c>
      <c r="I692" s="404" t="n"/>
      <c r="J692" s="404" t="n"/>
      <c r="K692" s="404" t="n">
        <v>214</v>
      </c>
      <c r="L692" s="404" t="n">
        <v>16</v>
      </c>
      <c r="M692" s="404" t="n">
        <v>3</v>
      </c>
      <c r="N692" s="404" t="inlineStr"/>
      <c r="O692" s="404" t="n">
        <v>0</v>
      </c>
      <c r="P692" s="404" t="n"/>
      <c r="Q692" s="404" t="n"/>
      <c r="R692" s="404" t="n"/>
      <c r="S692" s="404" t="n"/>
      <c r="T692" s="404" t="n"/>
      <c r="U692" s="404" t="n"/>
      <c r="V692" s="404" t="n"/>
      <c r="W692" s="404" t="n">
        <v>0</v>
      </c>
      <c r="X692" s="404" t="n">
        <v>1</v>
      </c>
      <c r="Y692" s="404" t="n">
        <v>0</v>
      </c>
      <c r="Z692" s="404" t="n"/>
      <c r="AA692" s="404" t="n"/>
      <c r="AB692" s="404" t="n"/>
    </row>
    <row r="693">
      <c r="A693" s="404" t="n">
        <v>50</v>
      </c>
      <c r="B693" s="404" t="n">
        <v>0</v>
      </c>
      <c r="C693" s="404" t="n">
        <v>0</v>
      </c>
      <c r="D693" s="404" t="n">
        <v>1</v>
      </c>
      <c r="E693" s="404" t="n">
        <v>215</v>
      </c>
      <c r="F693" s="404">
        <f>ROUND(Source!AT675,O693)</f>
        <v/>
      </c>
      <c r="G693" s="404" t="inlineStr">
        <is>
          <t>Монтаж</t>
        </is>
      </c>
      <c r="H693" s="404" t="inlineStr">
        <is>
          <t>Монтажные работы с НР и СП</t>
        </is>
      </c>
      <c r="I693" s="404" t="n"/>
      <c r="J693" s="404" t="n"/>
      <c r="K693" s="404" t="n">
        <v>215</v>
      </c>
      <c r="L693" s="404" t="n">
        <v>17</v>
      </c>
      <c r="M693" s="404" t="n">
        <v>3</v>
      </c>
      <c r="N693" s="404" t="inlineStr"/>
      <c r="O693" s="404" t="n">
        <v>0</v>
      </c>
      <c r="P693" s="404" t="n"/>
      <c r="Q693" s="404" t="n"/>
      <c r="R693" s="404" t="n"/>
      <c r="S693" s="404" t="n"/>
      <c r="T693" s="404" t="n"/>
      <c r="U693" s="404" t="n"/>
      <c r="V693" s="404" t="n"/>
      <c r="W693" s="404" t="n">
        <v>0</v>
      </c>
      <c r="X693" s="404" t="n">
        <v>1</v>
      </c>
      <c r="Y693" s="404" t="n">
        <v>0</v>
      </c>
      <c r="Z693" s="404" t="n"/>
      <c r="AA693" s="404" t="n"/>
      <c r="AB693" s="404" t="n"/>
    </row>
    <row r="694">
      <c r="A694" s="404" t="n">
        <v>50</v>
      </c>
      <c r="B694" s="404" t="n">
        <v>0</v>
      </c>
      <c r="C694" s="404" t="n">
        <v>0</v>
      </c>
      <c r="D694" s="404" t="n">
        <v>1</v>
      </c>
      <c r="E694" s="404" t="n">
        <v>217</v>
      </c>
      <c r="F694" s="404">
        <f>ROUND(Source!AU675,O694)</f>
        <v/>
      </c>
      <c r="G694" s="404" t="inlineStr">
        <is>
          <t>Прочие</t>
        </is>
      </c>
      <c r="H694" s="404" t="inlineStr">
        <is>
          <t>Прочие работы с НР и СП</t>
        </is>
      </c>
      <c r="I694" s="404" t="n"/>
      <c r="J694" s="404" t="n"/>
      <c r="K694" s="404" t="n">
        <v>217</v>
      </c>
      <c r="L694" s="404" t="n">
        <v>18</v>
      </c>
      <c r="M694" s="404" t="n">
        <v>3</v>
      </c>
      <c r="N694" s="404" t="inlineStr"/>
      <c r="O694" s="404" t="n">
        <v>0</v>
      </c>
      <c r="P694" s="404" t="n"/>
      <c r="Q694" s="404" t="n"/>
      <c r="R694" s="404" t="n"/>
      <c r="S694" s="404" t="n"/>
      <c r="T694" s="404" t="n"/>
      <c r="U694" s="404" t="n"/>
      <c r="V694" s="404" t="n"/>
      <c r="W694" s="404" t="n">
        <v>0</v>
      </c>
      <c r="X694" s="404" t="n">
        <v>1</v>
      </c>
      <c r="Y694" s="404" t="n">
        <v>0</v>
      </c>
      <c r="Z694" s="404" t="n"/>
      <c r="AA694" s="404" t="n"/>
      <c r="AB694" s="404" t="n"/>
    </row>
    <row r="695">
      <c r="A695" s="404" t="n">
        <v>50</v>
      </c>
      <c r="B695" s="404" t="n">
        <v>0</v>
      </c>
      <c r="C695" s="404" t="n">
        <v>0</v>
      </c>
      <c r="D695" s="404" t="n">
        <v>1</v>
      </c>
      <c r="E695" s="404" t="n">
        <v>230</v>
      </c>
      <c r="F695" s="404">
        <f>ROUND(Source!BA675,O695)</f>
        <v/>
      </c>
      <c r="G695" s="404" t="inlineStr">
        <is>
          <t>ПрочиеЗатр</t>
        </is>
      </c>
      <c r="H695" s="404" t="inlineStr">
        <is>
          <t>Прочие затраты по ТСН-2001.16</t>
        </is>
      </c>
      <c r="I695" s="404" t="n"/>
      <c r="J695" s="404" t="n"/>
      <c r="K695" s="404" t="n">
        <v>230</v>
      </c>
      <c r="L695" s="404" t="n">
        <v>19</v>
      </c>
      <c r="M695" s="404" t="n">
        <v>3</v>
      </c>
      <c r="N695" s="404" t="inlineStr"/>
      <c r="O695" s="404" t="n">
        <v>0</v>
      </c>
      <c r="P695" s="404" t="n"/>
      <c r="Q695" s="404" t="n"/>
      <c r="R695" s="404" t="n"/>
      <c r="S695" s="404" t="n"/>
      <c r="T695" s="404" t="n"/>
      <c r="U695" s="404" t="n"/>
      <c r="V695" s="404" t="n"/>
      <c r="W695" s="404" t="n">
        <v>0</v>
      </c>
      <c r="X695" s="404" t="n">
        <v>1</v>
      </c>
      <c r="Y695" s="404" t="n">
        <v>0</v>
      </c>
      <c r="Z695" s="404" t="n"/>
      <c r="AA695" s="404" t="n"/>
      <c r="AB695" s="404" t="n"/>
    </row>
    <row r="696">
      <c r="A696" s="404" t="n">
        <v>50</v>
      </c>
      <c r="B696" s="404" t="n">
        <v>0</v>
      </c>
      <c r="C696" s="404" t="n">
        <v>0</v>
      </c>
      <c r="D696" s="404" t="n">
        <v>1</v>
      </c>
      <c r="E696" s="404" t="n">
        <v>206</v>
      </c>
      <c r="F696" s="404">
        <f>ROUND(Source!T675,O696)</f>
        <v/>
      </c>
      <c r="G696" s="404" t="inlineStr">
        <is>
          <t>ВозврМат</t>
        </is>
      </c>
      <c r="H696" s="404" t="inlineStr">
        <is>
          <t>Возврат материалов</t>
        </is>
      </c>
      <c r="I696" s="404" t="n"/>
      <c r="J696" s="404" t="n"/>
      <c r="K696" s="404" t="n">
        <v>206</v>
      </c>
      <c r="L696" s="404" t="n">
        <v>20</v>
      </c>
      <c r="M696" s="404" t="n">
        <v>3</v>
      </c>
      <c r="N696" s="404" t="inlineStr"/>
      <c r="O696" s="404" t="n">
        <v>0</v>
      </c>
      <c r="P696" s="404" t="n"/>
      <c r="Q696" s="404" t="n"/>
      <c r="R696" s="404" t="n"/>
      <c r="S696" s="404" t="n"/>
      <c r="T696" s="404" t="n"/>
      <c r="U696" s="404" t="n"/>
      <c r="V696" s="404" t="n"/>
      <c r="W696" s="404" t="n">
        <v>0</v>
      </c>
      <c r="X696" s="404" t="n">
        <v>1</v>
      </c>
      <c r="Y696" s="404" t="n">
        <v>0</v>
      </c>
      <c r="Z696" s="404" t="n"/>
      <c r="AA696" s="404" t="n"/>
      <c r="AB696" s="404" t="n"/>
    </row>
    <row r="697">
      <c r="A697" s="404" t="n">
        <v>50</v>
      </c>
      <c r="B697" s="404" t="n">
        <v>0</v>
      </c>
      <c r="C697" s="404" t="n">
        <v>0</v>
      </c>
      <c r="D697" s="404" t="n">
        <v>1</v>
      </c>
      <c r="E697" s="404" t="n">
        <v>207</v>
      </c>
      <c r="F697" s="404">
        <f>ROUND(Source!U675,O697)</f>
        <v/>
      </c>
      <c r="G697" s="404" t="inlineStr">
        <is>
          <t>ТрудСтр</t>
        </is>
      </c>
      <c r="H697" s="404" t="inlineStr">
        <is>
          <t>Трудозатраты строителей</t>
        </is>
      </c>
      <c r="I697" s="404" t="n"/>
      <c r="J697" s="404" t="n"/>
      <c r="K697" s="404" t="n">
        <v>207</v>
      </c>
      <c r="L697" s="404" t="n">
        <v>21</v>
      </c>
      <c r="M697" s="404" t="n">
        <v>3</v>
      </c>
      <c r="N697" s="404" t="inlineStr"/>
      <c r="O697" s="404" t="n">
        <v>7</v>
      </c>
      <c r="P697" s="404" t="n"/>
      <c r="Q697" s="404" t="n"/>
      <c r="R697" s="404" t="n"/>
      <c r="S697" s="404" t="n"/>
      <c r="T697" s="404" t="n"/>
      <c r="U697" s="404" t="n"/>
      <c r="V697" s="404" t="n"/>
      <c r="W697" s="404" t="n">
        <v>0</v>
      </c>
      <c r="X697" s="404" t="n">
        <v>1</v>
      </c>
      <c r="Y697" s="404" t="n">
        <v>0</v>
      </c>
      <c r="Z697" s="404" t="n"/>
      <c r="AA697" s="404" t="n"/>
      <c r="AB697" s="404" t="n"/>
    </row>
    <row r="698">
      <c r="A698" s="404" t="n">
        <v>50</v>
      </c>
      <c r="B698" s="404" t="n">
        <v>0</v>
      </c>
      <c r="C698" s="404" t="n">
        <v>0</v>
      </c>
      <c r="D698" s="404" t="n">
        <v>1</v>
      </c>
      <c r="E698" s="404" t="n">
        <v>208</v>
      </c>
      <c r="F698" s="404">
        <f>ROUND(Source!V675,O698)</f>
        <v/>
      </c>
      <c r="G698" s="404" t="inlineStr">
        <is>
          <t>ТрудМаш</t>
        </is>
      </c>
      <c r="H698" s="404" t="inlineStr">
        <is>
          <t>Трудозатраты машинистов</t>
        </is>
      </c>
      <c r="I698" s="404" t="n"/>
      <c r="J698" s="404" t="n"/>
      <c r="K698" s="404" t="n">
        <v>208</v>
      </c>
      <c r="L698" s="404" t="n">
        <v>22</v>
      </c>
      <c r="M698" s="404" t="n">
        <v>3</v>
      </c>
      <c r="N698" s="404" t="inlineStr"/>
      <c r="O698" s="404" t="n">
        <v>7</v>
      </c>
      <c r="P698" s="404" t="n"/>
      <c r="Q698" s="404" t="n"/>
      <c r="R698" s="404" t="n"/>
      <c r="S698" s="404" t="n"/>
      <c r="T698" s="404" t="n"/>
      <c r="U698" s="404" t="n"/>
      <c r="V698" s="404" t="n"/>
      <c r="W698" s="404" t="n">
        <v>0</v>
      </c>
      <c r="X698" s="404" t="n">
        <v>1</v>
      </c>
      <c r="Y698" s="404" t="n">
        <v>0</v>
      </c>
      <c r="Z698" s="404" t="n"/>
      <c r="AA698" s="404" t="n"/>
      <c r="AB698" s="404" t="n"/>
    </row>
    <row r="699">
      <c r="A699" s="404" t="n">
        <v>50</v>
      </c>
      <c r="B699" s="404" t="n">
        <v>0</v>
      </c>
      <c r="C699" s="404" t="n">
        <v>0</v>
      </c>
      <c r="D699" s="404" t="n">
        <v>1</v>
      </c>
      <c r="E699" s="404" t="n">
        <v>209</v>
      </c>
      <c r="F699" s="404">
        <f>ROUND(Source!W675,O699)</f>
        <v/>
      </c>
      <c r="G699" s="404" t="inlineStr">
        <is>
          <t>ТранспМат</t>
        </is>
      </c>
      <c r="H699" s="404" t="inlineStr">
        <is>
          <t>Транспорт материалов</t>
        </is>
      </c>
      <c r="I699" s="404" t="n"/>
      <c r="J699" s="404" t="n"/>
      <c r="K699" s="404" t="n">
        <v>209</v>
      </c>
      <c r="L699" s="404" t="n">
        <v>23</v>
      </c>
      <c r="M699" s="404" t="n">
        <v>3</v>
      </c>
      <c r="N699" s="404" t="inlineStr"/>
      <c r="O699" s="404" t="n">
        <v>0</v>
      </c>
      <c r="P699" s="404" t="n"/>
      <c r="Q699" s="404" t="n"/>
      <c r="R699" s="404" t="n"/>
      <c r="S699" s="404" t="n"/>
      <c r="T699" s="404" t="n"/>
      <c r="U699" s="404" t="n"/>
      <c r="V699" s="404" t="n"/>
      <c r="W699" s="404" t="n">
        <v>0</v>
      </c>
      <c r="X699" s="404" t="n">
        <v>1</v>
      </c>
      <c r="Y699" s="404" t="n">
        <v>0</v>
      </c>
      <c r="Z699" s="404" t="n"/>
      <c r="AA699" s="404" t="n"/>
      <c r="AB699" s="404" t="n"/>
    </row>
    <row r="700">
      <c r="A700" s="404" t="n">
        <v>50</v>
      </c>
      <c r="B700" s="404" t="n">
        <v>0</v>
      </c>
      <c r="C700" s="404" t="n">
        <v>0</v>
      </c>
      <c r="D700" s="404" t="n">
        <v>1</v>
      </c>
      <c r="E700" s="404" t="n">
        <v>233</v>
      </c>
      <c r="F700" s="404">
        <f>ROUND(Source!BD675,O700)</f>
        <v/>
      </c>
      <c r="G700" s="404" t="inlineStr">
        <is>
          <t>Перевозка</t>
        </is>
      </c>
      <c r="H700" s="404" t="inlineStr">
        <is>
          <t>Перевозка грузов</t>
        </is>
      </c>
      <c r="I700" s="404" t="n"/>
      <c r="J700" s="404" t="n"/>
      <c r="K700" s="404" t="n">
        <v>233</v>
      </c>
      <c r="L700" s="404" t="n">
        <v>24</v>
      </c>
      <c r="M700" s="404" t="n">
        <v>3</v>
      </c>
      <c r="N700" s="404" t="inlineStr"/>
      <c r="O700" s="404" t="n">
        <v>0</v>
      </c>
      <c r="P700" s="404" t="n"/>
      <c r="Q700" s="404" t="n"/>
      <c r="R700" s="404" t="n"/>
      <c r="S700" s="404" t="n"/>
      <c r="T700" s="404" t="n"/>
      <c r="U700" s="404" t="n"/>
      <c r="V700" s="404" t="n"/>
      <c r="W700" s="404" t="n">
        <v>0</v>
      </c>
      <c r="X700" s="404" t="n">
        <v>1</v>
      </c>
      <c r="Y700" s="404" t="n">
        <v>0</v>
      </c>
      <c r="Z700" s="404" t="n"/>
      <c r="AA700" s="404" t="n"/>
      <c r="AB700" s="404" t="n"/>
    </row>
    <row r="701">
      <c r="A701" s="404" t="n">
        <v>50</v>
      </c>
      <c r="B701" s="404" t="n">
        <v>0</v>
      </c>
      <c r="C701" s="404" t="n">
        <v>0</v>
      </c>
      <c r="D701" s="404" t="n">
        <v>1</v>
      </c>
      <c r="E701" s="404" t="n">
        <v>210</v>
      </c>
      <c r="F701" s="404">
        <f>ROUND(Source!X675,O701)</f>
        <v/>
      </c>
      <c r="G701" s="404" t="inlineStr">
        <is>
          <t>НР</t>
        </is>
      </c>
      <c r="H701" s="404" t="inlineStr">
        <is>
          <t>Накладные расходы</t>
        </is>
      </c>
      <c r="I701" s="404" t="n"/>
      <c r="J701" s="404" t="n"/>
      <c r="K701" s="404" t="n">
        <v>210</v>
      </c>
      <c r="L701" s="404" t="n">
        <v>25</v>
      </c>
      <c r="M701" s="404" t="n">
        <v>3</v>
      </c>
      <c r="N701" s="404" t="inlineStr"/>
      <c r="O701" s="404" t="n">
        <v>0</v>
      </c>
      <c r="P701" s="404" t="n"/>
      <c r="Q701" s="404" t="n"/>
      <c r="R701" s="404" t="n"/>
      <c r="S701" s="404" t="n"/>
      <c r="T701" s="404" t="n"/>
      <c r="U701" s="404" t="n"/>
      <c r="V701" s="404" t="n"/>
      <c r="W701" s="404" t="n">
        <v>0</v>
      </c>
      <c r="X701" s="404" t="n">
        <v>1</v>
      </c>
      <c r="Y701" s="404" t="n">
        <v>0</v>
      </c>
      <c r="Z701" s="404" t="n"/>
      <c r="AA701" s="404" t="n"/>
      <c r="AB701" s="404" t="n"/>
    </row>
    <row r="702">
      <c r="A702" s="404" t="n">
        <v>50</v>
      </c>
      <c r="B702" s="404" t="n">
        <v>0</v>
      </c>
      <c r="C702" s="404" t="n">
        <v>0</v>
      </c>
      <c r="D702" s="404" t="n">
        <v>1</v>
      </c>
      <c r="E702" s="404" t="n">
        <v>211</v>
      </c>
      <c r="F702" s="404">
        <f>ROUND(Source!Y675,O702)</f>
        <v/>
      </c>
      <c r="G702" s="404" t="inlineStr">
        <is>
          <t>СмПриб</t>
        </is>
      </c>
      <c r="H702" s="404" t="inlineStr">
        <is>
          <t>Сметная прибыль</t>
        </is>
      </c>
      <c r="I702" s="404" t="n"/>
      <c r="J702" s="404" t="n"/>
      <c r="K702" s="404" t="n">
        <v>211</v>
      </c>
      <c r="L702" s="404" t="n">
        <v>26</v>
      </c>
      <c r="M702" s="404" t="n">
        <v>3</v>
      </c>
      <c r="N702" s="404" t="inlineStr"/>
      <c r="O702" s="404" t="n">
        <v>0</v>
      </c>
      <c r="P702" s="404" t="n"/>
      <c r="Q702" s="404" t="n"/>
      <c r="R702" s="404" t="n"/>
      <c r="S702" s="404" t="n"/>
      <c r="T702" s="404" t="n"/>
      <c r="U702" s="404" t="n"/>
      <c r="V702" s="404" t="n"/>
      <c r="W702" s="404" t="n">
        <v>0</v>
      </c>
      <c r="X702" s="404" t="n">
        <v>1</v>
      </c>
      <c r="Y702" s="404" t="n">
        <v>0</v>
      </c>
      <c r="Z702" s="404" t="n"/>
      <c r="AA702" s="404" t="n"/>
      <c r="AB702" s="404" t="n"/>
    </row>
    <row r="703">
      <c r="A703" s="404" t="n">
        <v>50</v>
      </c>
      <c r="B703" s="404" t="n">
        <v>0</v>
      </c>
      <c r="C703" s="404" t="n">
        <v>0</v>
      </c>
      <c r="D703" s="404" t="n">
        <v>1</v>
      </c>
      <c r="E703" s="404" t="n">
        <v>224</v>
      </c>
      <c r="F703" s="404">
        <f>ROUND(Source!AR675,O703)</f>
        <v/>
      </c>
      <c r="G703" s="404" t="inlineStr">
        <is>
          <t>Всего</t>
        </is>
      </c>
      <c r="H703" s="404" t="inlineStr">
        <is>
          <t>Всего с НР и СП</t>
        </is>
      </c>
      <c r="I703" s="404" t="n"/>
      <c r="J703" s="404" t="n"/>
      <c r="K703" s="404" t="n">
        <v>224</v>
      </c>
      <c r="L703" s="404" t="n">
        <v>27</v>
      </c>
      <c r="M703" s="404" t="n">
        <v>3</v>
      </c>
      <c r="N703" s="404" t="inlineStr"/>
      <c r="O703" s="404" t="n">
        <v>0</v>
      </c>
      <c r="P703" s="404" t="n"/>
      <c r="Q703" s="404" t="n"/>
      <c r="R703" s="404" t="n"/>
      <c r="S703" s="404" t="n"/>
      <c r="T703" s="404" t="n"/>
      <c r="U703" s="404" t="n"/>
      <c r="V703" s="404" t="n"/>
      <c r="W703" s="404" t="n">
        <v>0</v>
      </c>
      <c r="X703" s="404" t="n">
        <v>1</v>
      </c>
      <c r="Y703" s="404" t="n">
        <v>0</v>
      </c>
      <c r="Z703" s="404" t="n"/>
      <c r="AA703" s="404" t="n"/>
      <c r="AB703" s="404" t="n"/>
    </row>
    <row r="704">
      <c r="A704" s="404" t="n">
        <v>50</v>
      </c>
      <c r="B704" s="404" t="n">
        <v>0</v>
      </c>
      <c r="C704" s="404" t="n">
        <v>0</v>
      </c>
      <c r="D704" s="404" t="n">
        <v>2</v>
      </c>
      <c r="E704" s="404" t="n">
        <v>0</v>
      </c>
      <c r="F704" s="404">
        <f>ROUND(F703,O704)</f>
        <v/>
      </c>
      <c r="G704" s="404" t="inlineStr">
        <is>
          <t>и1</t>
        </is>
      </c>
      <c r="H704" s="404" t="inlineStr">
        <is>
          <t>Итого</t>
        </is>
      </c>
      <c r="I704" s="404" t="n"/>
      <c r="J704" s="404" t="n"/>
      <c r="K704" s="404" t="n">
        <v>212</v>
      </c>
      <c r="L704" s="404" t="n">
        <v>28</v>
      </c>
      <c r="M704" s="404" t="n">
        <v>0</v>
      </c>
      <c r="N704" s="404" t="inlineStr"/>
      <c r="O704" s="404" t="n">
        <v>0</v>
      </c>
      <c r="P704" s="404" t="n"/>
      <c r="Q704" s="404" t="n"/>
      <c r="R704" s="404" t="n"/>
      <c r="S704" s="404" t="n"/>
      <c r="T704" s="404" t="n"/>
      <c r="U704" s="404" t="n"/>
      <c r="V704" s="404" t="n"/>
      <c r="W704" s="404" t="n">
        <v>0</v>
      </c>
      <c r="X704" s="404" t="n">
        <v>1</v>
      </c>
      <c r="Y704" s="404" t="n">
        <v>0</v>
      </c>
      <c r="Z704" s="404" t="n"/>
      <c r="AA704" s="404" t="n"/>
      <c r="AB704" s="404" t="n"/>
    </row>
    <row r="705">
      <c r="A705" s="404" t="n">
        <v>50</v>
      </c>
      <c r="B705" s="404" t="n">
        <v>0</v>
      </c>
      <c r="C705" s="404" t="n">
        <v>0</v>
      </c>
      <c r="D705" s="404" t="n">
        <v>2</v>
      </c>
      <c r="E705" s="404" t="n">
        <v>0</v>
      </c>
      <c r="F705" s="404">
        <f>ROUND(F704*0.22,O705)</f>
        <v/>
      </c>
      <c r="G705" s="404" t="inlineStr">
        <is>
          <t>и2</t>
        </is>
      </c>
      <c r="H705" s="404" t="inlineStr">
        <is>
          <t>НДС 22%</t>
        </is>
      </c>
      <c r="I705" s="404" t="n"/>
      <c r="J705" s="404" t="n"/>
      <c r="K705" s="404" t="n">
        <v>212</v>
      </c>
      <c r="L705" s="404" t="n">
        <v>29</v>
      </c>
      <c r="M705" s="404" t="n">
        <v>0</v>
      </c>
      <c r="N705" s="404" t="inlineStr"/>
      <c r="O705" s="404" t="n">
        <v>0</v>
      </c>
      <c r="P705" s="404" t="n"/>
      <c r="Q705" s="404" t="n"/>
      <c r="R705" s="404" t="n"/>
      <c r="S705" s="404" t="n"/>
      <c r="T705" s="404" t="n"/>
      <c r="U705" s="404" t="n"/>
      <c r="V705" s="404" t="n"/>
      <c r="W705" s="404" t="n">
        <v>0</v>
      </c>
      <c r="X705" s="404" t="n">
        <v>1</v>
      </c>
      <c r="Y705" s="404" t="n">
        <v>0</v>
      </c>
      <c r="Z705" s="404" t="n"/>
      <c r="AA705" s="404" t="n"/>
      <c r="AB705" s="404" t="n"/>
    </row>
    <row r="706">
      <c r="A706" s="404" t="n">
        <v>50</v>
      </c>
      <c r="B706" s="404" t="n">
        <v>0</v>
      </c>
      <c r="C706" s="404" t="n">
        <v>0</v>
      </c>
      <c r="D706" s="404" t="n">
        <v>2</v>
      </c>
      <c r="E706" s="404" t="n">
        <v>213</v>
      </c>
      <c r="F706" s="404">
        <f>ROUND(F704+F705,O706)</f>
        <v/>
      </c>
      <c r="G706" s="404" t="inlineStr">
        <is>
          <t>и3</t>
        </is>
      </c>
      <c r="H706" s="404" t="inlineStr">
        <is>
          <t>Всего</t>
        </is>
      </c>
      <c r="I706" s="404" t="n"/>
      <c r="J706" s="404" t="n"/>
      <c r="K706" s="404" t="n">
        <v>212</v>
      </c>
      <c r="L706" s="404" t="n">
        <v>30</v>
      </c>
      <c r="M706" s="404" t="n">
        <v>0</v>
      </c>
      <c r="N706" s="404" t="inlineStr"/>
      <c r="O706" s="404" t="n">
        <v>0</v>
      </c>
      <c r="P706" s="404" t="n"/>
      <c r="Q706" s="404" t="n"/>
      <c r="R706" s="404" t="n"/>
      <c r="S706" s="404" t="n"/>
      <c r="T706" s="404" t="n"/>
      <c r="U706" s="404" t="n"/>
      <c r="V706" s="404" t="n"/>
      <c r="W706" s="404" t="n">
        <v>0</v>
      </c>
      <c r="X706" s="404" t="n">
        <v>1</v>
      </c>
      <c r="Y706" s="404" t="n">
        <v>0</v>
      </c>
      <c r="Z706" s="404" t="n"/>
      <c r="AA706" s="404" t="n"/>
      <c r="AB706" s="404" t="n"/>
    </row>
    <row r="707"/>
    <row r="708">
      <c r="A708" s="401" t="n">
        <v>3</v>
      </c>
      <c r="B708" s="401" t="n">
        <v>0</v>
      </c>
      <c r="C708" s="401" t="n"/>
      <c r="D708" s="401">
        <f>ROW(A717)</f>
        <v/>
      </c>
      <c r="E708" s="401" t="n"/>
      <c r="F708" s="401" t="inlineStr">
        <is>
          <t>Новая локальная смета</t>
        </is>
      </c>
      <c r="G708" s="401" t="inlineStr">
        <is>
          <t>Молодежная 10</t>
        </is>
      </c>
      <c r="H708" s="401" t="inlineStr"/>
      <c r="I708" s="401" t="n">
        <v>0</v>
      </c>
      <c r="J708" s="401" t="inlineStr"/>
      <c r="K708" s="401" t="n">
        <v>0</v>
      </c>
      <c r="L708" s="401" t="inlineStr">
        <is>
          <t>Новая локальная смета</t>
        </is>
      </c>
      <c r="M708" s="401" t="inlineStr"/>
      <c r="N708" s="401" t="n"/>
      <c r="O708" s="401" t="n"/>
      <c r="P708" s="401" t="n"/>
      <c r="Q708" s="401" t="n"/>
      <c r="R708" s="401" t="n"/>
      <c r="S708" s="401" t="n">
        <v>0</v>
      </c>
      <c r="T708" s="401" t="n"/>
      <c r="U708" s="401" t="inlineStr"/>
      <c r="V708" s="401" t="n">
        <v>0</v>
      </c>
      <c r="W708" s="401" t="n"/>
      <c r="X708" s="401" t="n"/>
      <c r="Y708" s="401" t="n"/>
      <c r="Z708" s="401" t="n"/>
      <c r="AA708" s="401" t="n"/>
      <c r="AB708" s="401" t="inlineStr"/>
      <c r="AC708" s="401" t="inlineStr"/>
      <c r="AD708" s="401" t="inlineStr"/>
      <c r="AE708" s="401" t="inlineStr"/>
      <c r="AF708" s="401" t="inlineStr"/>
      <c r="AG708" s="401" t="inlineStr"/>
      <c r="AH708" s="401" t="n"/>
      <c r="AI708" s="401" t="n"/>
      <c r="AJ708" s="401" t="n"/>
      <c r="AK708" s="401" t="n"/>
      <c r="AL708" s="401" t="n"/>
      <c r="AM708" s="401" t="n"/>
      <c r="AN708" s="401" t="n"/>
      <c r="AO708" s="401" t="n"/>
      <c r="AP708" s="401" t="inlineStr"/>
      <c r="AQ708" s="401" t="inlineStr"/>
      <c r="AR708" s="401" t="inlineStr"/>
      <c r="AS708" s="401" t="n"/>
      <c r="AT708" s="401" t="n"/>
      <c r="AU708" s="401" t="n"/>
      <c r="AV708" s="401" t="n"/>
      <c r="AW708" s="401" t="n"/>
      <c r="AX708" s="401" t="n"/>
      <c r="AY708" s="401" t="n"/>
      <c r="AZ708" s="401" t="inlineStr"/>
      <c r="BA708" s="401" t="n"/>
      <c r="BB708" s="401" t="inlineStr"/>
      <c r="BC708" s="401" t="inlineStr"/>
      <c r="BD708" s="401" t="inlineStr"/>
      <c r="BE708" s="401" t="inlineStr"/>
      <c r="BF708" s="401" t="inlineStr"/>
      <c r="BG708" s="401" t="inlineStr"/>
      <c r="BH708" s="401" t="inlineStr"/>
      <c r="BI708" s="401" t="inlineStr"/>
      <c r="BJ708" s="401" t="inlineStr"/>
      <c r="BK708" s="401" t="inlineStr"/>
      <c r="BL708" s="401" t="inlineStr"/>
      <c r="BM708" s="401" t="inlineStr"/>
      <c r="BN708" s="401" t="inlineStr"/>
      <c r="BO708" s="401" t="inlineStr"/>
      <c r="BP708" s="401" t="inlineStr"/>
      <c r="BQ708" s="401" t="n"/>
      <c r="BR708" s="401" t="n"/>
      <c r="BS708" s="401" t="n"/>
      <c r="BT708" s="401" t="n"/>
      <c r="BU708" s="401" t="n"/>
      <c r="BV708" s="401" t="n"/>
      <c r="BW708" s="401" t="n"/>
      <c r="BX708" s="401" t="n">
        <v>0</v>
      </c>
      <c r="BY708" s="401" t="n"/>
      <c r="BZ708" s="401" t="n"/>
      <c r="CA708" s="401" t="n"/>
      <c r="CB708" s="401" t="n"/>
      <c r="CC708" s="401" t="n"/>
      <c r="CD708" s="401" t="n"/>
      <c r="CE708" s="401" t="n"/>
      <c r="CF708" s="401" t="n">
        <v>0</v>
      </c>
      <c r="CG708" s="401" t="n">
        <v>0</v>
      </c>
      <c r="CH708" s="401" t="n"/>
      <c r="CI708" s="401" t="inlineStr"/>
      <c r="CJ708" s="401" t="inlineStr"/>
      <c r="CK708" t="inlineStr"/>
      <c r="CL708" t="inlineStr"/>
      <c r="CM708" t="inlineStr"/>
      <c r="CN708" t="inlineStr"/>
      <c r="CO708" t="inlineStr"/>
      <c r="CP708" t="inlineStr"/>
      <c r="CQ708" t="inlineStr"/>
    </row>
    <row r="709"/>
    <row r="710">
      <c r="A710" s="402" t="n">
        <v>52</v>
      </c>
      <c r="B710" s="402">
        <f>B717</f>
        <v/>
      </c>
      <c r="C710" s="402">
        <f>C717</f>
        <v/>
      </c>
      <c r="D710" s="402">
        <f>D717</f>
        <v/>
      </c>
      <c r="E710" s="402">
        <f>E717</f>
        <v/>
      </c>
      <c r="F710" s="402">
        <f>F717</f>
        <v/>
      </c>
      <c r="G710" s="402">
        <f>G717</f>
        <v/>
      </c>
      <c r="H710" s="402" t="n"/>
      <c r="I710" s="402" t="n"/>
      <c r="J710" s="402" t="n"/>
      <c r="K710" s="402" t="n"/>
      <c r="L710" s="402" t="n"/>
      <c r="M710" s="402" t="n"/>
      <c r="N710" s="402" t="n"/>
      <c r="O710" s="402">
        <f>O717</f>
        <v/>
      </c>
      <c r="P710" s="402">
        <f>P717</f>
        <v/>
      </c>
      <c r="Q710" s="402">
        <f>Q717</f>
        <v/>
      </c>
      <c r="R710" s="402">
        <f>R717</f>
        <v/>
      </c>
      <c r="S710" s="402">
        <f>S717</f>
        <v/>
      </c>
      <c r="T710" s="402">
        <f>T717</f>
        <v/>
      </c>
      <c r="U710" s="402">
        <f>U717</f>
        <v/>
      </c>
      <c r="V710" s="402">
        <f>V717</f>
        <v/>
      </c>
      <c r="W710" s="402">
        <f>W717</f>
        <v/>
      </c>
      <c r="X710" s="402">
        <f>X717</f>
        <v/>
      </c>
      <c r="Y710" s="402">
        <f>Y717</f>
        <v/>
      </c>
      <c r="Z710" s="402">
        <f>Z717</f>
        <v/>
      </c>
      <c r="AA710" s="402">
        <f>AA717</f>
        <v/>
      </c>
      <c r="AB710" s="402">
        <f>AB717</f>
        <v/>
      </c>
      <c r="AC710" s="402">
        <f>AC717</f>
        <v/>
      </c>
      <c r="AD710" s="402">
        <f>AD717</f>
        <v/>
      </c>
      <c r="AE710" s="402">
        <f>AE717</f>
        <v/>
      </c>
      <c r="AF710" s="402">
        <f>AF717</f>
        <v/>
      </c>
      <c r="AG710" s="402">
        <f>AG717</f>
        <v/>
      </c>
      <c r="AH710" s="402">
        <f>AH717</f>
        <v/>
      </c>
      <c r="AI710" s="402">
        <f>AI717</f>
        <v/>
      </c>
      <c r="AJ710" s="402">
        <f>AJ717</f>
        <v/>
      </c>
      <c r="AK710" s="402">
        <f>AK717</f>
        <v/>
      </c>
      <c r="AL710" s="402">
        <f>AL717</f>
        <v/>
      </c>
      <c r="AM710" s="402">
        <f>AM717</f>
        <v/>
      </c>
      <c r="AN710" s="402">
        <f>AN717</f>
        <v/>
      </c>
      <c r="AO710" s="402">
        <f>AO717</f>
        <v/>
      </c>
      <c r="AP710" s="402">
        <f>AP717</f>
        <v/>
      </c>
      <c r="AQ710" s="402">
        <f>AQ717</f>
        <v/>
      </c>
      <c r="AR710" s="402">
        <f>AR717</f>
        <v/>
      </c>
      <c r="AS710" s="402">
        <f>AS717</f>
        <v/>
      </c>
      <c r="AT710" s="402">
        <f>AT717</f>
        <v/>
      </c>
      <c r="AU710" s="402">
        <f>AU717</f>
        <v/>
      </c>
      <c r="AV710" s="402">
        <f>AV717</f>
        <v/>
      </c>
      <c r="AW710" s="402">
        <f>AW717</f>
        <v/>
      </c>
      <c r="AX710" s="402">
        <f>AX717</f>
        <v/>
      </c>
      <c r="AY710" s="402">
        <f>AY717</f>
        <v/>
      </c>
      <c r="AZ710" s="402">
        <f>AZ717</f>
        <v/>
      </c>
      <c r="BA710" s="402">
        <f>BA717</f>
        <v/>
      </c>
      <c r="BB710" s="402">
        <f>BB717</f>
        <v/>
      </c>
      <c r="BC710" s="402">
        <f>BC717</f>
        <v/>
      </c>
      <c r="BD710" s="402">
        <f>BD717</f>
        <v/>
      </c>
      <c r="BE710" s="402">
        <f>BE717</f>
        <v/>
      </c>
      <c r="BF710" s="402">
        <f>BF717</f>
        <v/>
      </c>
      <c r="BG710" s="402">
        <f>BG717</f>
        <v/>
      </c>
      <c r="BH710" s="402">
        <f>BH717</f>
        <v/>
      </c>
      <c r="BI710" s="402">
        <f>BI717</f>
        <v/>
      </c>
      <c r="BJ710" s="402">
        <f>BJ717</f>
        <v/>
      </c>
      <c r="BK710" s="402">
        <f>BK717</f>
        <v/>
      </c>
      <c r="BL710" s="402">
        <f>BL717</f>
        <v/>
      </c>
      <c r="BM710" s="402">
        <f>BM717</f>
        <v/>
      </c>
      <c r="BN710" s="402">
        <f>BN717</f>
        <v/>
      </c>
      <c r="BO710" s="402">
        <f>BO717</f>
        <v/>
      </c>
      <c r="BP710" s="402">
        <f>BP717</f>
        <v/>
      </c>
      <c r="BQ710" s="402">
        <f>BQ717</f>
        <v/>
      </c>
      <c r="BR710" s="402">
        <f>BR717</f>
        <v/>
      </c>
      <c r="BS710" s="402">
        <f>BS717</f>
        <v/>
      </c>
      <c r="BT710" s="402">
        <f>BT717</f>
        <v/>
      </c>
      <c r="BU710" s="402">
        <f>BU717</f>
        <v/>
      </c>
      <c r="BV710" s="402">
        <f>BV717</f>
        <v/>
      </c>
      <c r="BW710" s="402">
        <f>BW717</f>
        <v/>
      </c>
      <c r="BX710" s="402">
        <f>BX717</f>
        <v/>
      </c>
      <c r="BY710" s="402">
        <f>BY717</f>
        <v/>
      </c>
      <c r="BZ710" s="402">
        <f>BZ717</f>
        <v/>
      </c>
      <c r="CA710" s="402">
        <f>CA717</f>
        <v/>
      </c>
      <c r="CB710" s="402">
        <f>CB717</f>
        <v/>
      </c>
      <c r="CC710" s="402">
        <f>CC717</f>
        <v/>
      </c>
      <c r="CD710" s="402">
        <f>CD717</f>
        <v/>
      </c>
      <c r="CE710" s="402">
        <f>CE717</f>
        <v/>
      </c>
      <c r="CF710" s="402">
        <f>CF717</f>
        <v/>
      </c>
      <c r="CG710" s="402">
        <f>CG717</f>
        <v/>
      </c>
      <c r="CH710" s="402">
        <f>CH717</f>
        <v/>
      </c>
      <c r="CI710" s="402">
        <f>CI717</f>
        <v/>
      </c>
      <c r="CJ710" s="402">
        <f>CJ717</f>
        <v/>
      </c>
      <c r="CK710" s="402">
        <f>CK717</f>
        <v/>
      </c>
      <c r="CL710" s="402">
        <f>CL717</f>
        <v/>
      </c>
      <c r="CM710" s="402">
        <f>CM717</f>
        <v/>
      </c>
      <c r="CN710" s="402">
        <f>CN717</f>
        <v/>
      </c>
      <c r="CO710" s="402">
        <f>CO717</f>
        <v/>
      </c>
      <c r="CP710" s="402">
        <f>CP717</f>
        <v/>
      </c>
      <c r="CQ710" s="402">
        <f>CQ717</f>
        <v/>
      </c>
      <c r="CR710" s="402">
        <f>CR717</f>
        <v/>
      </c>
      <c r="CS710" s="402">
        <f>CS717</f>
        <v/>
      </c>
      <c r="CT710" s="402">
        <f>CT717</f>
        <v/>
      </c>
      <c r="CU710" s="402">
        <f>CU717</f>
        <v/>
      </c>
      <c r="CV710" s="402">
        <f>CV717</f>
        <v/>
      </c>
      <c r="CW710" s="402">
        <f>CW717</f>
        <v/>
      </c>
      <c r="CX710" s="402">
        <f>CX717</f>
        <v/>
      </c>
      <c r="CY710" s="402">
        <f>CY717</f>
        <v/>
      </c>
      <c r="CZ710" s="402">
        <f>CZ717</f>
        <v/>
      </c>
      <c r="DA710" s="402">
        <f>DA717</f>
        <v/>
      </c>
      <c r="DB710" s="402">
        <f>DB717</f>
        <v/>
      </c>
      <c r="DC710" s="402">
        <f>DC717</f>
        <v/>
      </c>
      <c r="DD710" s="402">
        <f>DD717</f>
        <v/>
      </c>
      <c r="DE710" s="402">
        <f>DE717</f>
        <v/>
      </c>
      <c r="DF710" s="402">
        <f>DF717</f>
        <v/>
      </c>
      <c r="DG710" s="403">
        <f>DG717</f>
        <v/>
      </c>
      <c r="DH710" s="403">
        <f>DH717</f>
        <v/>
      </c>
      <c r="DI710" s="403">
        <f>DI717</f>
        <v/>
      </c>
      <c r="DJ710" s="403">
        <f>DJ717</f>
        <v/>
      </c>
      <c r="DK710" s="403">
        <f>DK717</f>
        <v/>
      </c>
      <c r="DL710" s="403">
        <f>DL717</f>
        <v/>
      </c>
      <c r="DM710" s="403">
        <f>DM717</f>
        <v/>
      </c>
      <c r="DN710" s="403">
        <f>DN717</f>
        <v/>
      </c>
      <c r="DO710" s="403">
        <f>DO717</f>
        <v/>
      </c>
      <c r="DP710" s="403">
        <f>DP717</f>
        <v/>
      </c>
      <c r="DQ710" s="403">
        <f>DQ717</f>
        <v/>
      </c>
      <c r="DR710" s="403">
        <f>DR717</f>
        <v/>
      </c>
      <c r="DS710" s="403">
        <f>DS717</f>
        <v/>
      </c>
      <c r="DT710" s="403">
        <f>DT717</f>
        <v/>
      </c>
      <c r="DU710" s="403">
        <f>DU717</f>
        <v/>
      </c>
      <c r="DV710" s="403">
        <f>DV717</f>
        <v/>
      </c>
      <c r="DW710" s="403">
        <f>DW717</f>
        <v/>
      </c>
      <c r="DX710" s="403">
        <f>DX717</f>
        <v/>
      </c>
      <c r="DY710" s="403">
        <f>DY717</f>
        <v/>
      </c>
      <c r="DZ710" s="403">
        <f>DZ717</f>
        <v/>
      </c>
      <c r="EA710" s="403">
        <f>EA717</f>
        <v/>
      </c>
      <c r="EB710" s="403">
        <f>EB717</f>
        <v/>
      </c>
      <c r="EC710" s="403">
        <f>EC717</f>
        <v/>
      </c>
      <c r="ED710" s="403">
        <f>ED717</f>
        <v/>
      </c>
      <c r="EE710" s="403">
        <f>EE717</f>
        <v/>
      </c>
      <c r="EF710" s="403">
        <f>EF717</f>
        <v/>
      </c>
      <c r="EG710" s="403">
        <f>EG717</f>
        <v/>
      </c>
      <c r="EH710" s="403">
        <f>EH717</f>
        <v/>
      </c>
      <c r="EI710" s="403">
        <f>EI717</f>
        <v/>
      </c>
      <c r="EJ710" s="403">
        <f>EJ717</f>
        <v/>
      </c>
      <c r="EK710" s="403">
        <f>EK717</f>
        <v/>
      </c>
      <c r="EL710" s="403">
        <f>EL717</f>
        <v/>
      </c>
      <c r="EM710" s="403">
        <f>EM717</f>
        <v/>
      </c>
      <c r="EN710" s="403">
        <f>EN717</f>
        <v/>
      </c>
      <c r="EO710" s="403">
        <f>EO717</f>
        <v/>
      </c>
      <c r="EP710" s="403">
        <f>EP717</f>
        <v/>
      </c>
      <c r="EQ710" s="403">
        <f>EQ717</f>
        <v/>
      </c>
      <c r="ER710" s="403">
        <f>ER717</f>
        <v/>
      </c>
      <c r="ES710" s="403">
        <f>ES717</f>
        <v/>
      </c>
      <c r="ET710" s="403">
        <f>ET717</f>
        <v/>
      </c>
      <c r="EU710" s="403">
        <f>EU717</f>
        <v/>
      </c>
      <c r="EV710" s="403">
        <f>EV717</f>
        <v/>
      </c>
      <c r="EW710" s="403">
        <f>EW717</f>
        <v/>
      </c>
      <c r="EX710" s="403">
        <f>EX717</f>
        <v/>
      </c>
      <c r="EY710" s="403">
        <f>EY717</f>
        <v/>
      </c>
      <c r="EZ710" s="403">
        <f>EZ717</f>
        <v/>
      </c>
      <c r="FA710" s="403">
        <f>FA717</f>
        <v/>
      </c>
      <c r="FB710" s="403">
        <f>FB717</f>
        <v/>
      </c>
      <c r="FC710" s="403">
        <f>FC717</f>
        <v/>
      </c>
      <c r="FD710" s="403">
        <f>FD717</f>
        <v/>
      </c>
      <c r="FE710" s="403">
        <f>FE717</f>
        <v/>
      </c>
      <c r="FF710" s="403">
        <f>FF717</f>
        <v/>
      </c>
      <c r="FG710" s="403">
        <f>FG717</f>
        <v/>
      </c>
      <c r="FH710" s="403">
        <f>FH717</f>
        <v/>
      </c>
      <c r="FI710" s="403">
        <f>FI717</f>
        <v/>
      </c>
      <c r="FJ710" s="403">
        <f>FJ717</f>
        <v/>
      </c>
      <c r="FK710" s="403">
        <f>FK717</f>
        <v/>
      </c>
      <c r="FL710" s="403">
        <f>FL717</f>
        <v/>
      </c>
      <c r="FM710" s="403">
        <f>FM717</f>
        <v/>
      </c>
      <c r="FN710" s="403">
        <f>FN717</f>
        <v/>
      </c>
      <c r="FO710" s="403">
        <f>FO717</f>
        <v/>
      </c>
      <c r="FP710" s="403">
        <f>FP717</f>
        <v/>
      </c>
      <c r="FQ710" s="403">
        <f>FQ717</f>
        <v/>
      </c>
      <c r="FR710" s="403">
        <f>FR717</f>
        <v/>
      </c>
      <c r="FS710" s="403">
        <f>FS717</f>
        <v/>
      </c>
      <c r="FT710" s="403">
        <f>FT717</f>
        <v/>
      </c>
      <c r="FU710" s="403">
        <f>FU717</f>
        <v/>
      </c>
      <c r="FV710" s="403">
        <f>FV717</f>
        <v/>
      </c>
      <c r="FW710" s="403">
        <f>FW717</f>
        <v/>
      </c>
      <c r="FX710" s="403">
        <f>FX717</f>
        <v/>
      </c>
      <c r="FY710" s="403">
        <f>FY717</f>
        <v/>
      </c>
      <c r="FZ710" s="403">
        <f>FZ717</f>
        <v/>
      </c>
      <c r="GA710" s="403">
        <f>GA717</f>
        <v/>
      </c>
      <c r="GB710" s="403">
        <f>GB717</f>
        <v/>
      </c>
      <c r="GC710" s="403">
        <f>GC717</f>
        <v/>
      </c>
      <c r="GD710" s="403">
        <f>GD717</f>
        <v/>
      </c>
      <c r="GE710" s="403">
        <f>GE717</f>
        <v/>
      </c>
      <c r="GF710" s="403">
        <f>GF717</f>
        <v/>
      </c>
      <c r="GG710" s="403">
        <f>GG717</f>
        <v/>
      </c>
      <c r="GH710" s="403">
        <f>GH717</f>
        <v/>
      </c>
      <c r="GI710" s="403">
        <f>GI717</f>
        <v/>
      </c>
      <c r="GJ710" s="403">
        <f>GJ717</f>
        <v/>
      </c>
      <c r="GK710" s="403">
        <f>GK717</f>
        <v/>
      </c>
      <c r="GL710" s="403">
        <f>GL717</f>
        <v/>
      </c>
      <c r="GM710" s="403">
        <f>GM717</f>
        <v/>
      </c>
      <c r="GN710" s="403">
        <f>GN717</f>
        <v/>
      </c>
      <c r="GO710" s="403">
        <f>GO717</f>
        <v/>
      </c>
      <c r="GP710" s="403">
        <f>GP717</f>
        <v/>
      </c>
      <c r="GQ710" s="403">
        <f>GQ717</f>
        <v/>
      </c>
      <c r="GR710" s="403">
        <f>GR717</f>
        <v/>
      </c>
      <c r="GS710" s="403">
        <f>GS717</f>
        <v/>
      </c>
      <c r="GT710" s="403">
        <f>GT717</f>
        <v/>
      </c>
      <c r="GU710" s="403">
        <f>GU717</f>
        <v/>
      </c>
      <c r="GV710" s="403">
        <f>GV717</f>
        <v/>
      </c>
      <c r="GW710" s="403">
        <f>GW717</f>
        <v/>
      </c>
      <c r="GX710" s="403">
        <f>GX717</f>
        <v/>
      </c>
    </row>
    <row r="711"/>
    <row r="712">
      <c r="A712" t="n">
        <v>17</v>
      </c>
      <c r="B712" t="n">
        <v>0</v>
      </c>
      <c r="C712">
        <f>ROW(SmtRes!A414)</f>
        <v/>
      </c>
      <c r="D712">
        <f>ROW(EtalonRes!A379)</f>
        <v/>
      </c>
      <c r="E712" t="inlineStr">
        <is>
          <t>1</t>
        </is>
      </c>
      <c r="F712" t="inlineStr">
        <is>
          <t>65-10-1</t>
        </is>
      </c>
      <c r="G712" t="inlineStr">
        <is>
          <t>Очистка канализационной сети внутренней</t>
        </is>
      </c>
      <c r="H712" t="inlineStr">
        <is>
          <t>100 м трубопровода</t>
        </is>
      </c>
      <c r="I712">
        <f>ROUND(ROUND(40/100,4),7)</f>
        <v/>
      </c>
      <c r="J712" t="n">
        <v>0</v>
      </c>
      <c r="K712">
        <f>ROUND(ROUND(40/100,4),7)</f>
        <v/>
      </c>
      <c r="O712">
        <f>ROUND(CP712,0)</f>
        <v/>
      </c>
      <c r="P712">
        <f>ROUND(CQ712*I712,0)</f>
        <v/>
      </c>
      <c r="Q712">
        <f>(ROUND((ROUND(((ET712)*I712),0)*BB712),0)+ROUND((ROUND(((AE712-(EU712))*I712),0)*BS712),0))</f>
        <v/>
      </c>
      <c r="R712">
        <f>(ROUND((ROUND(((EU712)*I712),0)*BS712),0)+ROUND((ROUND(((AE712-(EU712))*I712),0)*BS712),0))</f>
        <v/>
      </c>
      <c r="S712">
        <f>ROUND(CT712*I712,0)</f>
        <v/>
      </c>
      <c r="T712">
        <f>ROUND(CU712*I712,0)</f>
        <v/>
      </c>
      <c r="U712">
        <f>ROUND(CV712*I712,7)</f>
        <v/>
      </c>
      <c r="V712">
        <f>ROUND(CW712*I712,7)</f>
        <v/>
      </c>
      <c r="W712">
        <f>ROUND(CX712*I712,0)</f>
        <v/>
      </c>
      <c r="X712">
        <f>ROUND(CY712,0)</f>
        <v/>
      </c>
      <c r="Y712">
        <f>ROUND(CZ712,0)</f>
        <v/>
      </c>
      <c r="AA712" t="n">
        <v>78869116</v>
      </c>
      <c r="AB712">
        <f>ROUND((AC712+AD712+AF712),2)</f>
        <v/>
      </c>
      <c r="AC712">
        <f>ROUND((ES712),2)</f>
        <v/>
      </c>
      <c r="AD712">
        <f>ROUND((((ET712)-(EU712))+AE712),2)</f>
        <v/>
      </c>
      <c r="AE712">
        <f>ROUND((EU712),2)</f>
        <v/>
      </c>
      <c r="AF712">
        <f>ROUND((EV712),2)</f>
        <v/>
      </c>
      <c r="AG712">
        <f>ROUND((AP712),2)</f>
        <v/>
      </c>
      <c r="AH712">
        <f>(EW712)</f>
        <v/>
      </c>
      <c r="AI712">
        <f>(EX712)</f>
        <v/>
      </c>
      <c r="AJ712">
        <f>(AS712)</f>
        <v/>
      </c>
      <c r="AK712" t="n">
        <v>403.3</v>
      </c>
      <c r="AL712" t="n">
        <v>139.36</v>
      </c>
      <c r="AM712" t="n">
        <v>0.87</v>
      </c>
      <c r="AN712" t="n">
        <v>0</v>
      </c>
      <c r="AO712" t="n">
        <v>263.07</v>
      </c>
      <c r="AP712" t="n">
        <v>0</v>
      </c>
      <c r="AQ712" t="n">
        <v>32.2</v>
      </c>
      <c r="AR712" t="n">
        <v>0</v>
      </c>
      <c r="AS712" t="n">
        <v>0</v>
      </c>
      <c r="AT712" t="n">
        <v>103</v>
      </c>
      <c r="AU712" t="n">
        <v>52</v>
      </c>
      <c r="AV712" t="n">
        <v>1</v>
      </c>
      <c r="AW712" t="n">
        <v>1</v>
      </c>
      <c r="AZ712" t="n">
        <v>1</v>
      </c>
      <c r="BA712" t="n">
        <v>52.25</v>
      </c>
      <c r="BB712" t="n">
        <v>25.03</v>
      </c>
      <c r="BC712" t="n">
        <v>11.85</v>
      </c>
      <c r="BD712" t="inlineStr"/>
      <c r="BE712" t="inlineStr"/>
      <c r="BF712" t="inlineStr"/>
      <c r="BG712" t="inlineStr"/>
      <c r="BH712" t="n">
        <v>0</v>
      </c>
      <c r="BI712" t="n">
        <v>1</v>
      </c>
      <c r="BJ712" t="inlineStr">
        <is>
          <t>ТЕРр Московской обл., 65-10-1, приказ Минстроя России №675/пр от 28.02.2017 № 263/пр</t>
        </is>
      </c>
      <c r="BM712" t="n">
        <v>65007</v>
      </c>
      <c r="BN712" t="n">
        <v>0</v>
      </c>
      <c r="BO712" t="inlineStr">
        <is>
          <t>65-10-1</t>
        </is>
      </c>
      <c r="BP712" t="n">
        <v>1</v>
      </c>
      <c r="BQ712" t="n">
        <v>6</v>
      </c>
      <c r="BR712" t="n">
        <v>0</v>
      </c>
      <c r="BS712" t="n">
        <v>52.25</v>
      </c>
      <c r="BT712" t="n">
        <v>1</v>
      </c>
      <c r="BU712" t="n">
        <v>1</v>
      </c>
      <c r="BV712" t="n">
        <v>1</v>
      </c>
      <c r="BW712" t="n">
        <v>1</v>
      </c>
      <c r="BX712" t="n">
        <v>1</v>
      </c>
      <c r="BY712" t="inlineStr"/>
      <c r="BZ712" t="n">
        <v>103</v>
      </c>
      <c r="CA712" t="n">
        <v>52</v>
      </c>
      <c r="CB712" t="inlineStr"/>
      <c r="CE712" t="n">
        <v>12</v>
      </c>
      <c r="CF712" t="n">
        <v>0</v>
      </c>
      <c r="CG712" t="n">
        <v>0</v>
      </c>
      <c r="CM712" t="n">
        <v>0</v>
      </c>
      <c r="CN712" t="inlineStr"/>
      <c r="CO712" t="n">
        <v>0</v>
      </c>
      <c r="CP712">
        <f>(P712+Q712+S712)</f>
        <v/>
      </c>
      <c r="CQ712">
        <f>AC712*BC712</f>
        <v/>
      </c>
      <c r="CR712">
        <f>(ROUND((ROUND(((ET712)*1),0)*BB712),0)+ROUND((ROUND(((AE712-(EU712))*1),0)*BS712),0))</f>
        <v/>
      </c>
      <c r="CS712">
        <f>(ROUND((ROUND(((EU712)*1),0)*BS712),0)+ROUND((ROUND(((AE712-(EU712))*1),0)*BS712),0))</f>
        <v/>
      </c>
      <c r="CT712">
        <f>AF712*BA712</f>
        <v/>
      </c>
      <c r="CU712">
        <f>AG712</f>
        <v/>
      </c>
      <c r="CV712">
        <f>AH712</f>
        <v/>
      </c>
      <c r="CW712">
        <f>AI712</f>
        <v/>
      </c>
      <c r="CX712">
        <f>AJ712</f>
        <v/>
      </c>
      <c r="CY712">
        <f>(((S712+R712)*AT712)/100)</f>
        <v/>
      </c>
      <c r="CZ712">
        <f>(((S712+R712)*AU712)/100)</f>
        <v/>
      </c>
      <c r="DC712" t="inlineStr"/>
      <c r="DD712" t="inlineStr"/>
      <c r="DE712" t="inlineStr"/>
      <c r="DF712" t="inlineStr"/>
      <c r="DG712" t="inlineStr"/>
      <c r="DH712" t="inlineStr"/>
      <c r="DI712" t="inlineStr"/>
      <c r="DJ712" t="inlineStr"/>
      <c r="DK712" t="inlineStr"/>
      <c r="DL712" t="inlineStr"/>
      <c r="DM712" t="inlineStr"/>
      <c r="DN712" t="n">
        <v>0</v>
      </c>
      <c r="DO712" t="n">
        <v>0</v>
      </c>
      <c r="DP712" t="n">
        <v>1</v>
      </c>
      <c r="DQ712" t="n">
        <v>1</v>
      </c>
      <c r="DU712" t="n">
        <v>1013</v>
      </c>
      <c r="DV712" t="inlineStr">
        <is>
          <t>100 м трубопровода</t>
        </is>
      </c>
      <c r="DW712" t="inlineStr">
        <is>
          <t>100 м трубопровода</t>
        </is>
      </c>
      <c r="DX712" t="n">
        <v>1</v>
      </c>
      <c r="DZ712" t="inlineStr"/>
      <c r="EA712" t="inlineStr"/>
      <c r="EB712" t="inlineStr"/>
      <c r="EC712" t="inlineStr"/>
      <c r="EE712" t="n">
        <v>78726000</v>
      </c>
      <c r="EF712" t="n">
        <v>6</v>
      </c>
      <c r="EG712" t="inlineStr">
        <is>
          <t>Ремонтно-строительные работы</t>
        </is>
      </c>
      <c r="EH712" t="n">
        <v>99</v>
      </c>
      <c r="EI712" t="inlineStr">
        <is>
          <t>Внутренние санитарно-технические работы</t>
        </is>
      </c>
      <c r="EJ712" t="n">
        <v>1</v>
      </c>
      <c r="EK712" t="n">
        <v>65007</v>
      </c>
      <c r="EL712" t="inlineStr">
        <is>
          <t>Внутренние санитарнотехнические работы: смена труб, санприборов, запорной арматуры и другое</t>
        </is>
      </c>
      <c r="EM712" t="inlineStr">
        <is>
          <t>рФЕР-65</t>
        </is>
      </c>
      <c r="EO712" t="inlineStr"/>
      <c r="EQ712" t="n">
        <v>0</v>
      </c>
      <c r="ER712" t="n">
        <v>403.3</v>
      </c>
      <c r="ES712" t="n">
        <v>139.36</v>
      </c>
      <c r="ET712" t="n">
        <v>0.87</v>
      </c>
      <c r="EU712" t="n">
        <v>0</v>
      </c>
      <c r="EV712" t="n">
        <v>263.07</v>
      </c>
      <c r="EW712" t="n">
        <v>32.2</v>
      </c>
      <c r="EX712" t="n">
        <v>0</v>
      </c>
      <c r="EY712" t="n">
        <v>0</v>
      </c>
      <c r="FQ712" t="n">
        <v>0</v>
      </c>
      <c r="FR712" t="n">
        <v>0</v>
      </c>
      <c r="FS712" t="n">
        <v>0</v>
      </c>
      <c r="FX712" t="n">
        <v>103</v>
      </c>
      <c r="FY712" t="n">
        <v>52</v>
      </c>
      <c r="GA712" t="inlineStr"/>
      <c r="GD712" t="n">
        <v>1</v>
      </c>
      <c r="GF712" t="n">
        <v>-66904957</v>
      </c>
      <c r="GG712" t="n">
        <v>2</v>
      </c>
      <c r="GH712" t="n">
        <v>1</v>
      </c>
      <c r="GI712" t="n">
        <v>2</v>
      </c>
      <c r="GJ712" t="n">
        <v>0</v>
      </c>
      <c r="GK712" t="n">
        <v>0</v>
      </c>
      <c r="GL712">
        <f>ROUND(IF(AND(BH712=3,BI712=3,FS712&lt;&gt;0),P712,0),0)</f>
        <v/>
      </c>
      <c r="GM712">
        <f>ROUND(O712+X712+Y712,0)+GX712</f>
        <v/>
      </c>
      <c r="GN712">
        <f>IF(OR(BI712=0,BI712=1),GM712-GX712,0)</f>
        <v/>
      </c>
      <c r="GO712">
        <f>IF(BI712=2,GM712-GX712,0)</f>
        <v/>
      </c>
      <c r="GP712">
        <f>IF(BI712=4,GM712-GX712,0)</f>
        <v/>
      </c>
      <c r="GR712" t="n">
        <v>0</v>
      </c>
      <c r="GS712" t="n">
        <v>3</v>
      </c>
      <c r="GT712" t="n">
        <v>0</v>
      </c>
      <c r="GU712" t="inlineStr"/>
      <c r="GV712">
        <f>ROUND((GT712),2)</f>
        <v/>
      </c>
      <c r="GW712" t="n">
        <v>1</v>
      </c>
      <c r="GX712">
        <f>ROUND(HC712*I712,0)</f>
        <v/>
      </c>
      <c r="HA712" t="n">
        <v>0</v>
      </c>
      <c r="HB712" t="n">
        <v>0</v>
      </c>
      <c r="HC712">
        <f>GV712*GW712</f>
        <v/>
      </c>
      <c r="HE712" t="inlineStr"/>
      <c r="HF712" t="inlineStr"/>
      <c r="HM712" t="inlineStr"/>
      <c r="HN712" t="inlineStr">
        <is>
          <t>Пр/812-099.2-1</t>
        </is>
      </c>
      <c r="HO712" t="inlineStr">
        <is>
          <t>Пр/774-099.2</t>
        </is>
      </c>
      <c r="HP712" t="inlineStr">
        <is>
          <t>Внутренние санитарнотехнические работы: смена труб, санприборов, запорной арматуры и другое</t>
        </is>
      </c>
      <c r="HQ712" t="inlineStr">
        <is>
          <t>Внутренние санитарнотехнические работы: смена труб, санприборов, запорной арматуры и другое</t>
        </is>
      </c>
      <c r="HS712" t="n">
        <v>0</v>
      </c>
      <c r="IK712" t="n">
        <v>0</v>
      </c>
    </row>
    <row r="713">
      <c r="A713" t="n">
        <v>17</v>
      </c>
      <c r="B713" t="n">
        <v>0</v>
      </c>
      <c r="C713">
        <f>ROW(SmtRes!A417)</f>
        <v/>
      </c>
      <c r="D713">
        <f>ROW(EtalonRes!A381)</f>
        <v/>
      </c>
      <c r="E713" t="inlineStr">
        <is>
          <t>2</t>
        </is>
      </c>
      <c r="F713" t="inlineStr">
        <is>
          <t>67-5-2</t>
        </is>
      </c>
      <c r="G713" t="inlineStr">
        <is>
          <t>Смена ламп люминесцентных</t>
        </is>
      </c>
      <c r="H713" t="inlineStr">
        <is>
          <t>100 шт.</t>
        </is>
      </c>
      <c r="I713">
        <f>ROUND(ROUND(2/100,4),7)</f>
        <v/>
      </c>
      <c r="J713" t="n">
        <v>0</v>
      </c>
      <c r="K713">
        <f>ROUND(ROUND(2/100,4),7)</f>
        <v/>
      </c>
      <c r="O713">
        <f>ROUND(CP713,0)</f>
        <v/>
      </c>
      <c r="P713">
        <f>ROUND(CQ713*I713,0)</f>
        <v/>
      </c>
      <c r="Q713">
        <f>(ROUND((ROUND(((ET713)*I713),0)*BB713),0)+ROUND((ROUND(((AE713-(EU713))*I713),0)*BS713),0))</f>
        <v/>
      </c>
      <c r="R713">
        <f>(ROUND((ROUND(((EU713)*I713),0)*BS713),0)+ROUND((ROUND(((AE713-(EU713))*I713),0)*BS713),0))</f>
        <v/>
      </c>
      <c r="S713">
        <f>ROUND(CT713*I713,0)</f>
        <v/>
      </c>
      <c r="T713">
        <f>ROUND(CU713*I713,0)</f>
        <v/>
      </c>
      <c r="U713">
        <f>ROUND(CV713*I713,7)</f>
        <v/>
      </c>
      <c r="V713">
        <f>ROUND(CW713*I713,7)</f>
        <v/>
      </c>
      <c r="W713">
        <f>ROUND(CX713*I713,0)</f>
        <v/>
      </c>
      <c r="X713">
        <f>ROUND(CY713,0)</f>
        <v/>
      </c>
      <c r="Y713">
        <f>ROUND(CZ713,0)</f>
        <v/>
      </c>
      <c r="AA713" t="n">
        <v>78869116</v>
      </c>
      <c r="AB713">
        <f>ROUND((AC713+AD713+AF713),2)</f>
        <v/>
      </c>
      <c r="AC713">
        <f>ROUND((ES713),2)</f>
        <v/>
      </c>
      <c r="AD713">
        <f>ROUND((((ET713)-(EU713))+AE713),2)</f>
        <v/>
      </c>
      <c r="AE713">
        <f>ROUND((EU713),2)</f>
        <v/>
      </c>
      <c r="AF713">
        <f>ROUND((EV713),2)</f>
        <v/>
      </c>
      <c r="AG713">
        <f>ROUND((AP713),2)</f>
        <v/>
      </c>
      <c r="AH713">
        <f>(EW713)</f>
        <v/>
      </c>
      <c r="AI713">
        <f>(EX713)</f>
        <v/>
      </c>
      <c r="AJ713">
        <f>(AS713)</f>
        <v/>
      </c>
      <c r="AK713" t="n">
        <v>970.5700000000001</v>
      </c>
      <c r="AL713" t="n">
        <v>852</v>
      </c>
      <c r="AM713" t="n">
        <v>0</v>
      </c>
      <c r="AN713" t="n">
        <v>0</v>
      </c>
      <c r="AO713" t="n">
        <v>118.57</v>
      </c>
      <c r="AP713" t="n">
        <v>0</v>
      </c>
      <c r="AQ713" t="n">
        <v>13.9</v>
      </c>
      <c r="AR713" t="n">
        <v>0</v>
      </c>
      <c r="AS713" t="n">
        <v>0</v>
      </c>
      <c r="AT713" t="n">
        <v>91</v>
      </c>
      <c r="AU713" t="n">
        <v>48</v>
      </c>
      <c r="AV713" t="n">
        <v>1</v>
      </c>
      <c r="AW713" t="n">
        <v>1</v>
      </c>
      <c r="AZ713" t="n">
        <v>1</v>
      </c>
      <c r="BA713" t="n">
        <v>52.25</v>
      </c>
      <c r="BB713" t="n">
        <v>1</v>
      </c>
      <c r="BC713" t="n">
        <v>4.14</v>
      </c>
      <c r="BD713" t="inlineStr"/>
      <c r="BE713" t="inlineStr"/>
      <c r="BF713" t="inlineStr"/>
      <c r="BG713" t="inlineStr"/>
      <c r="BH713" t="n">
        <v>0</v>
      </c>
      <c r="BI713" t="n">
        <v>1</v>
      </c>
      <c r="BJ713" t="inlineStr">
        <is>
          <t>ТЕРр Московской обл., 67-5-2, приказ Минстроя России №675/пр от 28.02.2017 № 263/пр</t>
        </is>
      </c>
      <c r="BM713" t="n">
        <v>67001</v>
      </c>
      <c r="BN713" t="n">
        <v>0</v>
      </c>
      <c r="BO713" t="inlineStr">
        <is>
          <t>67-5-2</t>
        </is>
      </c>
      <c r="BP713" t="n">
        <v>1</v>
      </c>
      <c r="BQ713" t="n">
        <v>6</v>
      </c>
      <c r="BR713" t="n">
        <v>0</v>
      </c>
      <c r="BS713" t="n">
        <v>52.25</v>
      </c>
      <c r="BT713" t="n">
        <v>1</v>
      </c>
      <c r="BU713" t="n">
        <v>1</v>
      </c>
      <c r="BV713" t="n">
        <v>1</v>
      </c>
      <c r="BW713" t="n">
        <v>1</v>
      </c>
      <c r="BX713" t="n">
        <v>1</v>
      </c>
      <c r="BY713" t="inlineStr"/>
      <c r="BZ713" t="n">
        <v>91</v>
      </c>
      <c r="CA713" t="n">
        <v>48</v>
      </c>
      <c r="CB713" t="inlineStr"/>
      <c r="CE713" t="n">
        <v>12</v>
      </c>
      <c r="CF713" t="n">
        <v>0</v>
      </c>
      <c r="CG713" t="n">
        <v>0</v>
      </c>
      <c r="CM713" t="n">
        <v>0</v>
      </c>
      <c r="CN713" t="inlineStr"/>
      <c r="CO713" t="n">
        <v>0</v>
      </c>
      <c r="CP713">
        <f>(P713+Q713+S713)</f>
        <v/>
      </c>
      <c r="CQ713">
        <f>AC713*BC713</f>
        <v/>
      </c>
      <c r="CR713">
        <f>(ROUND((ROUND(((ET713)*1),0)*BB713),0)+ROUND((ROUND(((AE713-(EU713))*1),0)*BS713),0))</f>
        <v/>
      </c>
      <c r="CS713">
        <f>(ROUND((ROUND(((EU713)*1),0)*BS713),0)+ROUND((ROUND(((AE713-(EU713))*1),0)*BS713),0))</f>
        <v/>
      </c>
      <c r="CT713">
        <f>AF713*BA713</f>
        <v/>
      </c>
      <c r="CU713">
        <f>AG713</f>
        <v/>
      </c>
      <c r="CV713">
        <f>AH713</f>
        <v/>
      </c>
      <c r="CW713">
        <f>AI713</f>
        <v/>
      </c>
      <c r="CX713">
        <f>AJ713</f>
        <v/>
      </c>
      <c r="CY713">
        <f>(((S713+R713)*AT713)/100)</f>
        <v/>
      </c>
      <c r="CZ713">
        <f>(((S713+R713)*AU713)/100)</f>
        <v/>
      </c>
      <c r="DC713" t="inlineStr"/>
      <c r="DD713" t="inlineStr"/>
      <c r="DE713" t="inlineStr"/>
      <c r="DF713" t="inlineStr"/>
      <c r="DG713" t="inlineStr"/>
      <c r="DH713" t="inlineStr"/>
      <c r="DI713" t="inlineStr"/>
      <c r="DJ713" t="inlineStr"/>
      <c r="DK713" t="inlineStr"/>
      <c r="DL713" t="inlineStr"/>
      <c r="DM713" t="inlineStr"/>
      <c r="DN713" t="n">
        <v>0</v>
      </c>
      <c r="DO713" t="n">
        <v>0</v>
      </c>
      <c r="DP713" t="n">
        <v>1</v>
      </c>
      <c r="DQ713" t="n">
        <v>1</v>
      </c>
      <c r="DU713" t="n">
        <v>1010</v>
      </c>
      <c r="DV713" t="inlineStr">
        <is>
          <t>100 шт.</t>
        </is>
      </c>
      <c r="DW713" t="inlineStr">
        <is>
          <t>100 шт.</t>
        </is>
      </c>
      <c r="DX713" t="n">
        <v>100</v>
      </c>
      <c r="DZ713" t="inlineStr"/>
      <c r="EA713" t="inlineStr"/>
      <c r="EB713" t="inlineStr"/>
      <c r="EC713" t="inlineStr"/>
      <c r="EE713" t="n">
        <v>78726030</v>
      </c>
      <c r="EF713" t="n">
        <v>6</v>
      </c>
      <c r="EG713" t="inlineStr">
        <is>
          <t>Ремонтно-строительные работы</t>
        </is>
      </c>
      <c r="EH713" t="n">
        <v>101</v>
      </c>
      <c r="EI713" t="inlineStr">
        <is>
          <t>Электромонтажные работы</t>
        </is>
      </c>
      <c r="EJ713" t="n">
        <v>1</v>
      </c>
      <c r="EK713" t="n">
        <v>67001</v>
      </c>
      <c r="EL713" t="inlineStr">
        <is>
          <t>Электромонтажные работы</t>
        </is>
      </c>
      <c r="EM713" t="inlineStr">
        <is>
          <t>рФЕР-67</t>
        </is>
      </c>
      <c r="EO713" t="inlineStr"/>
      <c r="EQ713" t="n">
        <v>0</v>
      </c>
      <c r="ER713" t="n">
        <v>970.5700000000001</v>
      </c>
      <c r="ES713" t="n">
        <v>852</v>
      </c>
      <c r="ET713" t="n">
        <v>0</v>
      </c>
      <c r="EU713" t="n">
        <v>0</v>
      </c>
      <c r="EV713" t="n">
        <v>118.57</v>
      </c>
      <c r="EW713" t="n">
        <v>13.9</v>
      </c>
      <c r="EX713" t="n">
        <v>0</v>
      </c>
      <c r="EY713" t="n">
        <v>0</v>
      </c>
      <c r="FQ713" t="n">
        <v>0</v>
      </c>
      <c r="FR713" t="n">
        <v>0</v>
      </c>
      <c r="FS713" t="n">
        <v>0</v>
      </c>
      <c r="FX713" t="n">
        <v>91</v>
      </c>
      <c r="FY713" t="n">
        <v>48</v>
      </c>
      <c r="GA713" t="inlineStr"/>
      <c r="GD713" t="n">
        <v>1</v>
      </c>
      <c r="GF713" t="n">
        <v>1400342257</v>
      </c>
      <c r="GG713" t="n">
        <v>2</v>
      </c>
      <c r="GH713" t="n">
        <v>1</v>
      </c>
      <c r="GI713" t="n">
        <v>2</v>
      </c>
      <c r="GJ713" t="n">
        <v>0</v>
      </c>
      <c r="GK713" t="n">
        <v>0</v>
      </c>
      <c r="GL713">
        <f>ROUND(IF(AND(BH713=3,BI713=3,FS713&lt;&gt;0),P713,0),0)</f>
        <v/>
      </c>
      <c r="GM713">
        <f>ROUND(O713+X713+Y713,0)+GX713</f>
        <v/>
      </c>
      <c r="GN713">
        <f>IF(OR(BI713=0,BI713=1),GM713-GX713,0)</f>
        <v/>
      </c>
      <c r="GO713">
        <f>IF(BI713=2,GM713-GX713,0)</f>
        <v/>
      </c>
      <c r="GP713">
        <f>IF(BI713=4,GM713-GX713,0)</f>
        <v/>
      </c>
      <c r="GR713" t="n">
        <v>0</v>
      </c>
      <c r="GS713" t="n">
        <v>3</v>
      </c>
      <c r="GT713" t="n">
        <v>0</v>
      </c>
      <c r="GU713" t="inlineStr"/>
      <c r="GV713">
        <f>ROUND((GT713),2)</f>
        <v/>
      </c>
      <c r="GW713" t="n">
        <v>1</v>
      </c>
      <c r="GX713">
        <f>ROUND(HC713*I713,0)</f>
        <v/>
      </c>
      <c r="HA713" t="n">
        <v>0</v>
      </c>
      <c r="HB713" t="n">
        <v>0</v>
      </c>
      <c r="HC713">
        <f>GV713*GW713</f>
        <v/>
      </c>
      <c r="HE713" t="inlineStr"/>
      <c r="HF713" t="inlineStr"/>
      <c r="HM713" t="inlineStr"/>
      <c r="HN713" t="inlineStr">
        <is>
          <t>Пр/812-101.0-1</t>
        </is>
      </c>
      <c r="HO713" t="inlineStr">
        <is>
          <t>Пр/774-101.0</t>
        </is>
      </c>
      <c r="HP713" t="inlineStr">
        <is>
          <t>Электромонтажные работы</t>
        </is>
      </c>
      <c r="HQ713" t="inlineStr">
        <is>
          <t>Электромонтажные работы</t>
        </is>
      </c>
      <c r="HS713" t="n">
        <v>0</v>
      </c>
      <c r="IK713" t="n">
        <v>0</v>
      </c>
    </row>
    <row r="714">
      <c r="A714" t="n">
        <v>18</v>
      </c>
      <c r="B714" t="n">
        <v>0</v>
      </c>
      <c r="C714" t="n">
        <v>417</v>
      </c>
      <c r="E714" t="inlineStr">
        <is>
          <t>2,1</t>
        </is>
      </c>
      <c r="F714" t="inlineStr">
        <is>
          <t>509-6744</t>
        </is>
      </c>
      <c r="G714" t="inlineStr">
        <is>
          <t>Лампы люминесцентные компактные энергосберегающие с цоколем Е27 мощностью 55 Вт</t>
        </is>
      </c>
      <c r="H714" t="inlineStr">
        <is>
          <t>шт.</t>
        </is>
      </c>
      <c r="I714">
        <f>I713*J714</f>
        <v/>
      </c>
      <c r="J714" t="n">
        <v>100</v>
      </c>
      <c r="K714" t="n">
        <v>100</v>
      </c>
      <c r="O714">
        <f>ROUND(CP714,0)</f>
        <v/>
      </c>
      <c r="P714">
        <f>ROUND(CQ714*I714,0)</f>
        <v/>
      </c>
      <c r="Q714">
        <f>(ROUND((ROUND(((ET714)*I714),0)*BB714),0)+ROUND((ROUND(((AE714-(EU714))*I714),0)*BS714),0))</f>
        <v/>
      </c>
      <c r="R714">
        <f>(ROUND((ROUND(((EU714)*I714),0)*BS714),0)+ROUND((ROUND(((AE714-(EU714))*I714),0)*BS714),0))</f>
        <v/>
      </c>
      <c r="S714">
        <f>ROUND(CT714*I714,0)</f>
        <v/>
      </c>
      <c r="T714">
        <f>ROUND(CU714*I714,0)</f>
        <v/>
      </c>
      <c r="U714">
        <f>ROUND(CV714*I714,7)</f>
        <v/>
      </c>
      <c r="V714">
        <f>ROUND(CW714*I714,7)</f>
        <v/>
      </c>
      <c r="W714">
        <f>ROUND(CX714*I714,0)</f>
        <v/>
      </c>
      <c r="X714">
        <f>ROUND(CY714,0)</f>
        <v/>
      </c>
      <c r="Y714">
        <f>ROUND(CZ714,0)</f>
        <v/>
      </c>
      <c r="AA714" t="n">
        <v>78869116</v>
      </c>
      <c r="AB714">
        <f>ROUND((AC714+AD714+AF714),2)</f>
        <v/>
      </c>
      <c r="AC714">
        <f>ROUND((ES714),2)</f>
        <v/>
      </c>
      <c r="AD714">
        <f>ROUND((((ET714)-(EU714))+AE714),2)</f>
        <v/>
      </c>
      <c r="AE714">
        <f>ROUND((EU714),2)</f>
        <v/>
      </c>
      <c r="AF714">
        <f>ROUND((EV714),2)</f>
        <v/>
      </c>
      <c r="AG714">
        <f>ROUND((AP714),2)</f>
        <v/>
      </c>
      <c r="AH714">
        <f>(EW714)</f>
        <v/>
      </c>
      <c r="AI714">
        <f>(EX714)</f>
        <v/>
      </c>
      <c r="AJ714">
        <f>(AS714)</f>
        <v/>
      </c>
      <c r="AK714" t="n">
        <v>140.69</v>
      </c>
      <c r="AL714" t="n">
        <v>140.69</v>
      </c>
      <c r="AM714" t="n">
        <v>0</v>
      </c>
      <c r="AN714" t="n">
        <v>0</v>
      </c>
      <c r="AO714" t="n">
        <v>0</v>
      </c>
      <c r="AP714" t="n">
        <v>0</v>
      </c>
      <c r="AQ714" t="n">
        <v>0</v>
      </c>
      <c r="AR714" t="n">
        <v>0</v>
      </c>
      <c r="AS714" t="n">
        <v>0.02</v>
      </c>
      <c r="AT714" t="n">
        <v>91</v>
      </c>
      <c r="AU714" t="n">
        <v>48</v>
      </c>
      <c r="AV714" t="n">
        <v>1</v>
      </c>
      <c r="AW714" t="n">
        <v>1</v>
      </c>
      <c r="AZ714" t="n">
        <v>1</v>
      </c>
      <c r="BA714" t="n">
        <v>1</v>
      </c>
      <c r="BB714" t="n">
        <v>1</v>
      </c>
      <c r="BC714" t="n">
        <v>1.69</v>
      </c>
      <c r="BD714" t="inlineStr"/>
      <c r="BE714" t="inlineStr"/>
      <c r="BF714" t="inlineStr"/>
      <c r="BG714" t="inlineStr"/>
      <c r="BH714" t="n">
        <v>3</v>
      </c>
      <c r="BI714" t="n">
        <v>1</v>
      </c>
      <c r="BJ714" t="inlineStr">
        <is>
          <t>ТССЦ Московской обл., 509-6744, приказ Минстроя России №675/пр от 28.02.2017 № 258/пр</t>
        </is>
      </c>
      <c r="BM714" t="n">
        <v>67001</v>
      </c>
      <c r="BN714" t="n">
        <v>0</v>
      </c>
      <c r="BO714" t="inlineStr">
        <is>
          <t>509-6744</t>
        </is>
      </c>
      <c r="BP714" t="n">
        <v>1</v>
      </c>
      <c r="BQ714" t="n">
        <v>6</v>
      </c>
      <c r="BR714" t="n">
        <v>0</v>
      </c>
      <c r="BS714" t="n">
        <v>1</v>
      </c>
      <c r="BT714" t="n">
        <v>1</v>
      </c>
      <c r="BU714" t="n">
        <v>1</v>
      </c>
      <c r="BV714" t="n">
        <v>1</v>
      </c>
      <c r="BW714" t="n">
        <v>1</v>
      </c>
      <c r="BX714" t="n">
        <v>1</v>
      </c>
      <c r="BY714" t="inlineStr"/>
      <c r="BZ714" t="n">
        <v>91</v>
      </c>
      <c r="CA714" t="n">
        <v>48</v>
      </c>
      <c r="CB714" t="inlineStr"/>
      <c r="CE714" t="n">
        <v>12</v>
      </c>
      <c r="CF714" t="n">
        <v>0</v>
      </c>
      <c r="CG714" t="n">
        <v>0</v>
      </c>
      <c r="CM714" t="n">
        <v>0</v>
      </c>
      <c r="CN714" t="inlineStr"/>
      <c r="CO714" t="n">
        <v>0</v>
      </c>
      <c r="CP714">
        <f>(P714+Q714+S714)</f>
        <v/>
      </c>
      <c r="CQ714">
        <f>AC714*BC714</f>
        <v/>
      </c>
      <c r="CR714">
        <f>(ROUND((ROUND(((ET714)*1),0)*BB714),0)+ROUND((ROUND(((AE714-(EU714))*1),0)*BS714),0))</f>
        <v/>
      </c>
      <c r="CS714">
        <f>(ROUND((ROUND(((EU714)*1),0)*BS714),0)+ROUND((ROUND(((AE714-(EU714))*1),0)*BS714),0))</f>
        <v/>
      </c>
      <c r="CT714">
        <f>AF714*BA714</f>
        <v/>
      </c>
      <c r="CU714">
        <f>AG714</f>
        <v/>
      </c>
      <c r="CV714">
        <f>AH714</f>
        <v/>
      </c>
      <c r="CW714">
        <f>AI714</f>
        <v/>
      </c>
      <c r="CX714">
        <f>AJ714</f>
        <v/>
      </c>
      <c r="CY714">
        <f>(((S714+R714)*AT714)/100)</f>
        <v/>
      </c>
      <c r="CZ714">
        <f>(((S714+R714)*AU714)/100)</f>
        <v/>
      </c>
      <c r="DC714" t="inlineStr"/>
      <c r="DD714" t="inlineStr"/>
      <c r="DE714" t="inlineStr"/>
      <c r="DF714" t="inlineStr"/>
      <c r="DG714" t="inlineStr"/>
      <c r="DH714" t="inlineStr"/>
      <c r="DI714" t="inlineStr"/>
      <c r="DJ714" t="inlineStr"/>
      <c r="DK714" t="inlineStr"/>
      <c r="DL714" t="inlineStr"/>
      <c r="DM714" t="inlineStr"/>
      <c r="DN714" t="n">
        <v>0</v>
      </c>
      <c r="DO714" t="n">
        <v>0</v>
      </c>
      <c r="DP714" t="n">
        <v>1</v>
      </c>
      <c r="DQ714" t="n">
        <v>1</v>
      </c>
      <c r="DU714" t="n">
        <v>1010</v>
      </c>
      <c r="DV714" t="inlineStr">
        <is>
          <t>шт.</t>
        </is>
      </c>
      <c r="DW714" t="inlineStr">
        <is>
          <t>шт.</t>
        </is>
      </c>
      <c r="DX714" t="n">
        <v>1</v>
      </c>
      <c r="DZ714" t="inlineStr"/>
      <c r="EA714" t="inlineStr"/>
      <c r="EB714" t="inlineStr"/>
      <c r="EC714" t="inlineStr"/>
      <c r="EE714" t="n">
        <v>78726030</v>
      </c>
      <c r="EF714" t="n">
        <v>6</v>
      </c>
      <c r="EG714" t="inlineStr">
        <is>
          <t>Ремонтно-строительные работы</t>
        </is>
      </c>
      <c r="EH714" t="n">
        <v>101</v>
      </c>
      <c r="EI714" t="inlineStr">
        <is>
          <t>Электромонтажные работы</t>
        </is>
      </c>
      <c r="EJ714" t="n">
        <v>1</v>
      </c>
      <c r="EK714" t="n">
        <v>67001</v>
      </c>
      <c r="EL714" t="inlineStr">
        <is>
          <t>Электромонтажные работы</t>
        </is>
      </c>
      <c r="EM714" t="inlineStr">
        <is>
          <t>рФЕР-67</t>
        </is>
      </c>
      <c r="EO714" t="inlineStr"/>
      <c r="EQ714" t="n">
        <v>0</v>
      </c>
      <c r="ER714" t="n">
        <v>140.69</v>
      </c>
      <c r="ES714" t="n">
        <v>140.69</v>
      </c>
      <c r="ET714" t="n">
        <v>0</v>
      </c>
      <c r="EU714" t="n">
        <v>0</v>
      </c>
      <c r="EV714" t="n">
        <v>0</v>
      </c>
      <c r="EW714" t="n">
        <v>0</v>
      </c>
      <c r="EX714" t="n">
        <v>0</v>
      </c>
      <c r="FQ714" t="n">
        <v>0</v>
      </c>
      <c r="FR714" t="n">
        <v>0</v>
      </c>
      <c r="FS714" t="n">
        <v>0</v>
      </c>
      <c r="FX714" t="n">
        <v>91</v>
      </c>
      <c r="FY714" t="n">
        <v>48</v>
      </c>
      <c r="GA714" t="inlineStr"/>
      <c r="GD714" t="n">
        <v>1</v>
      </c>
      <c r="GF714" t="n">
        <v>-228955380</v>
      </c>
      <c r="GG714" t="n">
        <v>2</v>
      </c>
      <c r="GH714" t="n">
        <v>1</v>
      </c>
      <c r="GI714" t="n">
        <v>2</v>
      </c>
      <c r="GJ714" t="n">
        <v>0</v>
      </c>
      <c r="GK714" t="n">
        <v>0</v>
      </c>
      <c r="GL714">
        <f>ROUND(IF(AND(BH714=3,BI714=3,FS714&lt;&gt;0),P714,0),0)</f>
        <v/>
      </c>
      <c r="GM714">
        <f>ROUND(O714+X714+Y714,0)+GX714</f>
        <v/>
      </c>
      <c r="GN714">
        <f>IF(OR(BI714=0,BI714=1),GM714-GX714,0)</f>
        <v/>
      </c>
      <c r="GO714">
        <f>IF(BI714=2,GM714-GX714,0)</f>
        <v/>
      </c>
      <c r="GP714">
        <f>IF(BI714=4,GM714-GX714,0)</f>
        <v/>
      </c>
      <c r="GR714" t="n">
        <v>0</v>
      </c>
      <c r="GS714" t="n">
        <v>3</v>
      </c>
      <c r="GT714" t="n">
        <v>0</v>
      </c>
      <c r="GU714" t="inlineStr"/>
      <c r="GV714">
        <f>ROUND((GT714),2)</f>
        <v/>
      </c>
      <c r="GW714" t="n">
        <v>1</v>
      </c>
      <c r="GX714">
        <f>ROUND(HC714*I714,0)</f>
        <v/>
      </c>
      <c r="HA714" t="n">
        <v>0</v>
      </c>
      <c r="HB714" t="n">
        <v>0</v>
      </c>
      <c r="HC714">
        <f>GV714*GW714</f>
        <v/>
      </c>
      <c r="HE714" t="inlineStr"/>
      <c r="HF714" t="inlineStr"/>
      <c r="HM714" t="inlineStr"/>
      <c r="HN714" t="inlineStr">
        <is>
          <t>Пр/812-101.0-1</t>
        </is>
      </c>
      <c r="HO714" t="inlineStr">
        <is>
          <t>Пр/774-101.0</t>
        </is>
      </c>
      <c r="HP714" t="inlineStr">
        <is>
          <t>Электромонтажные работы</t>
        </is>
      </c>
      <c r="HQ714" t="inlineStr">
        <is>
          <t>Электромонтажные работы</t>
        </is>
      </c>
      <c r="HS714" t="n">
        <v>0</v>
      </c>
      <c r="IK714" t="n">
        <v>0</v>
      </c>
    </row>
    <row r="715">
      <c r="A715" t="n">
        <v>17</v>
      </c>
      <c r="B715" t="n">
        <v>0</v>
      </c>
      <c r="C715">
        <f>ROW(SmtRes!A423)</f>
        <v/>
      </c>
      <c r="D715">
        <f>ROW(EtalonRes!A387)</f>
        <v/>
      </c>
      <c r="E715" t="inlineStr">
        <is>
          <t>3</t>
        </is>
      </c>
      <c r="F715" t="inlineStr">
        <is>
          <t>16-07-005-1</t>
        </is>
      </c>
      <c r="G71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15" t="inlineStr">
        <is>
          <t>100 м трубопровода</t>
        </is>
      </c>
      <c r="I715">
        <f>ROUND(ROUND(60/100,4),7)</f>
        <v/>
      </c>
      <c r="J715" t="n">
        <v>0</v>
      </c>
      <c r="K715">
        <f>ROUND(ROUND(60/100,4),7)</f>
        <v/>
      </c>
      <c r="O715">
        <f>ROUND(CP715,0)</f>
        <v/>
      </c>
      <c r="P715">
        <f>ROUND(CQ715*I715,0)</f>
        <v/>
      </c>
      <c r="Q715">
        <f>(ROUND((ROUND((((ET715*ROUND(4,7)))*I715),0)*BB715),0)+ROUND((ROUND(((AE715-((EU715*ROUND(4,7))))*I715),0)*BS715),0))</f>
        <v/>
      </c>
      <c r="R715">
        <f>(ROUND((ROUND((((EU715*ROUND(4,7)))*I715),0)*BS715),0)+ROUND((ROUND(((AE715-((EU715*ROUND(4,7))))*I715),0)*BS715),0))</f>
        <v/>
      </c>
      <c r="S715">
        <f>ROUND(CT715*I715,0)</f>
        <v/>
      </c>
      <c r="T715">
        <f>ROUND(CU715*I715,0)</f>
        <v/>
      </c>
      <c r="U715">
        <f>ROUND(CV715*I715,7)</f>
        <v/>
      </c>
      <c r="V715">
        <f>ROUND(CW715*I715,7)</f>
        <v/>
      </c>
      <c r="W715">
        <f>ROUND(CX715*I715,0)</f>
        <v/>
      </c>
      <c r="X715">
        <f>ROUND(CY715,0)</f>
        <v/>
      </c>
      <c r="Y715">
        <f>ROUND(CZ715,0)</f>
        <v/>
      </c>
      <c r="AA715" t="n">
        <v>78869116</v>
      </c>
      <c r="AB715">
        <f>ROUND((AC715+AD715+AF715),2)</f>
        <v/>
      </c>
      <c r="AC715">
        <f>ROUND((ES715),2)</f>
        <v/>
      </c>
      <c r="AD715">
        <f>ROUND(((((ET715*ROUND(4,7)))-((EU715*ROUND(4,7))))+AE715),2)</f>
        <v/>
      </c>
      <c r="AE715">
        <f>ROUND(((EU715*ROUND(4,7))),2)</f>
        <v/>
      </c>
      <c r="AF715">
        <f>ROUND(((EV715*ROUND(4,7))),2)</f>
        <v/>
      </c>
      <c r="AG715">
        <f>ROUND((AP715),2)</f>
        <v/>
      </c>
      <c r="AH715">
        <f>((EW715*ROUND(4,7)))</f>
        <v/>
      </c>
      <c r="AI715">
        <f>((EX715*ROUND(4,7)))</f>
        <v/>
      </c>
      <c r="AJ715">
        <f>(AS715)</f>
        <v/>
      </c>
      <c r="AK715" t="n">
        <v>107.11</v>
      </c>
      <c r="AL715" t="n">
        <v>4.28</v>
      </c>
      <c r="AM715" t="n">
        <v>44.51</v>
      </c>
      <c r="AN715" t="n">
        <v>0</v>
      </c>
      <c r="AO715" t="n">
        <v>58.32</v>
      </c>
      <c r="AP715" t="n">
        <v>0</v>
      </c>
      <c r="AQ715" t="n">
        <v>5.01</v>
      </c>
      <c r="AR715" t="n">
        <v>0</v>
      </c>
      <c r="AS715" t="n">
        <v>0</v>
      </c>
      <c r="AT715" t="n">
        <v>121</v>
      </c>
      <c r="AU715" t="n">
        <v>72</v>
      </c>
      <c r="AV715" t="n">
        <v>1</v>
      </c>
      <c r="AW715" t="n">
        <v>1</v>
      </c>
      <c r="AZ715" t="n">
        <v>1</v>
      </c>
      <c r="BA715" t="n">
        <v>52.25</v>
      </c>
      <c r="BB715" t="n">
        <v>5.97</v>
      </c>
      <c r="BC715" t="n">
        <v>11.38</v>
      </c>
      <c r="BD715" t="inlineStr"/>
      <c r="BE715" t="inlineStr"/>
      <c r="BF715" t="inlineStr"/>
      <c r="BG715" t="inlineStr"/>
      <c r="BH715" t="n">
        <v>0</v>
      </c>
      <c r="BI715" t="n">
        <v>1</v>
      </c>
      <c r="BJ715" t="inlineStr">
        <is>
          <t>ТЕР Московской обл., 16-07-005-1, приказ Минстроя России №675/пр от 28.02.2017 № 260/пр</t>
        </is>
      </c>
      <c r="BM715" t="n">
        <v>16001</v>
      </c>
      <c r="BN715" t="n">
        <v>0</v>
      </c>
      <c r="BO715" t="inlineStr">
        <is>
          <t>16-07-005-1</t>
        </is>
      </c>
      <c r="BP715" t="n">
        <v>1</v>
      </c>
      <c r="BQ715" t="n">
        <v>2</v>
      </c>
      <c r="BR715" t="n">
        <v>0</v>
      </c>
      <c r="BS715" t="n">
        <v>52.25</v>
      </c>
      <c r="BT715" t="n">
        <v>1</v>
      </c>
      <c r="BU715" t="n">
        <v>1</v>
      </c>
      <c r="BV715" t="n">
        <v>1</v>
      </c>
      <c r="BW715" t="n">
        <v>1</v>
      </c>
      <c r="BX715" t="n">
        <v>1</v>
      </c>
      <c r="BY715" t="inlineStr"/>
      <c r="BZ715" t="n">
        <v>121</v>
      </c>
      <c r="CA715" t="n">
        <v>72</v>
      </c>
      <c r="CB715" t="inlineStr"/>
      <c r="CE715" t="n">
        <v>12</v>
      </c>
      <c r="CF715" t="n">
        <v>0</v>
      </c>
      <c r="CG715" t="n">
        <v>0</v>
      </c>
      <c r="CM715" t="n">
        <v>0</v>
      </c>
      <c r="CN715" t="inlineStr"/>
      <c r="CO715" t="n">
        <v>0</v>
      </c>
      <c r="CP715">
        <f>(P715+Q715+S715)</f>
        <v/>
      </c>
      <c r="CQ715">
        <f>AC715*BC715</f>
        <v/>
      </c>
      <c r="CR715">
        <f>(ROUND((ROUND((((ET715*ROUND(4,7)))*1),0)*BB715),0)+ROUND((ROUND(((AE715-((EU715*ROUND(4,7))))*1),0)*BS715),0))</f>
        <v/>
      </c>
      <c r="CS715">
        <f>(ROUND((ROUND((((EU715*ROUND(4,7)))*1),0)*BS715),0)+ROUND((ROUND(((AE715-((EU715*ROUND(4,7))))*1),0)*BS715),0))</f>
        <v/>
      </c>
      <c r="CT715">
        <f>AF715*BA715</f>
        <v/>
      </c>
      <c r="CU715">
        <f>AG715</f>
        <v/>
      </c>
      <c r="CV715">
        <f>AH715</f>
        <v/>
      </c>
      <c r="CW715">
        <f>AI715</f>
        <v/>
      </c>
      <c r="CX715">
        <f>AJ715</f>
        <v/>
      </c>
      <c r="CY715">
        <f>(((S715+R715)*AT715)/100)</f>
        <v/>
      </c>
      <c r="CZ715">
        <f>(((S715+R715)*AU715)/100)</f>
        <v/>
      </c>
      <c r="DC715" t="inlineStr"/>
      <c r="DD715" t="inlineStr"/>
      <c r="DE715" t="inlineStr">
        <is>
          <t>)*4</t>
        </is>
      </c>
      <c r="DF715" t="inlineStr">
        <is>
          <t>)*4</t>
        </is>
      </c>
      <c r="DG715" t="inlineStr">
        <is>
          <t>)*4</t>
        </is>
      </c>
      <c r="DH715" t="inlineStr"/>
      <c r="DI715" t="inlineStr">
        <is>
          <t>)*4</t>
        </is>
      </c>
      <c r="DJ715" t="inlineStr">
        <is>
          <t>)*4</t>
        </is>
      </c>
      <c r="DK715" t="inlineStr"/>
      <c r="DL715" t="inlineStr"/>
      <c r="DM715" t="inlineStr"/>
      <c r="DN715" t="n">
        <v>0</v>
      </c>
      <c r="DO715" t="n">
        <v>0</v>
      </c>
      <c r="DP715" t="n">
        <v>1</v>
      </c>
      <c r="DQ715" t="n">
        <v>1</v>
      </c>
      <c r="DU715" t="n">
        <v>1013</v>
      </c>
      <c r="DV715" t="inlineStr">
        <is>
          <t>100 м трубопровода</t>
        </is>
      </c>
      <c r="DW715" t="inlineStr">
        <is>
          <t>100 м трубопровода</t>
        </is>
      </c>
      <c r="DX715" t="n">
        <v>1</v>
      </c>
      <c r="DZ715" t="inlineStr"/>
      <c r="EA715" t="inlineStr"/>
      <c r="EB715" t="inlineStr"/>
      <c r="EC715" t="inlineStr"/>
      <c r="EE715" t="n">
        <v>78725882</v>
      </c>
      <c r="EF715" t="n">
        <v>2</v>
      </c>
      <c r="EG715" t="inlineStr">
        <is>
          <t>Общестроительные работы</t>
        </is>
      </c>
      <c r="EH715" t="n">
        <v>16</v>
      </c>
      <c r="EI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15" t="n">
        <v>1</v>
      </c>
      <c r="EK715" t="n">
        <v>16001</v>
      </c>
      <c r="EL715" t="inlineStr">
        <is>
          <t>Трубопроводы внутренние</t>
        </is>
      </c>
      <c r="EM715" t="inlineStr">
        <is>
          <t>ФЕР-16</t>
        </is>
      </c>
      <c r="EO715" t="inlineStr"/>
      <c r="EQ715" t="n">
        <v>0</v>
      </c>
      <c r="ER715" t="n">
        <v>107.11</v>
      </c>
      <c r="ES715" t="n">
        <v>4.28</v>
      </c>
      <c r="ET715" t="n">
        <v>44.51</v>
      </c>
      <c r="EU715" t="n">
        <v>0</v>
      </c>
      <c r="EV715" t="n">
        <v>58.32</v>
      </c>
      <c r="EW715" t="n">
        <v>5.01</v>
      </c>
      <c r="EX715" t="n">
        <v>0</v>
      </c>
      <c r="EY715" t="n">
        <v>0</v>
      </c>
      <c r="FQ715" t="n">
        <v>0</v>
      </c>
      <c r="FR715" t="n">
        <v>0</v>
      </c>
      <c r="FS715" t="n">
        <v>0</v>
      </c>
      <c r="FX715" t="n">
        <v>121</v>
      </c>
      <c r="FY715" t="n">
        <v>72</v>
      </c>
      <c r="GA715" t="inlineStr"/>
      <c r="GD715" t="n">
        <v>1</v>
      </c>
      <c r="GF715" t="n">
        <v>635989612</v>
      </c>
      <c r="GG715" t="n">
        <v>2</v>
      </c>
      <c r="GH715" t="n">
        <v>1</v>
      </c>
      <c r="GI715" t="n">
        <v>2</v>
      </c>
      <c r="GJ715" t="n">
        <v>0</v>
      </c>
      <c r="GK715" t="n">
        <v>0</v>
      </c>
      <c r="GL715">
        <f>ROUND(IF(AND(BH715=3,BI715=3,FS715&lt;&gt;0),P715,0),0)</f>
        <v/>
      </c>
      <c r="GM715">
        <f>ROUND(O715+X715+Y715,0)+GX715</f>
        <v/>
      </c>
      <c r="GN715">
        <f>IF(OR(BI715=0,BI715=1),GM715-GX715,0)</f>
        <v/>
      </c>
      <c r="GO715">
        <f>IF(BI715=2,GM715-GX715,0)</f>
        <v/>
      </c>
      <c r="GP715">
        <f>IF(BI715=4,GM715-GX715,0)</f>
        <v/>
      </c>
      <c r="GR715" t="n">
        <v>0</v>
      </c>
      <c r="GS715" t="n">
        <v>3</v>
      </c>
      <c r="GT715" t="n">
        <v>0</v>
      </c>
      <c r="GU715" t="inlineStr"/>
      <c r="GV715">
        <f>ROUND((GT715),2)</f>
        <v/>
      </c>
      <c r="GW715" t="n">
        <v>1</v>
      </c>
      <c r="GX715">
        <f>ROUND(HC715*I715,0)</f>
        <v/>
      </c>
      <c r="HA715" t="n">
        <v>0</v>
      </c>
      <c r="HB715" t="n">
        <v>0</v>
      </c>
      <c r="HC715">
        <f>GV715*GW715</f>
        <v/>
      </c>
      <c r="HE715" t="inlineStr"/>
      <c r="HF715" t="inlineStr"/>
      <c r="HM715" t="inlineStr"/>
      <c r="HN715" t="inlineStr">
        <is>
          <t>Пр/812-016.0-1</t>
        </is>
      </c>
      <c r="HO715" t="inlineStr">
        <is>
          <t>Пр/774-016.0</t>
        </is>
      </c>
      <c r="HP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15" t="n">
        <v>0</v>
      </c>
      <c r="IK715" t="n">
        <v>0</v>
      </c>
    </row>
    <row r="716"/>
    <row r="717">
      <c r="A717" s="402" t="n">
        <v>51</v>
      </c>
      <c r="B717" s="402">
        <f>B708</f>
        <v/>
      </c>
      <c r="C717" s="402">
        <f>A708</f>
        <v/>
      </c>
      <c r="D717" s="402">
        <f>ROW(A708)</f>
        <v/>
      </c>
      <c r="E717" s="402" t="n"/>
      <c r="F717" s="402">
        <f>IF(F708&lt;&gt;"",F708,"")</f>
        <v/>
      </c>
      <c r="G717" s="402">
        <f>IF(G708&lt;&gt;"",G708,"")</f>
        <v/>
      </c>
      <c r="H717" s="402" t="n">
        <v>0</v>
      </c>
      <c r="I717" s="402" t="n"/>
      <c r="J717" s="402" t="n"/>
      <c r="K717" s="402" t="n"/>
      <c r="L717" s="402" t="n"/>
      <c r="M717" s="402" t="n"/>
      <c r="N717" s="402" t="n"/>
      <c r="O717" s="402" t="n">
        <v>0</v>
      </c>
      <c r="P717" s="402" t="n">
        <v>0</v>
      </c>
      <c r="Q717" s="402" t="n">
        <v>0</v>
      </c>
      <c r="R717" s="402" t="n">
        <v>0</v>
      </c>
      <c r="S717" s="402" t="n">
        <v>0</v>
      </c>
      <c r="T717" s="402" t="n">
        <v>0</v>
      </c>
      <c r="U717" s="402" t="n">
        <v>0</v>
      </c>
      <c r="V717" s="402" t="n">
        <v>0</v>
      </c>
      <c r="W717" s="402" t="n">
        <v>0</v>
      </c>
      <c r="X717" s="402" t="n">
        <v>0</v>
      </c>
      <c r="Y717" s="402" t="n">
        <v>0</v>
      </c>
      <c r="Z717" s="402" t="n"/>
      <c r="AA717" s="402" t="n"/>
      <c r="AB717" s="402" t="n"/>
      <c r="AC717" s="402" t="n"/>
      <c r="AD717" s="402" t="n"/>
      <c r="AE717" s="402" t="n"/>
      <c r="AF717" s="402" t="n"/>
      <c r="AG717" s="402" t="n"/>
      <c r="AH717" s="402" t="n"/>
      <c r="AI717" s="402" t="n"/>
      <c r="AJ717" s="402" t="n"/>
      <c r="AK717" s="402" t="n"/>
      <c r="AL717" s="402" t="n"/>
      <c r="AM717" s="402" t="n"/>
      <c r="AN717" s="402" t="n"/>
      <c r="AO717" s="402">
        <f>ROUND(BX717,0)</f>
        <v/>
      </c>
      <c r="AP717" s="402">
        <f>ROUND(BY717,0)</f>
        <v/>
      </c>
      <c r="AQ717" s="402">
        <f>ROUND(BZ717,0)</f>
        <v/>
      </c>
      <c r="AR717" s="402">
        <f>ROUND(CA717,0)</f>
        <v/>
      </c>
      <c r="AS717" s="402">
        <f>ROUND(CB717,0)</f>
        <v/>
      </c>
      <c r="AT717" s="402">
        <f>ROUND(CC717,0)</f>
        <v/>
      </c>
      <c r="AU717" s="402">
        <f>ROUND(CD717,0)</f>
        <v/>
      </c>
      <c r="AV717" s="402">
        <f>ROUND(CE717,0)</f>
        <v/>
      </c>
      <c r="AW717" s="402">
        <f>ROUND(CF717,0)</f>
        <v/>
      </c>
      <c r="AX717" s="402">
        <f>ROUND(CG717,0)</f>
        <v/>
      </c>
      <c r="AY717" s="402">
        <f>ROUND(CH717,0)</f>
        <v/>
      </c>
      <c r="AZ717" s="402">
        <f>ROUND(CI717,0)</f>
        <v/>
      </c>
      <c r="BA717" s="402">
        <f>ROUND(CJ717,0)</f>
        <v/>
      </c>
      <c r="BB717" s="402">
        <f>ROUND(CK717,0)</f>
        <v/>
      </c>
      <c r="BC717" s="402">
        <f>ROUND(CL717,0)</f>
        <v/>
      </c>
      <c r="BD717" s="402">
        <f>ROUND(CM717,0)</f>
        <v/>
      </c>
      <c r="BE717" s="402" t="n"/>
      <c r="BF717" s="402" t="n"/>
      <c r="BG717" s="402" t="n"/>
      <c r="BH717" s="402" t="n"/>
      <c r="BI717" s="402" t="n"/>
      <c r="BJ717" s="402" t="n"/>
      <c r="BK717" s="402" t="n"/>
      <c r="BL717" s="402" t="n"/>
      <c r="BM717" s="402" t="n"/>
      <c r="BN717" s="402" t="n"/>
      <c r="BO717" s="402" t="n"/>
      <c r="BP717" s="402" t="n"/>
      <c r="BQ717" s="402" t="n"/>
      <c r="BR717" s="402" t="n"/>
      <c r="BS717" s="402" t="n"/>
      <c r="BT717" s="402" t="n"/>
      <c r="BU717" s="402" t="n"/>
      <c r="BV717" s="402" t="n"/>
      <c r="BW717" s="402" t="n"/>
      <c r="BX717" s="402" t="n"/>
      <c r="BY717" s="402" t="n"/>
      <c r="BZ717" s="402" t="n"/>
      <c r="CA717" s="402" t="n"/>
      <c r="CB717" s="402" t="n"/>
      <c r="CC717" s="402" t="n"/>
      <c r="CD717" s="402" t="n"/>
      <c r="CE717" s="402" t="n"/>
      <c r="CF717" s="402" t="n"/>
      <c r="CG717" s="402" t="n"/>
      <c r="CH717" s="402" t="n"/>
      <c r="CI717" s="402" t="n"/>
      <c r="CJ717" s="402" t="n"/>
      <c r="CK717" s="402" t="n"/>
      <c r="CL717" s="402" t="n"/>
      <c r="CM717" s="402" t="n"/>
      <c r="CN717" s="402" t="n"/>
      <c r="CO717" s="402" t="n"/>
      <c r="CP717" s="402" t="n"/>
      <c r="CQ717" s="402" t="n"/>
      <c r="CR717" s="402" t="n"/>
      <c r="CS717" s="402" t="n"/>
      <c r="CT717" s="402" t="n"/>
      <c r="CU717" s="402" t="n"/>
      <c r="CV717" s="402" t="n"/>
      <c r="CW717" s="402" t="n"/>
      <c r="CX717" s="402" t="n"/>
      <c r="CY717" s="402" t="n"/>
      <c r="CZ717" s="402" t="n"/>
      <c r="DA717" s="402" t="n"/>
      <c r="DB717" s="402" t="n"/>
      <c r="DC717" s="402" t="n"/>
      <c r="DD717" s="402" t="n"/>
      <c r="DE717" s="402" t="n"/>
      <c r="DF717" s="402" t="n"/>
      <c r="DG717" s="403" t="n"/>
      <c r="DH717" s="403" t="n"/>
      <c r="DI717" s="403" t="n"/>
      <c r="DJ717" s="403" t="n"/>
      <c r="DK717" s="403" t="n"/>
      <c r="DL717" s="403" t="n"/>
      <c r="DM717" s="403" t="n"/>
      <c r="DN717" s="403" t="n"/>
      <c r="DO717" s="403" t="n"/>
      <c r="DP717" s="403" t="n"/>
      <c r="DQ717" s="403" t="n"/>
      <c r="DR717" s="403" t="n"/>
      <c r="DS717" s="403" t="n"/>
      <c r="DT717" s="403" t="n"/>
      <c r="DU717" s="403" t="n"/>
      <c r="DV717" s="403" t="n"/>
      <c r="DW717" s="403" t="n"/>
      <c r="DX717" s="403" t="n"/>
      <c r="DY717" s="403" t="n"/>
      <c r="DZ717" s="403" t="n"/>
      <c r="EA717" s="403" t="n"/>
      <c r="EB717" s="403" t="n"/>
      <c r="EC717" s="403" t="n"/>
      <c r="ED717" s="403" t="n"/>
      <c r="EE717" s="403" t="n"/>
      <c r="EF717" s="403" t="n"/>
      <c r="EG717" s="403" t="n"/>
      <c r="EH717" s="403" t="n"/>
      <c r="EI717" s="403" t="n"/>
      <c r="EJ717" s="403" t="n"/>
      <c r="EK717" s="403" t="n"/>
      <c r="EL717" s="403" t="n"/>
      <c r="EM717" s="403" t="n"/>
      <c r="EN717" s="403" t="n"/>
      <c r="EO717" s="403" t="n"/>
      <c r="EP717" s="403" t="n"/>
      <c r="EQ717" s="403" t="n"/>
      <c r="ER717" s="403" t="n"/>
      <c r="ES717" s="403" t="n"/>
      <c r="ET717" s="403" t="n"/>
      <c r="EU717" s="403" t="n"/>
      <c r="EV717" s="403" t="n"/>
      <c r="EW717" s="403" t="n"/>
      <c r="EX717" s="403" t="n"/>
      <c r="EY717" s="403" t="n"/>
      <c r="EZ717" s="403" t="n"/>
      <c r="FA717" s="403" t="n"/>
      <c r="FB717" s="403" t="n"/>
      <c r="FC717" s="403" t="n"/>
      <c r="FD717" s="403" t="n"/>
      <c r="FE717" s="403" t="n"/>
      <c r="FF717" s="403" t="n"/>
      <c r="FG717" s="403" t="n"/>
      <c r="FH717" s="403" t="n"/>
      <c r="FI717" s="403" t="n"/>
      <c r="FJ717" s="403" t="n"/>
      <c r="FK717" s="403" t="n"/>
      <c r="FL717" s="403" t="n"/>
      <c r="FM717" s="403" t="n"/>
      <c r="FN717" s="403" t="n"/>
      <c r="FO717" s="403" t="n"/>
      <c r="FP717" s="403" t="n"/>
      <c r="FQ717" s="403" t="n"/>
      <c r="FR717" s="403" t="n"/>
      <c r="FS717" s="403" t="n"/>
      <c r="FT717" s="403" t="n"/>
      <c r="FU717" s="403" t="n"/>
      <c r="FV717" s="403" t="n"/>
      <c r="FW717" s="403" t="n"/>
      <c r="FX717" s="403" t="n"/>
      <c r="FY717" s="403" t="n"/>
      <c r="FZ717" s="403" t="n"/>
      <c r="GA717" s="403" t="n"/>
      <c r="GB717" s="403" t="n"/>
      <c r="GC717" s="403" t="n"/>
      <c r="GD717" s="403" t="n"/>
      <c r="GE717" s="403" t="n"/>
      <c r="GF717" s="403" t="n"/>
      <c r="GG717" s="403" t="n"/>
      <c r="GH717" s="403" t="n"/>
      <c r="GI717" s="403" t="n"/>
      <c r="GJ717" s="403" t="n"/>
      <c r="GK717" s="403" t="n"/>
      <c r="GL717" s="403" t="n"/>
      <c r="GM717" s="403" t="n"/>
      <c r="GN717" s="403" t="n"/>
      <c r="GO717" s="403" t="n"/>
      <c r="GP717" s="403" t="n"/>
      <c r="GQ717" s="403" t="n"/>
      <c r="GR717" s="403" t="n"/>
      <c r="GS717" s="403" t="n"/>
      <c r="GT717" s="403" t="n"/>
      <c r="GU717" s="403" t="n"/>
      <c r="GV717" s="403" t="n"/>
      <c r="GW717" s="403" t="n"/>
      <c r="GX717" s="403" t="n">
        <v>0</v>
      </c>
    </row>
    <row r="718"/>
    <row r="719">
      <c r="A719" s="404" t="n">
        <v>50</v>
      </c>
      <c r="B719" s="404" t="n">
        <v>0</v>
      </c>
      <c r="C719" s="404" t="n">
        <v>0</v>
      </c>
      <c r="D719" s="404" t="n">
        <v>1</v>
      </c>
      <c r="E719" s="404" t="n">
        <v>201</v>
      </c>
      <c r="F719" s="404">
        <f>ROUND(Source!O717,O719)</f>
        <v/>
      </c>
      <c r="G719" s="404" t="inlineStr">
        <is>
          <t>ПЗ</t>
        </is>
      </c>
      <c r="H719" s="404" t="inlineStr">
        <is>
          <t>Прямые затраты</t>
        </is>
      </c>
      <c r="I719" s="404" t="n"/>
      <c r="J719" s="404" t="n"/>
      <c r="K719" s="404" t="n">
        <v>201</v>
      </c>
      <c r="L719" s="404" t="n">
        <v>1</v>
      </c>
      <c r="M719" s="404" t="n">
        <v>3</v>
      </c>
      <c r="N719" s="404" t="inlineStr"/>
      <c r="O719" s="404" t="n">
        <v>0</v>
      </c>
      <c r="P719" s="404" t="n"/>
      <c r="Q719" s="404" t="n"/>
      <c r="R719" s="404" t="n"/>
      <c r="S719" s="404" t="n"/>
      <c r="T719" s="404" t="n"/>
      <c r="U719" s="404" t="n"/>
      <c r="V719" s="404" t="n"/>
      <c r="W719" s="404" t="n">
        <v>0</v>
      </c>
      <c r="X719" s="404" t="n">
        <v>1</v>
      </c>
      <c r="Y719" s="404" t="n">
        <v>0</v>
      </c>
      <c r="Z719" s="404" t="n"/>
      <c r="AA719" s="404" t="n"/>
      <c r="AB719" s="404" t="n"/>
    </row>
    <row r="720">
      <c r="A720" s="404" t="n">
        <v>50</v>
      </c>
      <c r="B720" s="404" t="n">
        <v>0</v>
      </c>
      <c r="C720" s="404" t="n">
        <v>0</v>
      </c>
      <c r="D720" s="404" t="n">
        <v>1</v>
      </c>
      <c r="E720" s="404" t="n">
        <v>202</v>
      </c>
      <c r="F720" s="404">
        <f>ROUND(Source!P717,O720)</f>
        <v/>
      </c>
      <c r="G720" s="404" t="inlineStr">
        <is>
          <t>СтМатОб</t>
        </is>
      </c>
      <c r="H720" s="404" t="inlineStr">
        <is>
          <t>Стоимость материальных ресурсов (всего)</t>
        </is>
      </c>
      <c r="I720" s="404" t="n"/>
      <c r="J720" s="404" t="n"/>
      <c r="K720" s="404" t="n">
        <v>202</v>
      </c>
      <c r="L720" s="404" t="n">
        <v>2</v>
      </c>
      <c r="M720" s="404" t="n">
        <v>3</v>
      </c>
      <c r="N720" s="404" t="inlineStr"/>
      <c r="O720" s="404" t="n">
        <v>0</v>
      </c>
      <c r="P720" s="404" t="n"/>
      <c r="Q720" s="404" t="n"/>
      <c r="R720" s="404" t="n"/>
      <c r="S720" s="404" t="n"/>
      <c r="T720" s="404" t="n"/>
      <c r="U720" s="404" t="n"/>
      <c r="V720" s="404" t="n"/>
      <c r="W720" s="404" t="n">
        <v>0</v>
      </c>
      <c r="X720" s="404" t="n">
        <v>1</v>
      </c>
      <c r="Y720" s="404" t="n">
        <v>0</v>
      </c>
      <c r="Z720" s="404" t="n"/>
      <c r="AA720" s="404" t="n"/>
      <c r="AB720" s="404" t="n"/>
    </row>
    <row r="721">
      <c r="A721" s="404" t="n">
        <v>50</v>
      </c>
      <c r="B721" s="404" t="n">
        <v>0</v>
      </c>
      <c r="C721" s="404" t="n">
        <v>0</v>
      </c>
      <c r="D721" s="404" t="n">
        <v>1</v>
      </c>
      <c r="E721" s="404" t="n">
        <v>222</v>
      </c>
      <c r="F721" s="404">
        <f>ROUND(Source!AO717,O721)</f>
        <v/>
      </c>
      <c r="G721" s="404" t="inlineStr">
        <is>
          <t>СтМатОбЗак</t>
        </is>
      </c>
      <c r="H721" s="404" t="inlineStr">
        <is>
          <t>Стоимость материалов и оборудования заказчика</t>
        </is>
      </c>
      <c r="I721" s="404" t="n"/>
      <c r="J721" s="404" t="n"/>
      <c r="K721" s="404" t="n">
        <v>222</v>
      </c>
      <c r="L721" s="404" t="n">
        <v>3</v>
      </c>
      <c r="M721" s="404" t="n">
        <v>3</v>
      </c>
      <c r="N721" s="404" t="inlineStr"/>
      <c r="O721" s="404" t="n">
        <v>0</v>
      </c>
      <c r="P721" s="404" t="n"/>
      <c r="Q721" s="404" t="n"/>
      <c r="R721" s="404" t="n"/>
      <c r="S721" s="404" t="n"/>
      <c r="T721" s="404" t="n"/>
      <c r="U721" s="404" t="n"/>
      <c r="V721" s="404" t="n"/>
      <c r="W721" s="404" t="n">
        <v>0</v>
      </c>
      <c r="X721" s="404" t="n">
        <v>1</v>
      </c>
      <c r="Y721" s="404" t="n">
        <v>0</v>
      </c>
      <c r="Z721" s="404" t="n"/>
      <c r="AA721" s="404" t="n"/>
      <c r="AB721" s="404" t="n"/>
    </row>
    <row r="722">
      <c r="A722" s="404" t="n">
        <v>50</v>
      </c>
      <c r="B722" s="404" t="n">
        <v>0</v>
      </c>
      <c r="C722" s="404" t="n">
        <v>0</v>
      </c>
      <c r="D722" s="404" t="n">
        <v>1</v>
      </c>
      <c r="E722" s="404" t="n">
        <v>225</v>
      </c>
      <c r="F722" s="404">
        <f>ROUND(Source!AV717,O722)</f>
        <v/>
      </c>
      <c r="G722" s="404" t="inlineStr">
        <is>
          <t>СтМатОбПод</t>
        </is>
      </c>
      <c r="H722" s="404" t="inlineStr">
        <is>
          <t>Стоимость материалов и оборудования подрядчика</t>
        </is>
      </c>
      <c r="I722" s="404" t="n"/>
      <c r="J722" s="404" t="n"/>
      <c r="K722" s="404" t="n">
        <v>225</v>
      </c>
      <c r="L722" s="404" t="n">
        <v>4</v>
      </c>
      <c r="M722" s="404" t="n">
        <v>3</v>
      </c>
      <c r="N722" s="404" t="inlineStr"/>
      <c r="O722" s="404" t="n">
        <v>0</v>
      </c>
      <c r="P722" s="404" t="n"/>
      <c r="Q722" s="404" t="n"/>
      <c r="R722" s="404" t="n"/>
      <c r="S722" s="404" t="n"/>
      <c r="T722" s="404" t="n"/>
      <c r="U722" s="404" t="n"/>
      <c r="V722" s="404" t="n"/>
      <c r="W722" s="404" t="n">
        <v>0</v>
      </c>
      <c r="X722" s="404" t="n">
        <v>1</v>
      </c>
      <c r="Y722" s="404" t="n">
        <v>0</v>
      </c>
      <c r="Z722" s="404" t="n"/>
      <c r="AA722" s="404" t="n"/>
      <c r="AB722" s="404" t="n"/>
    </row>
    <row r="723">
      <c r="A723" s="404" t="n">
        <v>50</v>
      </c>
      <c r="B723" s="404" t="n">
        <v>0</v>
      </c>
      <c r="C723" s="404" t="n">
        <v>0</v>
      </c>
      <c r="D723" s="404" t="n">
        <v>1</v>
      </c>
      <c r="E723" s="404" t="n">
        <v>226</v>
      </c>
      <c r="F723" s="404">
        <f>ROUND(Source!AW717,O723)</f>
        <v/>
      </c>
      <c r="G723" s="404" t="inlineStr">
        <is>
          <t>СтМат</t>
        </is>
      </c>
      <c r="H723" s="404" t="inlineStr">
        <is>
          <t>Стоимость материалов (всего)</t>
        </is>
      </c>
      <c r="I723" s="404" t="n"/>
      <c r="J723" s="404" t="n"/>
      <c r="K723" s="404" t="n">
        <v>226</v>
      </c>
      <c r="L723" s="404" t="n">
        <v>5</v>
      </c>
      <c r="M723" s="404" t="n">
        <v>3</v>
      </c>
      <c r="N723" s="404" t="inlineStr"/>
      <c r="O723" s="404" t="n">
        <v>0</v>
      </c>
      <c r="P723" s="404" t="n"/>
      <c r="Q723" s="404" t="n"/>
      <c r="R723" s="404" t="n"/>
      <c r="S723" s="404" t="n"/>
      <c r="T723" s="404" t="n"/>
      <c r="U723" s="404" t="n"/>
      <c r="V723" s="404" t="n"/>
      <c r="W723" s="404" t="n">
        <v>0</v>
      </c>
      <c r="X723" s="404" t="n">
        <v>1</v>
      </c>
      <c r="Y723" s="404" t="n">
        <v>0</v>
      </c>
      <c r="Z723" s="404" t="n"/>
      <c r="AA723" s="404" t="n"/>
      <c r="AB723" s="404" t="n"/>
    </row>
    <row r="724">
      <c r="A724" s="404" t="n">
        <v>50</v>
      </c>
      <c r="B724" s="404" t="n">
        <v>0</v>
      </c>
      <c r="C724" s="404" t="n">
        <v>0</v>
      </c>
      <c r="D724" s="404" t="n">
        <v>1</v>
      </c>
      <c r="E724" s="404" t="n">
        <v>227</v>
      </c>
      <c r="F724" s="404">
        <f>ROUND(Source!AX717,O724)</f>
        <v/>
      </c>
      <c r="G724" s="404" t="inlineStr">
        <is>
          <t>СтМатЗак</t>
        </is>
      </c>
      <c r="H724" s="404" t="inlineStr">
        <is>
          <t>Стоимость материалов заказчика</t>
        </is>
      </c>
      <c r="I724" s="404" t="n"/>
      <c r="J724" s="404" t="n"/>
      <c r="K724" s="404" t="n">
        <v>227</v>
      </c>
      <c r="L724" s="404" t="n">
        <v>6</v>
      </c>
      <c r="M724" s="404" t="n">
        <v>3</v>
      </c>
      <c r="N724" s="404" t="inlineStr"/>
      <c r="O724" s="404" t="n">
        <v>0</v>
      </c>
      <c r="P724" s="404" t="n"/>
      <c r="Q724" s="404" t="n"/>
      <c r="R724" s="404" t="n"/>
      <c r="S724" s="404" t="n"/>
      <c r="T724" s="404" t="n"/>
      <c r="U724" s="404" t="n"/>
      <c r="V724" s="404" t="n"/>
      <c r="W724" s="404" t="n">
        <v>0</v>
      </c>
      <c r="X724" s="404" t="n">
        <v>1</v>
      </c>
      <c r="Y724" s="404" t="n">
        <v>0</v>
      </c>
      <c r="Z724" s="404" t="n"/>
      <c r="AA724" s="404" t="n"/>
      <c r="AB724" s="404" t="n"/>
    </row>
    <row r="725">
      <c r="A725" s="404" t="n">
        <v>50</v>
      </c>
      <c r="B725" s="404" t="n">
        <v>0</v>
      </c>
      <c r="C725" s="404" t="n">
        <v>0</v>
      </c>
      <c r="D725" s="404" t="n">
        <v>1</v>
      </c>
      <c r="E725" s="404" t="n">
        <v>228</v>
      </c>
      <c r="F725" s="404">
        <f>ROUND(Source!AY717,O725)</f>
        <v/>
      </c>
      <c r="G725" s="404" t="inlineStr">
        <is>
          <t>СтМатПод</t>
        </is>
      </c>
      <c r="H725" s="404" t="inlineStr">
        <is>
          <t>Стоимость материалов подрядчика</t>
        </is>
      </c>
      <c r="I725" s="404" t="n"/>
      <c r="J725" s="404" t="n"/>
      <c r="K725" s="404" t="n">
        <v>228</v>
      </c>
      <c r="L725" s="404" t="n">
        <v>7</v>
      </c>
      <c r="M725" s="404" t="n">
        <v>3</v>
      </c>
      <c r="N725" s="404" t="inlineStr"/>
      <c r="O725" s="404" t="n">
        <v>0</v>
      </c>
      <c r="P725" s="404" t="n"/>
      <c r="Q725" s="404" t="n"/>
      <c r="R725" s="404" t="n"/>
      <c r="S725" s="404" t="n"/>
      <c r="T725" s="404" t="n"/>
      <c r="U725" s="404" t="n"/>
      <c r="V725" s="404" t="n"/>
      <c r="W725" s="404" t="n">
        <v>0</v>
      </c>
      <c r="X725" s="404" t="n">
        <v>1</v>
      </c>
      <c r="Y725" s="404" t="n">
        <v>0</v>
      </c>
      <c r="Z725" s="404" t="n"/>
      <c r="AA725" s="404" t="n"/>
      <c r="AB725" s="404" t="n"/>
    </row>
    <row r="726">
      <c r="A726" s="404" t="n">
        <v>50</v>
      </c>
      <c r="B726" s="404" t="n">
        <v>0</v>
      </c>
      <c r="C726" s="404" t="n">
        <v>0</v>
      </c>
      <c r="D726" s="404" t="n">
        <v>1</v>
      </c>
      <c r="E726" s="404" t="n">
        <v>216</v>
      </c>
      <c r="F726" s="404">
        <f>ROUND(Source!AP717,O726)</f>
        <v/>
      </c>
      <c r="G726" s="404" t="inlineStr">
        <is>
          <t>Оборуд</t>
        </is>
      </c>
      <c r="H726" s="404" t="inlineStr">
        <is>
          <t>Стоимость оборудования (всего)</t>
        </is>
      </c>
      <c r="I726" s="404" t="n"/>
      <c r="J726" s="404" t="n"/>
      <c r="K726" s="404" t="n">
        <v>216</v>
      </c>
      <c r="L726" s="404" t="n">
        <v>8</v>
      </c>
      <c r="M726" s="404" t="n">
        <v>3</v>
      </c>
      <c r="N726" s="404" t="inlineStr"/>
      <c r="O726" s="404" t="n">
        <v>0</v>
      </c>
      <c r="P726" s="404" t="n"/>
      <c r="Q726" s="404" t="n"/>
      <c r="R726" s="404" t="n"/>
      <c r="S726" s="404" t="n"/>
      <c r="T726" s="404" t="n"/>
      <c r="U726" s="404" t="n"/>
      <c r="V726" s="404" t="n"/>
      <c r="W726" s="404" t="n">
        <v>0</v>
      </c>
      <c r="X726" s="404" t="n">
        <v>1</v>
      </c>
      <c r="Y726" s="404" t="n">
        <v>0</v>
      </c>
      <c r="Z726" s="404" t="n"/>
      <c r="AA726" s="404" t="n"/>
      <c r="AB726" s="404" t="n"/>
    </row>
    <row r="727">
      <c r="A727" s="404" t="n">
        <v>50</v>
      </c>
      <c r="B727" s="404" t="n">
        <v>0</v>
      </c>
      <c r="C727" s="404" t="n">
        <v>0</v>
      </c>
      <c r="D727" s="404" t="n">
        <v>1</v>
      </c>
      <c r="E727" s="404" t="n">
        <v>223</v>
      </c>
      <c r="F727" s="404">
        <f>ROUND(Source!AQ717,O727)</f>
        <v/>
      </c>
      <c r="G727" s="404" t="inlineStr">
        <is>
          <t>ОборудЗак</t>
        </is>
      </c>
      <c r="H727" s="404" t="inlineStr">
        <is>
          <t>Стоимость оборудования заказчика</t>
        </is>
      </c>
      <c r="I727" s="404" t="n"/>
      <c r="J727" s="404" t="n"/>
      <c r="K727" s="404" t="n">
        <v>223</v>
      </c>
      <c r="L727" s="404" t="n">
        <v>9</v>
      </c>
      <c r="M727" s="404" t="n">
        <v>3</v>
      </c>
      <c r="N727" s="404" t="inlineStr"/>
      <c r="O727" s="404" t="n">
        <v>0</v>
      </c>
      <c r="P727" s="404" t="n"/>
      <c r="Q727" s="404" t="n"/>
      <c r="R727" s="404" t="n"/>
      <c r="S727" s="404" t="n"/>
      <c r="T727" s="404" t="n"/>
      <c r="U727" s="404" t="n"/>
      <c r="V727" s="404" t="n"/>
      <c r="W727" s="404" t="n">
        <v>0</v>
      </c>
      <c r="X727" s="404" t="n">
        <v>1</v>
      </c>
      <c r="Y727" s="404" t="n">
        <v>0</v>
      </c>
      <c r="Z727" s="404" t="n"/>
      <c r="AA727" s="404" t="n"/>
      <c r="AB727" s="404" t="n"/>
    </row>
    <row r="728">
      <c r="A728" s="404" t="n">
        <v>50</v>
      </c>
      <c r="B728" s="404" t="n">
        <v>0</v>
      </c>
      <c r="C728" s="404" t="n">
        <v>0</v>
      </c>
      <c r="D728" s="404" t="n">
        <v>1</v>
      </c>
      <c r="E728" s="404" t="n">
        <v>229</v>
      </c>
      <c r="F728" s="404">
        <f>ROUND(Source!AZ717,O728)</f>
        <v/>
      </c>
      <c r="G728" s="404" t="inlineStr">
        <is>
          <t>ОборудПод</t>
        </is>
      </c>
      <c r="H728" s="404" t="inlineStr">
        <is>
          <t>Стоимость оборудования подрядчика</t>
        </is>
      </c>
      <c r="I728" s="404" t="n"/>
      <c r="J728" s="404" t="n"/>
      <c r="K728" s="404" t="n">
        <v>229</v>
      </c>
      <c r="L728" s="404" t="n">
        <v>10</v>
      </c>
      <c r="M728" s="404" t="n">
        <v>3</v>
      </c>
      <c r="N728" s="404" t="inlineStr"/>
      <c r="O728" s="404" t="n">
        <v>0</v>
      </c>
      <c r="P728" s="404" t="n"/>
      <c r="Q728" s="404" t="n"/>
      <c r="R728" s="404" t="n"/>
      <c r="S728" s="404" t="n"/>
      <c r="T728" s="404" t="n"/>
      <c r="U728" s="404" t="n"/>
      <c r="V728" s="404" t="n"/>
      <c r="W728" s="404" t="n">
        <v>0</v>
      </c>
      <c r="X728" s="404" t="n">
        <v>1</v>
      </c>
      <c r="Y728" s="404" t="n">
        <v>0</v>
      </c>
      <c r="Z728" s="404" t="n"/>
      <c r="AA728" s="404" t="n"/>
      <c r="AB728" s="404" t="n"/>
    </row>
    <row r="729">
      <c r="A729" s="404" t="n">
        <v>50</v>
      </c>
      <c r="B729" s="404" t="n">
        <v>0</v>
      </c>
      <c r="C729" s="404" t="n">
        <v>0</v>
      </c>
      <c r="D729" s="404" t="n">
        <v>1</v>
      </c>
      <c r="E729" s="404" t="n">
        <v>203</v>
      </c>
      <c r="F729" s="404">
        <f>ROUND(Source!Q717,O729)</f>
        <v/>
      </c>
      <c r="G729" s="404" t="inlineStr">
        <is>
          <t>ЭММ</t>
        </is>
      </c>
      <c r="H729" s="404" t="inlineStr">
        <is>
          <t>Эксплуатация машин</t>
        </is>
      </c>
      <c r="I729" s="404" t="n"/>
      <c r="J729" s="404" t="n"/>
      <c r="K729" s="404" t="n">
        <v>203</v>
      </c>
      <c r="L729" s="404" t="n">
        <v>11</v>
      </c>
      <c r="M729" s="404" t="n">
        <v>3</v>
      </c>
      <c r="N729" s="404" t="inlineStr"/>
      <c r="O729" s="404" t="n">
        <v>0</v>
      </c>
      <c r="P729" s="404" t="n"/>
      <c r="Q729" s="404" t="n"/>
      <c r="R729" s="404" t="n"/>
      <c r="S729" s="404" t="n"/>
      <c r="T729" s="404" t="n"/>
      <c r="U729" s="404" t="n"/>
      <c r="V729" s="404" t="n"/>
      <c r="W729" s="404" t="n">
        <v>0</v>
      </c>
      <c r="X729" s="404" t="n">
        <v>1</v>
      </c>
      <c r="Y729" s="404" t="n">
        <v>0</v>
      </c>
      <c r="Z729" s="404" t="n"/>
      <c r="AA729" s="404" t="n"/>
      <c r="AB729" s="404" t="n"/>
    </row>
    <row r="730">
      <c r="A730" s="404" t="n">
        <v>50</v>
      </c>
      <c r="B730" s="404" t="n">
        <v>0</v>
      </c>
      <c r="C730" s="404" t="n">
        <v>0</v>
      </c>
      <c r="D730" s="404" t="n">
        <v>1</v>
      </c>
      <c r="E730" s="404" t="n">
        <v>231</v>
      </c>
      <c r="F730" s="404">
        <f>ROUND(Source!BB717,O730)</f>
        <v/>
      </c>
      <c r="G730" s="404" t="inlineStr">
        <is>
          <t>ЭММсНРиСП</t>
        </is>
      </c>
      <c r="H730" s="404" t="inlineStr">
        <is>
          <t>Эксплуатация машин по ТСН-2001.16</t>
        </is>
      </c>
      <c r="I730" s="404" t="n"/>
      <c r="J730" s="404" t="n"/>
      <c r="K730" s="404" t="n">
        <v>231</v>
      </c>
      <c r="L730" s="404" t="n">
        <v>12</v>
      </c>
      <c r="M730" s="404" t="n">
        <v>3</v>
      </c>
      <c r="N730" s="404" t="inlineStr"/>
      <c r="O730" s="404" t="n">
        <v>0</v>
      </c>
      <c r="P730" s="404" t="n"/>
      <c r="Q730" s="404" t="n"/>
      <c r="R730" s="404" t="n"/>
      <c r="S730" s="404" t="n"/>
      <c r="T730" s="404" t="n"/>
      <c r="U730" s="404" t="n"/>
      <c r="V730" s="404" t="n"/>
      <c r="W730" s="404" t="n">
        <v>0</v>
      </c>
      <c r="X730" s="404" t="n">
        <v>1</v>
      </c>
      <c r="Y730" s="404" t="n">
        <v>0</v>
      </c>
      <c r="Z730" s="404" t="n"/>
      <c r="AA730" s="404" t="n"/>
      <c r="AB730" s="404" t="n"/>
    </row>
    <row r="731">
      <c r="A731" s="404" t="n">
        <v>50</v>
      </c>
      <c r="B731" s="404" t="n">
        <v>0</v>
      </c>
      <c r="C731" s="404" t="n">
        <v>0</v>
      </c>
      <c r="D731" s="404" t="n">
        <v>1</v>
      </c>
      <c r="E731" s="404" t="n">
        <v>204</v>
      </c>
      <c r="F731" s="404">
        <f>ROUND(Source!R717,O731)</f>
        <v/>
      </c>
      <c r="G731" s="404" t="inlineStr">
        <is>
          <t>ЗПМ</t>
        </is>
      </c>
      <c r="H731" s="404" t="inlineStr">
        <is>
          <t>ЗП машинистов</t>
        </is>
      </c>
      <c r="I731" s="404" t="n"/>
      <c r="J731" s="404" t="n"/>
      <c r="K731" s="404" t="n">
        <v>204</v>
      </c>
      <c r="L731" s="404" t="n">
        <v>13</v>
      </c>
      <c r="M731" s="404" t="n">
        <v>3</v>
      </c>
      <c r="N731" s="404" t="inlineStr"/>
      <c r="O731" s="404" t="n">
        <v>0</v>
      </c>
      <c r="P731" s="404" t="n"/>
      <c r="Q731" s="404" t="n"/>
      <c r="R731" s="404" t="n"/>
      <c r="S731" s="404" t="n"/>
      <c r="T731" s="404" t="n"/>
      <c r="U731" s="404" t="n"/>
      <c r="V731" s="404" t="n"/>
      <c r="W731" s="404" t="n">
        <v>0</v>
      </c>
      <c r="X731" s="404" t="n">
        <v>1</v>
      </c>
      <c r="Y731" s="404" t="n">
        <v>0</v>
      </c>
      <c r="Z731" s="404" t="n"/>
      <c r="AA731" s="404" t="n"/>
      <c r="AB731" s="404" t="n"/>
    </row>
    <row r="732">
      <c r="A732" s="404" t="n">
        <v>50</v>
      </c>
      <c r="B732" s="404" t="n">
        <v>0</v>
      </c>
      <c r="C732" s="404" t="n">
        <v>0</v>
      </c>
      <c r="D732" s="404" t="n">
        <v>1</v>
      </c>
      <c r="E732" s="404" t="n">
        <v>205</v>
      </c>
      <c r="F732" s="404">
        <f>ROUND(Source!S717,O732)</f>
        <v/>
      </c>
      <c r="G732" s="404" t="inlineStr">
        <is>
          <t>ОЗП</t>
        </is>
      </c>
      <c r="H732" s="404" t="inlineStr">
        <is>
          <t>Основная ЗП рабочих</t>
        </is>
      </c>
      <c r="I732" s="404" t="n"/>
      <c r="J732" s="404" t="n"/>
      <c r="K732" s="404" t="n">
        <v>205</v>
      </c>
      <c r="L732" s="404" t="n">
        <v>14</v>
      </c>
      <c r="M732" s="404" t="n">
        <v>3</v>
      </c>
      <c r="N732" s="404" t="inlineStr"/>
      <c r="O732" s="404" t="n">
        <v>0</v>
      </c>
      <c r="P732" s="404" t="n"/>
      <c r="Q732" s="404" t="n"/>
      <c r="R732" s="404" t="n"/>
      <c r="S732" s="404" t="n"/>
      <c r="T732" s="404" t="n"/>
      <c r="U732" s="404" t="n"/>
      <c r="V732" s="404" t="n"/>
      <c r="W732" s="404" t="n">
        <v>0</v>
      </c>
      <c r="X732" s="404" t="n">
        <v>1</v>
      </c>
      <c r="Y732" s="404" t="n">
        <v>0</v>
      </c>
      <c r="Z732" s="404" t="n"/>
      <c r="AA732" s="404" t="n"/>
      <c r="AB732" s="404" t="n"/>
    </row>
    <row r="733">
      <c r="A733" s="404" t="n">
        <v>50</v>
      </c>
      <c r="B733" s="404" t="n">
        <v>0</v>
      </c>
      <c r="C733" s="404" t="n">
        <v>0</v>
      </c>
      <c r="D733" s="404" t="n">
        <v>1</v>
      </c>
      <c r="E733" s="404" t="n">
        <v>232</v>
      </c>
      <c r="F733" s="404">
        <f>ROUND(Source!BC717,O733)</f>
        <v/>
      </c>
      <c r="G733" s="404" t="inlineStr">
        <is>
          <t>ОЗПсНРиСП</t>
        </is>
      </c>
      <c r="H733" s="404" t="inlineStr">
        <is>
          <t>Основная ЗП рабочих по ТСН-2001.16</t>
        </is>
      </c>
      <c r="I733" s="404" t="n"/>
      <c r="J733" s="404" t="n"/>
      <c r="K733" s="404" t="n">
        <v>232</v>
      </c>
      <c r="L733" s="404" t="n">
        <v>15</v>
      </c>
      <c r="M733" s="404" t="n">
        <v>3</v>
      </c>
      <c r="N733" s="404" t="inlineStr"/>
      <c r="O733" s="404" t="n">
        <v>0</v>
      </c>
      <c r="P733" s="404" t="n"/>
      <c r="Q733" s="404" t="n"/>
      <c r="R733" s="404" t="n"/>
      <c r="S733" s="404" t="n"/>
      <c r="T733" s="404" t="n"/>
      <c r="U733" s="404" t="n"/>
      <c r="V733" s="404" t="n"/>
      <c r="W733" s="404" t="n">
        <v>0</v>
      </c>
      <c r="X733" s="404" t="n">
        <v>1</v>
      </c>
      <c r="Y733" s="404" t="n">
        <v>0</v>
      </c>
      <c r="Z733" s="404" t="n"/>
      <c r="AA733" s="404" t="n"/>
      <c r="AB733" s="404" t="n"/>
    </row>
    <row r="734">
      <c r="A734" s="404" t="n">
        <v>50</v>
      </c>
      <c r="B734" s="404" t="n">
        <v>0</v>
      </c>
      <c r="C734" s="404" t="n">
        <v>0</v>
      </c>
      <c r="D734" s="404" t="n">
        <v>1</v>
      </c>
      <c r="E734" s="404" t="n">
        <v>214</v>
      </c>
      <c r="F734" s="404">
        <f>ROUND(Source!AS717,O734)</f>
        <v/>
      </c>
      <c r="G734" s="404" t="inlineStr">
        <is>
          <t>Строит</t>
        </is>
      </c>
      <c r="H734" s="404" t="inlineStr">
        <is>
          <t>Строительные работы с НР и СП</t>
        </is>
      </c>
      <c r="I734" s="404" t="n"/>
      <c r="J734" s="404" t="n"/>
      <c r="K734" s="404" t="n">
        <v>214</v>
      </c>
      <c r="L734" s="404" t="n">
        <v>16</v>
      </c>
      <c r="M734" s="404" t="n">
        <v>3</v>
      </c>
      <c r="N734" s="404" t="inlineStr"/>
      <c r="O734" s="404" t="n">
        <v>0</v>
      </c>
      <c r="P734" s="404" t="n"/>
      <c r="Q734" s="404" t="n"/>
      <c r="R734" s="404" t="n"/>
      <c r="S734" s="404" t="n"/>
      <c r="T734" s="404" t="n"/>
      <c r="U734" s="404" t="n"/>
      <c r="V734" s="404" t="n"/>
      <c r="W734" s="404" t="n">
        <v>0</v>
      </c>
      <c r="X734" s="404" t="n">
        <v>1</v>
      </c>
      <c r="Y734" s="404" t="n">
        <v>0</v>
      </c>
      <c r="Z734" s="404" t="n"/>
      <c r="AA734" s="404" t="n"/>
      <c r="AB734" s="404" t="n"/>
    </row>
    <row r="735">
      <c r="A735" s="404" t="n">
        <v>50</v>
      </c>
      <c r="B735" s="404" t="n">
        <v>0</v>
      </c>
      <c r="C735" s="404" t="n">
        <v>0</v>
      </c>
      <c r="D735" s="404" t="n">
        <v>1</v>
      </c>
      <c r="E735" s="404" t="n">
        <v>215</v>
      </c>
      <c r="F735" s="404">
        <f>ROUND(Source!AT717,O735)</f>
        <v/>
      </c>
      <c r="G735" s="404" t="inlineStr">
        <is>
          <t>Монтаж</t>
        </is>
      </c>
      <c r="H735" s="404" t="inlineStr">
        <is>
          <t>Монтажные работы с НР и СП</t>
        </is>
      </c>
      <c r="I735" s="404" t="n"/>
      <c r="J735" s="404" t="n"/>
      <c r="K735" s="404" t="n">
        <v>215</v>
      </c>
      <c r="L735" s="404" t="n">
        <v>17</v>
      </c>
      <c r="M735" s="404" t="n">
        <v>3</v>
      </c>
      <c r="N735" s="404" t="inlineStr"/>
      <c r="O735" s="404" t="n">
        <v>0</v>
      </c>
      <c r="P735" s="404" t="n"/>
      <c r="Q735" s="404" t="n"/>
      <c r="R735" s="404" t="n"/>
      <c r="S735" s="404" t="n"/>
      <c r="T735" s="404" t="n"/>
      <c r="U735" s="404" t="n"/>
      <c r="V735" s="404" t="n"/>
      <c r="W735" s="404" t="n">
        <v>0</v>
      </c>
      <c r="X735" s="404" t="n">
        <v>1</v>
      </c>
      <c r="Y735" s="404" t="n">
        <v>0</v>
      </c>
      <c r="Z735" s="404" t="n"/>
      <c r="AA735" s="404" t="n"/>
      <c r="AB735" s="404" t="n"/>
    </row>
    <row r="736">
      <c r="A736" s="404" t="n">
        <v>50</v>
      </c>
      <c r="B736" s="404" t="n">
        <v>0</v>
      </c>
      <c r="C736" s="404" t="n">
        <v>0</v>
      </c>
      <c r="D736" s="404" t="n">
        <v>1</v>
      </c>
      <c r="E736" s="404" t="n">
        <v>217</v>
      </c>
      <c r="F736" s="404">
        <f>ROUND(Source!AU717,O736)</f>
        <v/>
      </c>
      <c r="G736" s="404" t="inlineStr">
        <is>
          <t>Прочие</t>
        </is>
      </c>
      <c r="H736" s="404" t="inlineStr">
        <is>
          <t>Прочие работы с НР и СП</t>
        </is>
      </c>
      <c r="I736" s="404" t="n"/>
      <c r="J736" s="404" t="n"/>
      <c r="K736" s="404" t="n">
        <v>217</v>
      </c>
      <c r="L736" s="404" t="n">
        <v>18</v>
      </c>
      <c r="M736" s="404" t="n">
        <v>3</v>
      </c>
      <c r="N736" s="404" t="inlineStr"/>
      <c r="O736" s="404" t="n">
        <v>0</v>
      </c>
      <c r="P736" s="404" t="n"/>
      <c r="Q736" s="404" t="n"/>
      <c r="R736" s="404" t="n"/>
      <c r="S736" s="404" t="n"/>
      <c r="T736" s="404" t="n"/>
      <c r="U736" s="404" t="n"/>
      <c r="V736" s="404" t="n"/>
      <c r="W736" s="404" t="n">
        <v>0</v>
      </c>
      <c r="X736" s="404" t="n">
        <v>1</v>
      </c>
      <c r="Y736" s="404" t="n">
        <v>0</v>
      </c>
      <c r="Z736" s="404" t="n"/>
      <c r="AA736" s="404" t="n"/>
      <c r="AB736" s="404" t="n"/>
    </row>
    <row r="737">
      <c r="A737" s="404" t="n">
        <v>50</v>
      </c>
      <c r="B737" s="404" t="n">
        <v>0</v>
      </c>
      <c r="C737" s="404" t="n">
        <v>0</v>
      </c>
      <c r="D737" s="404" t="n">
        <v>1</v>
      </c>
      <c r="E737" s="404" t="n">
        <v>230</v>
      </c>
      <c r="F737" s="404">
        <f>ROUND(Source!BA717,O737)</f>
        <v/>
      </c>
      <c r="G737" s="404" t="inlineStr">
        <is>
          <t>ПрочиеЗатр</t>
        </is>
      </c>
      <c r="H737" s="404" t="inlineStr">
        <is>
          <t>Прочие затраты по ТСН-2001.16</t>
        </is>
      </c>
      <c r="I737" s="404" t="n"/>
      <c r="J737" s="404" t="n"/>
      <c r="K737" s="404" t="n">
        <v>230</v>
      </c>
      <c r="L737" s="404" t="n">
        <v>19</v>
      </c>
      <c r="M737" s="404" t="n">
        <v>3</v>
      </c>
      <c r="N737" s="404" t="inlineStr"/>
      <c r="O737" s="404" t="n">
        <v>0</v>
      </c>
      <c r="P737" s="404" t="n"/>
      <c r="Q737" s="404" t="n"/>
      <c r="R737" s="404" t="n"/>
      <c r="S737" s="404" t="n"/>
      <c r="T737" s="404" t="n"/>
      <c r="U737" s="404" t="n"/>
      <c r="V737" s="404" t="n"/>
      <c r="W737" s="404" t="n">
        <v>0</v>
      </c>
      <c r="X737" s="404" t="n">
        <v>1</v>
      </c>
      <c r="Y737" s="404" t="n">
        <v>0</v>
      </c>
      <c r="Z737" s="404" t="n"/>
      <c r="AA737" s="404" t="n"/>
      <c r="AB737" s="404" t="n"/>
    </row>
    <row r="738">
      <c r="A738" s="404" t="n">
        <v>50</v>
      </c>
      <c r="B738" s="404" t="n">
        <v>0</v>
      </c>
      <c r="C738" s="404" t="n">
        <v>0</v>
      </c>
      <c r="D738" s="404" t="n">
        <v>1</v>
      </c>
      <c r="E738" s="404" t="n">
        <v>206</v>
      </c>
      <c r="F738" s="404">
        <f>ROUND(Source!T717,O738)</f>
        <v/>
      </c>
      <c r="G738" s="404" t="inlineStr">
        <is>
          <t>ВозврМат</t>
        </is>
      </c>
      <c r="H738" s="404" t="inlineStr">
        <is>
          <t>Возврат материалов</t>
        </is>
      </c>
      <c r="I738" s="404" t="n"/>
      <c r="J738" s="404" t="n"/>
      <c r="K738" s="404" t="n">
        <v>206</v>
      </c>
      <c r="L738" s="404" t="n">
        <v>20</v>
      </c>
      <c r="M738" s="404" t="n">
        <v>3</v>
      </c>
      <c r="N738" s="404" t="inlineStr"/>
      <c r="O738" s="404" t="n">
        <v>0</v>
      </c>
      <c r="P738" s="404" t="n"/>
      <c r="Q738" s="404" t="n"/>
      <c r="R738" s="404" t="n"/>
      <c r="S738" s="404" t="n"/>
      <c r="T738" s="404" t="n"/>
      <c r="U738" s="404" t="n"/>
      <c r="V738" s="404" t="n"/>
      <c r="W738" s="404" t="n">
        <v>0</v>
      </c>
      <c r="X738" s="404" t="n">
        <v>1</v>
      </c>
      <c r="Y738" s="404" t="n">
        <v>0</v>
      </c>
      <c r="Z738" s="404" t="n"/>
      <c r="AA738" s="404" t="n"/>
      <c r="AB738" s="404" t="n"/>
    </row>
    <row r="739">
      <c r="A739" s="404" t="n">
        <v>50</v>
      </c>
      <c r="B739" s="404" t="n">
        <v>0</v>
      </c>
      <c r="C739" s="404" t="n">
        <v>0</v>
      </c>
      <c r="D739" s="404" t="n">
        <v>1</v>
      </c>
      <c r="E739" s="404" t="n">
        <v>207</v>
      </c>
      <c r="F739" s="404">
        <f>ROUND(Source!U717,O739)</f>
        <v/>
      </c>
      <c r="G739" s="404" t="inlineStr">
        <is>
          <t>ТрудСтр</t>
        </is>
      </c>
      <c r="H739" s="404" t="inlineStr">
        <is>
          <t>Трудозатраты строителей</t>
        </is>
      </c>
      <c r="I739" s="404" t="n"/>
      <c r="J739" s="404" t="n"/>
      <c r="K739" s="404" t="n">
        <v>207</v>
      </c>
      <c r="L739" s="404" t="n">
        <v>21</v>
      </c>
      <c r="M739" s="404" t="n">
        <v>3</v>
      </c>
      <c r="N739" s="404" t="inlineStr"/>
      <c r="O739" s="404" t="n">
        <v>7</v>
      </c>
      <c r="P739" s="404" t="n"/>
      <c r="Q739" s="404" t="n"/>
      <c r="R739" s="404" t="n"/>
      <c r="S739" s="404" t="n"/>
      <c r="T739" s="404" t="n"/>
      <c r="U739" s="404" t="n"/>
      <c r="V739" s="404" t="n"/>
      <c r="W739" s="404" t="n">
        <v>0</v>
      </c>
      <c r="X739" s="404" t="n">
        <v>1</v>
      </c>
      <c r="Y739" s="404" t="n">
        <v>0</v>
      </c>
      <c r="Z739" s="404" t="n"/>
      <c r="AA739" s="404" t="n"/>
      <c r="AB739" s="404" t="n"/>
    </row>
    <row r="740">
      <c r="A740" s="404" t="n">
        <v>50</v>
      </c>
      <c r="B740" s="404" t="n">
        <v>0</v>
      </c>
      <c r="C740" s="404" t="n">
        <v>0</v>
      </c>
      <c r="D740" s="404" t="n">
        <v>1</v>
      </c>
      <c r="E740" s="404" t="n">
        <v>208</v>
      </c>
      <c r="F740" s="404">
        <f>ROUND(Source!V717,O740)</f>
        <v/>
      </c>
      <c r="G740" s="404" t="inlineStr">
        <is>
          <t>ТрудМаш</t>
        </is>
      </c>
      <c r="H740" s="404" t="inlineStr">
        <is>
          <t>Трудозатраты машинистов</t>
        </is>
      </c>
      <c r="I740" s="404" t="n"/>
      <c r="J740" s="404" t="n"/>
      <c r="K740" s="404" t="n">
        <v>208</v>
      </c>
      <c r="L740" s="404" t="n">
        <v>22</v>
      </c>
      <c r="M740" s="404" t="n">
        <v>3</v>
      </c>
      <c r="N740" s="404" t="inlineStr"/>
      <c r="O740" s="404" t="n">
        <v>7</v>
      </c>
      <c r="P740" s="404" t="n"/>
      <c r="Q740" s="404" t="n"/>
      <c r="R740" s="404" t="n"/>
      <c r="S740" s="404" t="n"/>
      <c r="T740" s="404" t="n"/>
      <c r="U740" s="404" t="n"/>
      <c r="V740" s="404" t="n"/>
      <c r="W740" s="404" t="n">
        <v>0</v>
      </c>
      <c r="X740" s="404" t="n">
        <v>1</v>
      </c>
      <c r="Y740" s="404" t="n">
        <v>0</v>
      </c>
      <c r="Z740" s="404" t="n"/>
      <c r="AA740" s="404" t="n"/>
      <c r="AB740" s="404" t="n"/>
    </row>
    <row r="741">
      <c r="A741" s="404" t="n">
        <v>50</v>
      </c>
      <c r="B741" s="404" t="n">
        <v>0</v>
      </c>
      <c r="C741" s="404" t="n">
        <v>0</v>
      </c>
      <c r="D741" s="404" t="n">
        <v>1</v>
      </c>
      <c r="E741" s="404" t="n">
        <v>209</v>
      </c>
      <c r="F741" s="404">
        <f>ROUND(Source!W717,O741)</f>
        <v/>
      </c>
      <c r="G741" s="404" t="inlineStr">
        <is>
          <t>ТранспМат</t>
        </is>
      </c>
      <c r="H741" s="404" t="inlineStr">
        <is>
          <t>Транспорт материалов</t>
        </is>
      </c>
      <c r="I741" s="404" t="n"/>
      <c r="J741" s="404" t="n"/>
      <c r="K741" s="404" t="n">
        <v>209</v>
      </c>
      <c r="L741" s="404" t="n">
        <v>23</v>
      </c>
      <c r="M741" s="404" t="n">
        <v>3</v>
      </c>
      <c r="N741" s="404" t="inlineStr"/>
      <c r="O741" s="404" t="n">
        <v>0</v>
      </c>
      <c r="P741" s="404" t="n"/>
      <c r="Q741" s="404" t="n"/>
      <c r="R741" s="404" t="n"/>
      <c r="S741" s="404" t="n"/>
      <c r="T741" s="404" t="n"/>
      <c r="U741" s="404" t="n"/>
      <c r="V741" s="404" t="n"/>
      <c r="W741" s="404" t="n">
        <v>0</v>
      </c>
      <c r="X741" s="404" t="n">
        <v>1</v>
      </c>
      <c r="Y741" s="404" t="n">
        <v>0</v>
      </c>
      <c r="Z741" s="404" t="n"/>
      <c r="AA741" s="404" t="n"/>
      <c r="AB741" s="404" t="n"/>
    </row>
    <row r="742">
      <c r="A742" s="404" t="n">
        <v>50</v>
      </c>
      <c r="B742" s="404" t="n">
        <v>0</v>
      </c>
      <c r="C742" s="404" t="n">
        <v>0</v>
      </c>
      <c r="D742" s="404" t="n">
        <v>1</v>
      </c>
      <c r="E742" s="404" t="n">
        <v>233</v>
      </c>
      <c r="F742" s="404">
        <f>ROUND(Source!BD717,O742)</f>
        <v/>
      </c>
      <c r="G742" s="404" t="inlineStr">
        <is>
          <t>Перевозка</t>
        </is>
      </c>
      <c r="H742" s="404" t="inlineStr">
        <is>
          <t>Перевозка грузов</t>
        </is>
      </c>
      <c r="I742" s="404" t="n"/>
      <c r="J742" s="404" t="n"/>
      <c r="K742" s="404" t="n">
        <v>233</v>
      </c>
      <c r="L742" s="404" t="n">
        <v>24</v>
      </c>
      <c r="M742" s="404" t="n">
        <v>3</v>
      </c>
      <c r="N742" s="404" t="inlineStr"/>
      <c r="O742" s="404" t="n">
        <v>0</v>
      </c>
      <c r="P742" s="404" t="n"/>
      <c r="Q742" s="404" t="n"/>
      <c r="R742" s="404" t="n"/>
      <c r="S742" s="404" t="n"/>
      <c r="T742" s="404" t="n"/>
      <c r="U742" s="404" t="n"/>
      <c r="V742" s="404" t="n"/>
      <c r="W742" s="404" t="n">
        <v>0</v>
      </c>
      <c r="X742" s="404" t="n">
        <v>1</v>
      </c>
      <c r="Y742" s="404" t="n">
        <v>0</v>
      </c>
      <c r="Z742" s="404" t="n"/>
      <c r="AA742" s="404" t="n"/>
      <c r="AB742" s="404" t="n"/>
    </row>
    <row r="743">
      <c r="A743" s="404" t="n">
        <v>50</v>
      </c>
      <c r="B743" s="404" t="n">
        <v>0</v>
      </c>
      <c r="C743" s="404" t="n">
        <v>0</v>
      </c>
      <c r="D743" s="404" t="n">
        <v>1</v>
      </c>
      <c r="E743" s="404" t="n">
        <v>210</v>
      </c>
      <c r="F743" s="404">
        <f>ROUND(Source!X717,O743)</f>
        <v/>
      </c>
      <c r="G743" s="404" t="inlineStr">
        <is>
          <t>НР</t>
        </is>
      </c>
      <c r="H743" s="404" t="inlineStr">
        <is>
          <t>Накладные расходы</t>
        </is>
      </c>
      <c r="I743" s="404" t="n"/>
      <c r="J743" s="404" t="n"/>
      <c r="K743" s="404" t="n">
        <v>210</v>
      </c>
      <c r="L743" s="404" t="n">
        <v>25</v>
      </c>
      <c r="M743" s="404" t="n">
        <v>3</v>
      </c>
      <c r="N743" s="404" t="inlineStr"/>
      <c r="O743" s="404" t="n">
        <v>0</v>
      </c>
      <c r="P743" s="404" t="n"/>
      <c r="Q743" s="404" t="n"/>
      <c r="R743" s="404" t="n"/>
      <c r="S743" s="404" t="n"/>
      <c r="T743" s="404" t="n"/>
      <c r="U743" s="404" t="n"/>
      <c r="V743" s="404" t="n"/>
      <c r="W743" s="404" t="n">
        <v>0</v>
      </c>
      <c r="X743" s="404" t="n">
        <v>1</v>
      </c>
      <c r="Y743" s="404" t="n">
        <v>0</v>
      </c>
      <c r="Z743" s="404" t="n"/>
      <c r="AA743" s="404" t="n"/>
      <c r="AB743" s="404" t="n"/>
    </row>
    <row r="744">
      <c r="A744" s="404" t="n">
        <v>50</v>
      </c>
      <c r="B744" s="404" t="n">
        <v>0</v>
      </c>
      <c r="C744" s="404" t="n">
        <v>0</v>
      </c>
      <c r="D744" s="404" t="n">
        <v>1</v>
      </c>
      <c r="E744" s="404" t="n">
        <v>211</v>
      </c>
      <c r="F744" s="404">
        <f>ROUND(Source!Y717,O744)</f>
        <v/>
      </c>
      <c r="G744" s="404" t="inlineStr">
        <is>
          <t>СмПриб</t>
        </is>
      </c>
      <c r="H744" s="404" t="inlineStr">
        <is>
          <t>Сметная прибыль</t>
        </is>
      </c>
      <c r="I744" s="404" t="n"/>
      <c r="J744" s="404" t="n"/>
      <c r="K744" s="404" t="n">
        <v>211</v>
      </c>
      <c r="L744" s="404" t="n">
        <v>26</v>
      </c>
      <c r="M744" s="404" t="n">
        <v>3</v>
      </c>
      <c r="N744" s="404" t="inlineStr"/>
      <c r="O744" s="404" t="n">
        <v>0</v>
      </c>
      <c r="P744" s="404" t="n"/>
      <c r="Q744" s="404" t="n"/>
      <c r="R744" s="404" t="n"/>
      <c r="S744" s="404" t="n"/>
      <c r="T744" s="404" t="n"/>
      <c r="U744" s="404" t="n"/>
      <c r="V744" s="404" t="n"/>
      <c r="W744" s="404" t="n">
        <v>0</v>
      </c>
      <c r="X744" s="404" t="n">
        <v>1</v>
      </c>
      <c r="Y744" s="404" t="n">
        <v>0</v>
      </c>
      <c r="Z744" s="404" t="n"/>
      <c r="AA744" s="404" t="n"/>
      <c r="AB744" s="404" t="n"/>
    </row>
    <row r="745">
      <c r="A745" s="404" t="n">
        <v>50</v>
      </c>
      <c r="B745" s="404" t="n">
        <v>0</v>
      </c>
      <c r="C745" s="404" t="n">
        <v>0</v>
      </c>
      <c r="D745" s="404" t="n">
        <v>1</v>
      </c>
      <c r="E745" s="404" t="n">
        <v>224</v>
      </c>
      <c r="F745" s="404">
        <f>ROUND(Source!AR717,O745)</f>
        <v/>
      </c>
      <c r="G745" s="404" t="inlineStr">
        <is>
          <t>Всего</t>
        </is>
      </c>
      <c r="H745" s="404" t="inlineStr">
        <is>
          <t>Всего с НР и СП</t>
        </is>
      </c>
      <c r="I745" s="404" t="n"/>
      <c r="J745" s="404" t="n"/>
      <c r="K745" s="404" t="n">
        <v>224</v>
      </c>
      <c r="L745" s="404" t="n">
        <v>27</v>
      </c>
      <c r="M745" s="404" t="n">
        <v>3</v>
      </c>
      <c r="N745" s="404" t="inlineStr"/>
      <c r="O745" s="404" t="n">
        <v>0</v>
      </c>
      <c r="P745" s="404" t="n"/>
      <c r="Q745" s="404" t="n"/>
      <c r="R745" s="404" t="n"/>
      <c r="S745" s="404" t="n"/>
      <c r="T745" s="404" t="n"/>
      <c r="U745" s="404" t="n"/>
      <c r="V745" s="404" t="n"/>
      <c r="W745" s="404" t="n">
        <v>0</v>
      </c>
      <c r="X745" s="404" t="n">
        <v>1</v>
      </c>
      <c r="Y745" s="404" t="n">
        <v>0</v>
      </c>
      <c r="Z745" s="404" t="n"/>
      <c r="AA745" s="404" t="n"/>
      <c r="AB745" s="404" t="n"/>
    </row>
    <row r="746">
      <c r="A746" s="404" t="n">
        <v>50</v>
      </c>
      <c r="B746" s="404" t="n">
        <v>0</v>
      </c>
      <c r="C746" s="404" t="n">
        <v>0</v>
      </c>
      <c r="D746" s="404" t="n">
        <v>2</v>
      </c>
      <c r="E746" s="404" t="n">
        <v>0</v>
      </c>
      <c r="F746" s="404">
        <f>ROUND(F745,O746)</f>
        <v/>
      </c>
      <c r="G746" s="404" t="inlineStr">
        <is>
          <t>и1</t>
        </is>
      </c>
      <c r="H746" s="404" t="inlineStr">
        <is>
          <t>Итого</t>
        </is>
      </c>
      <c r="I746" s="404" t="n"/>
      <c r="J746" s="404" t="n"/>
      <c r="K746" s="404" t="n">
        <v>212</v>
      </c>
      <c r="L746" s="404" t="n">
        <v>28</v>
      </c>
      <c r="M746" s="404" t="n">
        <v>0</v>
      </c>
      <c r="N746" s="404" t="inlineStr"/>
      <c r="O746" s="404" t="n">
        <v>0</v>
      </c>
      <c r="P746" s="404" t="n"/>
      <c r="Q746" s="404" t="n"/>
      <c r="R746" s="404" t="n"/>
      <c r="S746" s="404" t="n"/>
      <c r="T746" s="404" t="n"/>
      <c r="U746" s="404" t="n"/>
      <c r="V746" s="404" t="n"/>
      <c r="W746" s="404" t="n">
        <v>0</v>
      </c>
      <c r="X746" s="404" t="n">
        <v>1</v>
      </c>
      <c r="Y746" s="404" t="n">
        <v>0</v>
      </c>
      <c r="Z746" s="404" t="n"/>
      <c r="AA746" s="404" t="n"/>
      <c r="AB746" s="404" t="n"/>
    </row>
    <row r="747">
      <c r="A747" s="404" t="n">
        <v>50</v>
      </c>
      <c r="B747" s="404" t="n">
        <v>0</v>
      </c>
      <c r="C747" s="404" t="n">
        <v>0</v>
      </c>
      <c r="D747" s="404" t="n">
        <v>2</v>
      </c>
      <c r="E747" s="404" t="n">
        <v>0</v>
      </c>
      <c r="F747" s="404">
        <f>ROUND(F746*0.22,O747)</f>
        <v/>
      </c>
      <c r="G747" s="404" t="inlineStr">
        <is>
          <t>и2</t>
        </is>
      </c>
      <c r="H747" s="404" t="inlineStr">
        <is>
          <t>НДС 22%</t>
        </is>
      </c>
      <c r="I747" s="404" t="n"/>
      <c r="J747" s="404" t="n"/>
      <c r="K747" s="404" t="n">
        <v>212</v>
      </c>
      <c r="L747" s="404" t="n">
        <v>29</v>
      </c>
      <c r="M747" s="404" t="n">
        <v>0</v>
      </c>
      <c r="N747" s="404" t="inlineStr"/>
      <c r="O747" s="404" t="n">
        <v>0</v>
      </c>
      <c r="P747" s="404" t="n"/>
      <c r="Q747" s="404" t="n"/>
      <c r="R747" s="404" t="n"/>
      <c r="S747" s="404" t="n"/>
      <c r="T747" s="404" t="n"/>
      <c r="U747" s="404" t="n"/>
      <c r="V747" s="404" t="n"/>
      <c r="W747" s="404" t="n">
        <v>0</v>
      </c>
      <c r="X747" s="404" t="n">
        <v>1</v>
      </c>
      <c r="Y747" s="404" t="n">
        <v>0</v>
      </c>
      <c r="Z747" s="404" t="n"/>
      <c r="AA747" s="404" t="n"/>
      <c r="AB747" s="404" t="n"/>
    </row>
    <row r="748">
      <c r="A748" s="404" t="n">
        <v>50</v>
      </c>
      <c r="B748" s="404" t="n">
        <v>0</v>
      </c>
      <c r="C748" s="404" t="n">
        <v>0</v>
      </c>
      <c r="D748" s="404" t="n">
        <v>2</v>
      </c>
      <c r="E748" s="404" t="n">
        <v>213</v>
      </c>
      <c r="F748" s="404">
        <f>ROUND(F746+F747,O748)</f>
        <v/>
      </c>
      <c r="G748" s="404" t="inlineStr">
        <is>
          <t>и3</t>
        </is>
      </c>
      <c r="H748" s="404" t="inlineStr">
        <is>
          <t>Всего</t>
        </is>
      </c>
      <c r="I748" s="404" t="n"/>
      <c r="J748" s="404" t="n"/>
      <c r="K748" s="404" t="n">
        <v>212</v>
      </c>
      <c r="L748" s="404" t="n">
        <v>30</v>
      </c>
      <c r="M748" s="404" t="n">
        <v>0</v>
      </c>
      <c r="N748" s="404" t="inlineStr"/>
      <c r="O748" s="404" t="n">
        <v>0</v>
      </c>
      <c r="P748" s="404" t="n"/>
      <c r="Q748" s="404" t="n"/>
      <c r="R748" s="404" t="n"/>
      <c r="S748" s="404" t="n"/>
      <c r="T748" s="404" t="n"/>
      <c r="U748" s="404" t="n"/>
      <c r="V748" s="404" t="n"/>
      <c r="W748" s="404" t="n">
        <v>0</v>
      </c>
      <c r="X748" s="404" t="n">
        <v>1</v>
      </c>
      <c r="Y748" s="404" t="n">
        <v>0</v>
      </c>
      <c r="Z748" s="404" t="n"/>
      <c r="AA748" s="404" t="n"/>
      <c r="AB748" s="404" t="n"/>
    </row>
    <row r="749"/>
    <row r="750">
      <c r="A750" s="401" t="n">
        <v>3</v>
      </c>
      <c r="B750" s="401" t="n">
        <v>0</v>
      </c>
      <c r="C750" s="401" t="n"/>
      <c r="D750" s="401">
        <f>ROW(A760)</f>
        <v/>
      </c>
      <c r="E750" s="401" t="n"/>
      <c r="F750" s="401" t="inlineStr">
        <is>
          <t>Новая локальная смета</t>
        </is>
      </c>
      <c r="G750" s="401" t="inlineStr">
        <is>
          <t>Механизаторов 7</t>
        </is>
      </c>
      <c r="H750" s="401" t="inlineStr"/>
      <c r="I750" s="401" t="n">
        <v>0</v>
      </c>
      <c r="J750" s="401" t="inlineStr"/>
      <c r="K750" s="401" t="n">
        <v>0</v>
      </c>
      <c r="L750" s="401" t="inlineStr">
        <is>
          <t>Новая локальная смета</t>
        </is>
      </c>
      <c r="M750" s="401" t="inlineStr"/>
      <c r="N750" s="401" t="n"/>
      <c r="O750" s="401" t="n"/>
      <c r="P750" s="401" t="n"/>
      <c r="Q750" s="401" t="n"/>
      <c r="R750" s="401" t="n"/>
      <c r="S750" s="401" t="n">
        <v>0</v>
      </c>
      <c r="T750" s="401" t="n"/>
      <c r="U750" s="401" t="inlineStr"/>
      <c r="V750" s="401" t="n">
        <v>0</v>
      </c>
      <c r="W750" s="401" t="n"/>
      <c r="X750" s="401" t="n"/>
      <c r="Y750" s="401" t="n"/>
      <c r="Z750" s="401" t="n"/>
      <c r="AA750" s="401" t="n"/>
      <c r="AB750" s="401" t="inlineStr"/>
      <c r="AC750" s="401" t="inlineStr"/>
      <c r="AD750" s="401" t="inlineStr"/>
      <c r="AE750" s="401" t="inlineStr"/>
      <c r="AF750" s="401" t="inlineStr"/>
      <c r="AG750" s="401" t="inlineStr"/>
      <c r="AH750" s="401" t="n"/>
      <c r="AI750" s="401" t="n"/>
      <c r="AJ750" s="401" t="n"/>
      <c r="AK750" s="401" t="n"/>
      <c r="AL750" s="401" t="n"/>
      <c r="AM750" s="401" t="n"/>
      <c r="AN750" s="401" t="n"/>
      <c r="AO750" s="401" t="n"/>
      <c r="AP750" s="401" t="inlineStr"/>
      <c r="AQ750" s="401" t="inlineStr"/>
      <c r="AR750" s="401" t="inlineStr"/>
      <c r="AS750" s="401" t="n"/>
      <c r="AT750" s="401" t="n"/>
      <c r="AU750" s="401" t="n"/>
      <c r="AV750" s="401" t="n"/>
      <c r="AW750" s="401" t="n"/>
      <c r="AX750" s="401" t="n"/>
      <c r="AY750" s="401" t="n"/>
      <c r="AZ750" s="401" t="inlineStr"/>
      <c r="BA750" s="401" t="n"/>
      <c r="BB750" s="401" t="inlineStr"/>
      <c r="BC750" s="401" t="inlineStr"/>
      <c r="BD750" s="401" t="inlineStr"/>
      <c r="BE750" s="401" t="inlineStr"/>
      <c r="BF750" s="401" t="inlineStr"/>
      <c r="BG750" s="401" t="inlineStr"/>
      <c r="BH750" s="401" t="inlineStr"/>
      <c r="BI750" s="401" t="inlineStr"/>
      <c r="BJ750" s="401" t="inlineStr"/>
      <c r="BK750" s="401" t="inlineStr"/>
      <c r="BL750" s="401" t="inlineStr"/>
      <c r="BM750" s="401" t="inlineStr"/>
      <c r="BN750" s="401" t="inlineStr"/>
      <c r="BO750" s="401" t="inlineStr"/>
      <c r="BP750" s="401" t="inlineStr"/>
      <c r="BQ750" s="401" t="n"/>
      <c r="BR750" s="401" t="n"/>
      <c r="BS750" s="401" t="n"/>
      <c r="BT750" s="401" t="n"/>
      <c r="BU750" s="401" t="n"/>
      <c r="BV750" s="401" t="n"/>
      <c r="BW750" s="401" t="n"/>
      <c r="BX750" s="401" t="n">
        <v>0</v>
      </c>
      <c r="BY750" s="401" t="n"/>
      <c r="BZ750" s="401" t="n"/>
      <c r="CA750" s="401" t="n"/>
      <c r="CB750" s="401" t="n"/>
      <c r="CC750" s="401" t="n"/>
      <c r="CD750" s="401" t="n"/>
      <c r="CE750" s="401" t="n"/>
      <c r="CF750" s="401" t="n">
        <v>0</v>
      </c>
      <c r="CG750" s="401" t="n">
        <v>0</v>
      </c>
      <c r="CH750" s="401" t="n"/>
      <c r="CI750" s="401" t="inlineStr"/>
      <c r="CJ750" s="401" t="inlineStr"/>
      <c r="CK750" t="inlineStr"/>
      <c r="CL750" t="inlineStr"/>
      <c r="CM750" t="inlineStr"/>
      <c r="CN750" t="inlineStr"/>
      <c r="CO750" t="inlineStr"/>
      <c r="CP750" t="inlineStr"/>
      <c r="CQ750" t="inlineStr"/>
    </row>
    <row r="751"/>
    <row r="752">
      <c r="A752" s="402" t="n">
        <v>52</v>
      </c>
      <c r="B752" s="402">
        <f>B760</f>
        <v/>
      </c>
      <c r="C752" s="402">
        <f>C760</f>
        <v/>
      </c>
      <c r="D752" s="402">
        <f>D760</f>
        <v/>
      </c>
      <c r="E752" s="402">
        <f>E760</f>
        <v/>
      </c>
      <c r="F752" s="402">
        <f>F760</f>
        <v/>
      </c>
      <c r="G752" s="402">
        <f>G760</f>
        <v/>
      </c>
      <c r="H752" s="402" t="n"/>
      <c r="I752" s="402" t="n"/>
      <c r="J752" s="402" t="n"/>
      <c r="K752" s="402" t="n"/>
      <c r="L752" s="402" t="n"/>
      <c r="M752" s="402" t="n"/>
      <c r="N752" s="402" t="n"/>
      <c r="O752" s="402">
        <f>O760</f>
        <v/>
      </c>
      <c r="P752" s="402">
        <f>P760</f>
        <v/>
      </c>
      <c r="Q752" s="402">
        <f>Q760</f>
        <v/>
      </c>
      <c r="R752" s="402">
        <f>R760</f>
        <v/>
      </c>
      <c r="S752" s="402">
        <f>S760</f>
        <v/>
      </c>
      <c r="T752" s="402">
        <f>T760</f>
        <v/>
      </c>
      <c r="U752" s="402">
        <f>U760</f>
        <v/>
      </c>
      <c r="V752" s="402">
        <f>V760</f>
        <v/>
      </c>
      <c r="W752" s="402">
        <f>W760</f>
        <v/>
      </c>
      <c r="X752" s="402">
        <f>X760</f>
        <v/>
      </c>
      <c r="Y752" s="402">
        <f>Y760</f>
        <v/>
      </c>
      <c r="Z752" s="402">
        <f>Z760</f>
        <v/>
      </c>
      <c r="AA752" s="402">
        <f>AA760</f>
        <v/>
      </c>
      <c r="AB752" s="402">
        <f>AB760</f>
        <v/>
      </c>
      <c r="AC752" s="402">
        <f>AC760</f>
        <v/>
      </c>
      <c r="AD752" s="402">
        <f>AD760</f>
        <v/>
      </c>
      <c r="AE752" s="402">
        <f>AE760</f>
        <v/>
      </c>
      <c r="AF752" s="402">
        <f>AF760</f>
        <v/>
      </c>
      <c r="AG752" s="402">
        <f>AG760</f>
        <v/>
      </c>
      <c r="AH752" s="402">
        <f>AH760</f>
        <v/>
      </c>
      <c r="AI752" s="402">
        <f>AI760</f>
        <v/>
      </c>
      <c r="AJ752" s="402">
        <f>AJ760</f>
        <v/>
      </c>
      <c r="AK752" s="402">
        <f>AK760</f>
        <v/>
      </c>
      <c r="AL752" s="402">
        <f>AL760</f>
        <v/>
      </c>
      <c r="AM752" s="402">
        <f>AM760</f>
        <v/>
      </c>
      <c r="AN752" s="402">
        <f>AN760</f>
        <v/>
      </c>
      <c r="AO752" s="402">
        <f>AO760</f>
        <v/>
      </c>
      <c r="AP752" s="402">
        <f>AP760</f>
        <v/>
      </c>
      <c r="AQ752" s="402">
        <f>AQ760</f>
        <v/>
      </c>
      <c r="AR752" s="402">
        <f>AR760</f>
        <v/>
      </c>
      <c r="AS752" s="402">
        <f>AS760</f>
        <v/>
      </c>
      <c r="AT752" s="402">
        <f>AT760</f>
        <v/>
      </c>
      <c r="AU752" s="402">
        <f>AU760</f>
        <v/>
      </c>
      <c r="AV752" s="402">
        <f>AV760</f>
        <v/>
      </c>
      <c r="AW752" s="402">
        <f>AW760</f>
        <v/>
      </c>
      <c r="AX752" s="402">
        <f>AX760</f>
        <v/>
      </c>
      <c r="AY752" s="402">
        <f>AY760</f>
        <v/>
      </c>
      <c r="AZ752" s="402">
        <f>AZ760</f>
        <v/>
      </c>
      <c r="BA752" s="402">
        <f>BA760</f>
        <v/>
      </c>
      <c r="BB752" s="402">
        <f>BB760</f>
        <v/>
      </c>
      <c r="BC752" s="402">
        <f>BC760</f>
        <v/>
      </c>
      <c r="BD752" s="402">
        <f>BD760</f>
        <v/>
      </c>
      <c r="BE752" s="402">
        <f>BE760</f>
        <v/>
      </c>
      <c r="BF752" s="402">
        <f>BF760</f>
        <v/>
      </c>
      <c r="BG752" s="402">
        <f>BG760</f>
        <v/>
      </c>
      <c r="BH752" s="402">
        <f>BH760</f>
        <v/>
      </c>
      <c r="BI752" s="402">
        <f>BI760</f>
        <v/>
      </c>
      <c r="BJ752" s="402">
        <f>BJ760</f>
        <v/>
      </c>
      <c r="BK752" s="402">
        <f>BK760</f>
        <v/>
      </c>
      <c r="BL752" s="402">
        <f>BL760</f>
        <v/>
      </c>
      <c r="BM752" s="402">
        <f>BM760</f>
        <v/>
      </c>
      <c r="BN752" s="402">
        <f>BN760</f>
        <v/>
      </c>
      <c r="BO752" s="402">
        <f>BO760</f>
        <v/>
      </c>
      <c r="BP752" s="402">
        <f>BP760</f>
        <v/>
      </c>
      <c r="BQ752" s="402">
        <f>BQ760</f>
        <v/>
      </c>
      <c r="BR752" s="402">
        <f>BR760</f>
        <v/>
      </c>
      <c r="BS752" s="402">
        <f>BS760</f>
        <v/>
      </c>
      <c r="BT752" s="402">
        <f>BT760</f>
        <v/>
      </c>
      <c r="BU752" s="402">
        <f>BU760</f>
        <v/>
      </c>
      <c r="BV752" s="402">
        <f>BV760</f>
        <v/>
      </c>
      <c r="BW752" s="402">
        <f>BW760</f>
        <v/>
      </c>
      <c r="BX752" s="402">
        <f>BX760</f>
        <v/>
      </c>
      <c r="BY752" s="402">
        <f>BY760</f>
        <v/>
      </c>
      <c r="BZ752" s="402">
        <f>BZ760</f>
        <v/>
      </c>
      <c r="CA752" s="402">
        <f>CA760</f>
        <v/>
      </c>
      <c r="CB752" s="402">
        <f>CB760</f>
        <v/>
      </c>
      <c r="CC752" s="402">
        <f>CC760</f>
        <v/>
      </c>
      <c r="CD752" s="402">
        <f>CD760</f>
        <v/>
      </c>
      <c r="CE752" s="402">
        <f>CE760</f>
        <v/>
      </c>
      <c r="CF752" s="402">
        <f>CF760</f>
        <v/>
      </c>
      <c r="CG752" s="402">
        <f>CG760</f>
        <v/>
      </c>
      <c r="CH752" s="402">
        <f>CH760</f>
        <v/>
      </c>
      <c r="CI752" s="402">
        <f>CI760</f>
        <v/>
      </c>
      <c r="CJ752" s="402">
        <f>CJ760</f>
        <v/>
      </c>
      <c r="CK752" s="402">
        <f>CK760</f>
        <v/>
      </c>
      <c r="CL752" s="402">
        <f>CL760</f>
        <v/>
      </c>
      <c r="CM752" s="402">
        <f>CM760</f>
        <v/>
      </c>
      <c r="CN752" s="402">
        <f>CN760</f>
        <v/>
      </c>
      <c r="CO752" s="402">
        <f>CO760</f>
        <v/>
      </c>
      <c r="CP752" s="402">
        <f>CP760</f>
        <v/>
      </c>
      <c r="CQ752" s="402">
        <f>CQ760</f>
        <v/>
      </c>
      <c r="CR752" s="402">
        <f>CR760</f>
        <v/>
      </c>
      <c r="CS752" s="402">
        <f>CS760</f>
        <v/>
      </c>
      <c r="CT752" s="402">
        <f>CT760</f>
        <v/>
      </c>
      <c r="CU752" s="402">
        <f>CU760</f>
        <v/>
      </c>
      <c r="CV752" s="402">
        <f>CV760</f>
        <v/>
      </c>
      <c r="CW752" s="402">
        <f>CW760</f>
        <v/>
      </c>
      <c r="CX752" s="402">
        <f>CX760</f>
        <v/>
      </c>
      <c r="CY752" s="402">
        <f>CY760</f>
        <v/>
      </c>
      <c r="CZ752" s="402">
        <f>CZ760</f>
        <v/>
      </c>
      <c r="DA752" s="402">
        <f>DA760</f>
        <v/>
      </c>
      <c r="DB752" s="402">
        <f>DB760</f>
        <v/>
      </c>
      <c r="DC752" s="402">
        <f>DC760</f>
        <v/>
      </c>
      <c r="DD752" s="402">
        <f>DD760</f>
        <v/>
      </c>
      <c r="DE752" s="402">
        <f>DE760</f>
        <v/>
      </c>
      <c r="DF752" s="402">
        <f>DF760</f>
        <v/>
      </c>
      <c r="DG752" s="403">
        <f>DG760</f>
        <v/>
      </c>
      <c r="DH752" s="403">
        <f>DH760</f>
        <v/>
      </c>
      <c r="DI752" s="403">
        <f>DI760</f>
        <v/>
      </c>
      <c r="DJ752" s="403">
        <f>DJ760</f>
        <v/>
      </c>
      <c r="DK752" s="403">
        <f>DK760</f>
        <v/>
      </c>
      <c r="DL752" s="403">
        <f>DL760</f>
        <v/>
      </c>
      <c r="DM752" s="403">
        <f>DM760</f>
        <v/>
      </c>
      <c r="DN752" s="403">
        <f>DN760</f>
        <v/>
      </c>
      <c r="DO752" s="403">
        <f>DO760</f>
        <v/>
      </c>
      <c r="DP752" s="403">
        <f>DP760</f>
        <v/>
      </c>
      <c r="DQ752" s="403">
        <f>DQ760</f>
        <v/>
      </c>
      <c r="DR752" s="403">
        <f>DR760</f>
        <v/>
      </c>
      <c r="DS752" s="403">
        <f>DS760</f>
        <v/>
      </c>
      <c r="DT752" s="403">
        <f>DT760</f>
        <v/>
      </c>
      <c r="DU752" s="403">
        <f>DU760</f>
        <v/>
      </c>
      <c r="DV752" s="403">
        <f>DV760</f>
        <v/>
      </c>
      <c r="DW752" s="403">
        <f>DW760</f>
        <v/>
      </c>
      <c r="DX752" s="403">
        <f>DX760</f>
        <v/>
      </c>
      <c r="DY752" s="403">
        <f>DY760</f>
        <v/>
      </c>
      <c r="DZ752" s="403">
        <f>DZ760</f>
        <v/>
      </c>
      <c r="EA752" s="403">
        <f>EA760</f>
        <v/>
      </c>
      <c r="EB752" s="403">
        <f>EB760</f>
        <v/>
      </c>
      <c r="EC752" s="403">
        <f>EC760</f>
        <v/>
      </c>
      <c r="ED752" s="403">
        <f>ED760</f>
        <v/>
      </c>
      <c r="EE752" s="403">
        <f>EE760</f>
        <v/>
      </c>
      <c r="EF752" s="403">
        <f>EF760</f>
        <v/>
      </c>
      <c r="EG752" s="403">
        <f>EG760</f>
        <v/>
      </c>
      <c r="EH752" s="403">
        <f>EH760</f>
        <v/>
      </c>
      <c r="EI752" s="403">
        <f>EI760</f>
        <v/>
      </c>
      <c r="EJ752" s="403">
        <f>EJ760</f>
        <v/>
      </c>
      <c r="EK752" s="403">
        <f>EK760</f>
        <v/>
      </c>
      <c r="EL752" s="403">
        <f>EL760</f>
        <v/>
      </c>
      <c r="EM752" s="403">
        <f>EM760</f>
        <v/>
      </c>
      <c r="EN752" s="403">
        <f>EN760</f>
        <v/>
      </c>
      <c r="EO752" s="403">
        <f>EO760</f>
        <v/>
      </c>
      <c r="EP752" s="403">
        <f>EP760</f>
        <v/>
      </c>
      <c r="EQ752" s="403">
        <f>EQ760</f>
        <v/>
      </c>
      <c r="ER752" s="403">
        <f>ER760</f>
        <v/>
      </c>
      <c r="ES752" s="403">
        <f>ES760</f>
        <v/>
      </c>
      <c r="ET752" s="403">
        <f>ET760</f>
        <v/>
      </c>
      <c r="EU752" s="403">
        <f>EU760</f>
        <v/>
      </c>
      <c r="EV752" s="403">
        <f>EV760</f>
        <v/>
      </c>
      <c r="EW752" s="403">
        <f>EW760</f>
        <v/>
      </c>
      <c r="EX752" s="403">
        <f>EX760</f>
        <v/>
      </c>
      <c r="EY752" s="403">
        <f>EY760</f>
        <v/>
      </c>
      <c r="EZ752" s="403">
        <f>EZ760</f>
        <v/>
      </c>
      <c r="FA752" s="403">
        <f>FA760</f>
        <v/>
      </c>
      <c r="FB752" s="403">
        <f>FB760</f>
        <v/>
      </c>
      <c r="FC752" s="403">
        <f>FC760</f>
        <v/>
      </c>
      <c r="FD752" s="403">
        <f>FD760</f>
        <v/>
      </c>
      <c r="FE752" s="403">
        <f>FE760</f>
        <v/>
      </c>
      <c r="FF752" s="403">
        <f>FF760</f>
        <v/>
      </c>
      <c r="FG752" s="403">
        <f>FG760</f>
        <v/>
      </c>
      <c r="FH752" s="403">
        <f>FH760</f>
        <v/>
      </c>
      <c r="FI752" s="403">
        <f>FI760</f>
        <v/>
      </c>
      <c r="FJ752" s="403">
        <f>FJ760</f>
        <v/>
      </c>
      <c r="FK752" s="403">
        <f>FK760</f>
        <v/>
      </c>
      <c r="FL752" s="403">
        <f>FL760</f>
        <v/>
      </c>
      <c r="FM752" s="403">
        <f>FM760</f>
        <v/>
      </c>
      <c r="FN752" s="403">
        <f>FN760</f>
        <v/>
      </c>
      <c r="FO752" s="403">
        <f>FO760</f>
        <v/>
      </c>
      <c r="FP752" s="403">
        <f>FP760</f>
        <v/>
      </c>
      <c r="FQ752" s="403">
        <f>FQ760</f>
        <v/>
      </c>
      <c r="FR752" s="403">
        <f>FR760</f>
        <v/>
      </c>
      <c r="FS752" s="403">
        <f>FS760</f>
        <v/>
      </c>
      <c r="FT752" s="403">
        <f>FT760</f>
        <v/>
      </c>
      <c r="FU752" s="403">
        <f>FU760</f>
        <v/>
      </c>
      <c r="FV752" s="403">
        <f>FV760</f>
        <v/>
      </c>
      <c r="FW752" s="403">
        <f>FW760</f>
        <v/>
      </c>
      <c r="FX752" s="403">
        <f>FX760</f>
        <v/>
      </c>
      <c r="FY752" s="403">
        <f>FY760</f>
        <v/>
      </c>
      <c r="FZ752" s="403">
        <f>FZ760</f>
        <v/>
      </c>
      <c r="GA752" s="403">
        <f>GA760</f>
        <v/>
      </c>
      <c r="GB752" s="403">
        <f>GB760</f>
        <v/>
      </c>
      <c r="GC752" s="403">
        <f>GC760</f>
        <v/>
      </c>
      <c r="GD752" s="403">
        <f>GD760</f>
        <v/>
      </c>
      <c r="GE752" s="403">
        <f>GE760</f>
        <v/>
      </c>
      <c r="GF752" s="403">
        <f>GF760</f>
        <v/>
      </c>
      <c r="GG752" s="403">
        <f>GG760</f>
        <v/>
      </c>
      <c r="GH752" s="403">
        <f>GH760</f>
        <v/>
      </c>
      <c r="GI752" s="403">
        <f>GI760</f>
        <v/>
      </c>
      <c r="GJ752" s="403">
        <f>GJ760</f>
        <v/>
      </c>
      <c r="GK752" s="403">
        <f>GK760</f>
        <v/>
      </c>
      <c r="GL752" s="403">
        <f>GL760</f>
        <v/>
      </c>
      <c r="GM752" s="403">
        <f>GM760</f>
        <v/>
      </c>
      <c r="GN752" s="403">
        <f>GN760</f>
        <v/>
      </c>
      <c r="GO752" s="403">
        <f>GO760</f>
        <v/>
      </c>
      <c r="GP752" s="403">
        <f>GP760</f>
        <v/>
      </c>
      <c r="GQ752" s="403">
        <f>GQ760</f>
        <v/>
      </c>
      <c r="GR752" s="403">
        <f>GR760</f>
        <v/>
      </c>
      <c r="GS752" s="403">
        <f>GS760</f>
        <v/>
      </c>
      <c r="GT752" s="403">
        <f>GT760</f>
        <v/>
      </c>
      <c r="GU752" s="403">
        <f>GU760</f>
        <v/>
      </c>
      <c r="GV752" s="403">
        <f>GV760</f>
        <v/>
      </c>
      <c r="GW752" s="403">
        <f>GW760</f>
        <v/>
      </c>
      <c r="GX752" s="403">
        <f>GX760</f>
        <v/>
      </c>
    </row>
    <row r="753"/>
    <row r="754">
      <c r="A754" t="n">
        <v>17</v>
      </c>
      <c r="B754" t="n">
        <v>0</v>
      </c>
      <c r="C754">
        <f>ROW(SmtRes!A428)</f>
        <v/>
      </c>
      <c r="D754">
        <f>ROW(EtalonRes!A392)</f>
        <v/>
      </c>
      <c r="E754" t="inlineStr">
        <is>
          <t>1</t>
        </is>
      </c>
      <c r="F754" t="inlineStr">
        <is>
          <t>65-10-1</t>
        </is>
      </c>
      <c r="G754" t="inlineStr">
        <is>
          <t>Очистка канализационной сети внутренней</t>
        </is>
      </c>
      <c r="H754" t="inlineStr">
        <is>
          <t>100 м трубопровода</t>
        </is>
      </c>
      <c r="I754">
        <f>ROUND(ROUND(15/100,4),7)</f>
        <v/>
      </c>
      <c r="J754" t="n">
        <v>0</v>
      </c>
      <c r="K754">
        <f>ROUND(ROUND(15/100,4),7)</f>
        <v/>
      </c>
      <c r="O754">
        <f>ROUND(CP754,0)</f>
        <v/>
      </c>
      <c r="P754">
        <f>ROUND(CQ754*I754,0)</f>
        <v/>
      </c>
      <c r="Q754">
        <f>(ROUND((ROUND(((ET754)*I754),0)*BB754),0)+ROUND((ROUND(((AE754-(EU754))*I754),0)*BS754),0))</f>
        <v/>
      </c>
      <c r="R754">
        <f>(ROUND((ROUND(((EU754)*I754),0)*BS754),0)+ROUND((ROUND(((AE754-(EU754))*I754),0)*BS754),0))</f>
        <v/>
      </c>
      <c r="S754">
        <f>ROUND(CT754*I754,0)</f>
        <v/>
      </c>
      <c r="T754">
        <f>ROUND(CU754*I754,0)</f>
        <v/>
      </c>
      <c r="U754">
        <f>ROUND(CV754*I754,7)</f>
        <v/>
      </c>
      <c r="V754">
        <f>ROUND(CW754*I754,7)</f>
        <v/>
      </c>
      <c r="W754">
        <f>ROUND(CX754*I754,0)</f>
        <v/>
      </c>
      <c r="X754">
        <f>ROUND(CY754,0)</f>
        <v/>
      </c>
      <c r="Y754">
        <f>ROUND(CZ754,0)</f>
        <v/>
      </c>
      <c r="AA754" t="n">
        <v>78869116</v>
      </c>
      <c r="AB754">
        <f>ROUND((AC754+AD754+AF754),2)</f>
        <v/>
      </c>
      <c r="AC754">
        <f>ROUND((ES754),2)</f>
        <v/>
      </c>
      <c r="AD754">
        <f>ROUND((((ET754)-(EU754))+AE754),2)</f>
        <v/>
      </c>
      <c r="AE754">
        <f>ROUND((EU754),2)</f>
        <v/>
      </c>
      <c r="AF754">
        <f>ROUND((EV754),2)</f>
        <v/>
      </c>
      <c r="AG754">
        <f>ROUND((AP754),2)</f>
        <v/>
      </c>
      <c r="AH754">
        <f>(EW754)</f>
        <v/>
      </c>
      <c r="AI754">
        <f>(EX754)</f>
        <v/>
      </c>
      <c r="AJ754">
        <f>(AS754)</f>
        <v/>
      </c>
      <c r="AK754" t="n">
        <v>403.3</v>
      </c>
      <c r="AL754" t="n">
        <v>139.36</v>
      </c>
      <c r="AM754" t="n">
        <v>0.87</v>
      </c>
      <c r="AN754" t="n">
        <v>0</v>
      </c>
      <c r="AO754" t="n">
        <v>263.07</v>
      </c>
      <c r="AP754" t="n">
        <v>0</v>
      </c>
      <c r="AQ754" t="n">
        <v>32.2</v>
      </c>
      <c r="AR754" t="n">
        <v>0</v>
      </c>
      <c r="AS754" t="n">
        <v>0</v>
      </c>
      <c r="AT754" t="n">
        <v>103</v>
      </c>
      <c r="AU754" t="n">
        <v>52</v>
      </c>
      <c r="AV754" t="n">
        <v>1</v>
      </c>
      <c r="AW754" t="n">
        <v>1</v>
      </c>
      <c r="AZ754" t="n">
        <v>1</v>
      </c>
      <c r="BA754" t="n">
        <v>52.25</v>
      </c>
      <c r="BB754" t="n">
        <v>25.03</v>
      </c>
      <c r="BC754" t="n">
        <v>11.85</v>
      </c>
      <c r="BD754" t="inlineStr"/>
      <c r="BE754" t="inlineStr"/>
      <c r="BF754" t="inlineStr"/>
      <c r="BG754" t="inlineStr"/>
      <c r="BH754" t="n">
        <v>0</v>
      </c>
      <c r="BI754" t="n">
        <v>1</v>
      </c>
      <c r="BJ754" t="inlineStr">
        <is>
          <t>ТЕРр Московской обл., 65-10-1, приказ Минстроя России №675/пр от 28.02.2017 № 263/пр</t>
        </is>
      </c>
      <c r="BM754" t="n">
        <v>65007</v>
      </c>
      <c r="BN754" t="n">
        <v>0</v>
      </c>
      <c r="BO754" t="inlineStr">
        <is>
          <t>65-10-1</t>
        </is>
      </c>
      <c r="BP754" t="n">
        <v>1</v>
      </c>
      <c r="BQ754" t="n">
        <v>6</v>
      </c>
      <c r="BR754" t="n">
        <v>0</v>
      </c>
      <c r="BS754" t="n">
        <v>52.25</v>
      </c>
      <c r="BT754" t="n">
        <v>1</v>
      </c>
      <c r="BU754" t="n">
        <v>1</v>
      </c>
      <c r="BV754" t="n">
        <v>1</v>
      </c>
      <c r="BW754" t="n">
        <v>1</v>
      </c>
      <c r="BX754" t="n">
        <v>1</v>
      </c>
      <c r="BY754" t="inlineStr"/>
      <c r="BZ754" t="n">
        <v>103</v>
      </c>
      <c r="CA754" t="n">
        <v>52</v>
      </c>
      <c r="CB754" t="inlineStr"/>
      <c r="CE754" t="n">
        <v>12</v>
      </c>
      <c r="CF754" t="n">
        <v>0</v>
      </c>
      <c r="CG754" t="n">
        <v>0</v>
      </c>
      <c r="CM754" t="n">
        <v>0</v>
      </c>
      <c r="CN754" t="inlineStr"/>
      <c r="CO754" t="n">
        <v>0</v>
      </c>
      <c r="CP754">
        <f>(P754+Q754+S754)</f>
        <v/>
      </c>
      <c r="CQ754">
        <f>AC754*BC754</f>
        <v/>
      </c>
      <c r="CR754">
        <f>(ROUND((ROUND(((ET754)*1),0)*BB754),0)+ROUND((ROUND(((AE754-(EU754))*1),0)*BS754),0))</f>
        <v/>
      </c>
      <c r="CS754">
        <f>(ROUND((ROUND(((EU754)*1),0)*BS754),0)+ROUND((ROUND(((AE754-(EU754))*1),0)*BS754),0))</f>
        <v/>
      </c>
      <c r="CT754">
        <f>AF754*BA754</f>
        <v/>
      </c>
      <c r="CU754">
        <f>AG754</f>
        <v/>
      </c>
      <c r="CV754">
        <f>AH754</f>
        <v/>
      </c>
      <c r="CW754">
        <f>AI754</f>
        <v/>
      </c>
      <c r="CX754">
        <f>AJ754</f>
        <v/>
      </c>
      <c r="CY754">
        <f>(((S754+R754)*AT754)/100)</f>
        <v/>
      </c>
      <c r="CZ754">
        <f>(((S754+R754)*AU754)/100)</f>
        <v/>
      </c>
      <c r="DC754" t="inlineStr"/>
      <c r="DD754" t="inlineStr"/>
      <c r="DE754" t="inlineStr"/>
      <c r="DF754" t="inlineStr"/>
      <c r="DG754" t="inlineStr"/>
      <c r="DH754" t="inlineStr"/>
      <c r="DI754" t="inlineStr"/>
      <c r="DJ754" t="inlineStr"/>
      <c r="DK754" t="inlineStr"/>
      <c r="DL754" t="inlineStr"/>
      <c r="DM754" t="inlineStr"/>
      <c r="DN754" t="n">
        <v>0</v>
      </c>
      <c r="DO754" t="n">
        <v>0</v>
      </c>
      <c r="DP754" t="n">
        <v>1</v>
      </c>
      <c r="DQ754" t="n">
        <v>1</v>
      </c>
      <c r="DU754" t="n">
        <v>1013</v>
      </c>
      <c r="DV754" t="inlineStr">
        <is>
          <t>100 м трубопровода</t>
        </is>
      </c>
      <c r="DW754" t="inlineStr">
        <is>
          <t>100 м трубопровода</t>
        </is>
      </c>
      <c r="DX754" t="n">
        <v>1</v>
      </c>
      <c r="DZ754" t="inlineStr"/>
      <c r="EA754" t="inlineStr"/>
      <c r="EB754" t="inlineStr"/>
      <c r="EC754" t="inlineStr"/>
      <c r="EE754" t="n">
        <v>78726000</v>
      </c>
      <c r="EF754" t="n">
        <v>6</v>
      </c>
      <c r="EG754" t="inlineStr">
        <is>
          <t>Ремонтно-строительные работы</t>
        </is>
      </c>
      <c r="EH754" t="n">
        <v>99</v>
      </c>
      <c r="EI754" t="inlineStr">
        <is>
          <t>Внутренние санитарно-технические работы</t>
        </is>
      </c>
      <c r="EJ754" t="n">
        <v>1</v>
      </c>
      <c r="EK754" t="n">
        <v>65007</v>
      </c>
      <c r="EL754" t="inlineStr">
        <is>
          <t>Внутренние санитарнотехнические работы: смена труб, санприборов, запорной арматуры и другое</t>
        </is>
      </c>
      <c r="EM754" t="inlineStr">
        <is>
          <t>рФЕР-65</t>
        </is>
      </c>
      <c r="EO754" t="inlineStr"/>
      <c r="EQ754" t="n">
        <v>0</v>
      </c>
      <c r="ER754" t="n">
        <v>403.3</v>
      </c>
      <c r="ES754" t="n">
        <v>139.36</v>
      </c>
      <c r="ET754" t="n">
        <v>0.87</v>
      </c>
      <c r="EU754" t="n">
        <v>0</v>
      </c>
      <c r="EV754" t="n">
        <v>263.07</v>
      </c>
      <c r="EW754" t="n">
        <v>32.2</v>
      </c>
      <c r="EX754" t="n">
        <v>0</v>
      </c>
      <c r="EY754" t="n">
        <v>0</v>
      </c>
      <c r="FQ754" t="n">
        <v>0</v>
      </c>
      <c r="FR754" t="n">
        <v>0</v>
      </c>
      <c r="FS754" t="n">
        <v>0</v>
      </c>
      <c r="FX754" t="n">
        <v>103</v>
      </c>
      <c r="FY754" t="n">
        <v>52</v>
      </c>
      <c r="GA754" t="inlineStr"/>
      <c r="GD754" t="n">
        <v>1</v>
      </c>
      <c r="GF754" t="n">
        <v>-66904957</v>
      </c>
      <c r="GG754" t="n">
        <v>2</v>
      </c>
      <c r="GH754" t="n">
        <v>1</v>
      </c>
      <c r="GI754" t="n">
        <v>2</v>
      </c>
      <c r="GJ754" t="n">
        <v>0</v>
      </c>
      <c r="GK754" t="n">
        <v>0</v>
      </c>
      <c r="GL754">
        <f>ROUND(IF(AND(BH754=3,BI754=3,FS754&lt;&gt;0),P754,0),0)</f>
        <v/>
      </c>
      <c r="GM754">
        <f>ROUND(O754+X754+Y754,0)+GX754</f>
        <v/>
      </c>
      <c r="GN754">
        <f>IF(OR(BI754=0,BI754=1),GM754-GX754,0)</f>
        <v/>
      </c>
      <c r="GO754">
        <f>IF(BI754=2,GM754-GX754,0)</f>
        <v/>
      </c>
      <c r="GP754">
        <f>IF(BI754=4,GM754-GX754,0)</f>
        <v/>
      </c>
      <c r="GR754" t="n">
        <v>0</v>
      </c>
      <c r="GS754" t="n">
        <v>3</v>
      </c>
      <c r="GT754" t="n">
        <v>0</v>
      </c>
      <c r="GU754" t="inlineStr"/>
      <c r="GV754">
        <f>ROUND((GT754),2)</f>
        <v/>
      </c>
      <c r="GW754" t="n">
        <v>1</v>
      </c>
      <c r="GX754">
        <f>ROUND(HC754*I754,0)</f>
        <v/>
      </c>
      <c r="HA754" t="n">
        <v>0</v>
      </c>
      <c r="HB754" t="n">
        <v>0</v>
      </c>
      <c r="HC754">
        <f>GV754*GW754</f>
        <v/>
      </c>
      <c r="HE754" t="inlineStr"/>
      <c r="HF754" t="inlineStr"/>
      <c r="HM754" t="inlineStr"/>
      <c r="HN754" t="inlineStr">
        <is>
          <t>Пр/812-099.2-1</t>
        </is>
      </c>
      <c r="HO754" t="inlineStr">
        <is>
          <t>Пр/774-099.2</t>
        </is>
      </c>
      <c r="HP754" t="inlineStr">
        <is>
          <t>Внутренние санитарнотехнические работы: смена труб, санприборов, запорной арматуры и другое</t>
        </is>
      </c>
      <c r="HQ754" t="inlineStr">
        <is>
          <t>Внутренние санитарнотехнические работы: смена труб, санприборов, запорной арматуры и другое</t>
        </is>
      </c>
      <c r="HS754" t="n">
        <v>0</v>
      </c>
      <c r="IK754" t="n">
        <v>0</v>
      </c>
    </row>
    <row r="755">
      <c r="A755" t="n">
        <v>17</v>
      </c>
      <c r="B755" t="n">
        <v>0</v>
      </c>
      <c r="C755">
        <f>ROW(SmtRes!A434)</f>
        <v/>
      </c>
      <c r="D755">
        <f>ROW(EtalonRes!A398)</f>
        <v/>
      </c>
      <c r="E755" t="inlineStr">
        <is>
          <t>2</t>
        </is>
      </c>
      <c r="F755" t="inlineStr">
        <is>
          <t>16-07-005-1</t>
        </is>
      </c>
      <c r="G75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55" t="inlineStr">
        <is>
          <t>100 м трубопровода</t>
        </is>
      </c>
      <c r="I755">
        <f>ROUND(ROUND(60/100,4),7)</f>
        <v/>
      </c>
      <c r="J755" t="n">
        <v>0</v>
      </c>
      <c r="K755">
        <f>ROUND(ROUND(60/100,4),7)</f>
        <v/>
      </c>
      <c r="O755">
        <f>ROUND(CP755,0)</f>
        <v/>
      </c>
      <c r="P755">
        <f>ROUND(CQ755*I755,0)</f>
        <v/>
      </c>
      <c r="Q755">
        <f>(ROUND((ROUND((((ET755*ROUND(9,7)))*I755),0)*BB755),0)+ROUND((ROUND(((AE755-((EU755*ROUND(9,7))))*I755),0)*BS755),0))</f>
        <v/>
      </c>
      <c r="R755">
        <f>(ROUND((ROUND((((EU755*ROUND(9,7)))*I755),0)*BS755),0)+ROUND((ROUND(((AE755-((EU755*ROUND(9,7))))*I755),0)*BS755),0))</f>
        <v/>
      </c>
      <c r="S755">
        <f>ROUND(CT755*I755,0)</f>
        <v/>
      </c>
      <c r="T755">
        <f>ROUND(CU755*I755,0)</f>
        <v/>
      </c>
      <c r="U755">
        <f>ROUND(CV755*I755,7)</f>
        <v/>
      </c>
      <c r="V755">
        <f>ROUND(CW755*I755,7)</f>
        <v/>
      </c>
      <c r="W755">
        <f>ROUND(CX755*I755,0)</f>
        <v/>
      </c>
      <c r="X755">
        <f>ROUND(CY755,0)</f>
        <v/>
      </c>
      <c r="Y755">
        <f>ROUND(CZ755,0)</f>
        <v/>
      </c>
      <c r="AA755" t="n">
        <v>78869116</v>
      </c>
      <c r="AB755">
        <f>ROUND((AC755+AD755+AF755),2)</f>
        <v/>
      </c>
      <c r="AC755">
        <f>ROUND(((ES755*ROUND(9,7))),2)</f>
        <v/>
      </c>
      <c r="AD755">
        <f>ROUND(((((ET755*ROUND(9,7)))-((EU755*ROUND(9,7))))+AE755),2)</f>
        <v/>
      </c>
      <c r="AE755">
        <f>ROUND(((EU755*ROUND(9,7))),2)</f>
        <v/>
      </c>
      <c r="AF755">
        <f>ROUND(((EV755*ROUND(9,7))),2)</f>
        <v/>
      </c>
      <c r="AG755">
        <f>ROUND((AP755),2)</f>
        <v/>
      </c>
      <c r="AH755">
        <f>((EW755*ROUND(9,7)))</f>
        <v/>
      </c>
      <c r="AI755">
        <f>((EX755*ROUND(9,7)))</f>
        <v/>
      </c>
      <c r="AJ755">
        <f>(AS755)</f>
        <v/>
      </c>
      <c r="AK755" t="n">
        <v>107.11</v>
      </c>
      <c r="AL755" t="n">
        <v>4.28</v>
      </c>
      <c r="AM755" t="n">
        <v>44.51</v>
      </c>
      <c r="AN755" t="n">
        <v>0</v>
      </c>
      <c r="AO755" t="n">
        <v>58.32</v>
      </c>
      <c r="AP755" t="n">
        <v>0</v>
      </c>
      <c r="AQ755" t="n">
        <v>5.01</v>
      </c>
      <c r="AR755" t="n">
        <v>0</v>
      </c>
      <c r="AS755" t="n">
        <v>0</v>
      </c>
      <c r="AT755" t="n">
        <v>121</v>
      </c>
      <c r="AU755" t="n">
        <v>72</v>
      </c>
      <c r="AV755" t="n">
        <v>1</v>
      </c>
      <c r="AW755" t="n">
        <v>1</v>
      </c>
      <c r="AZ755" t="n">
        <v>1</v>
      </c>
      <c r="BA755" t="n">
        <v>52.25</v>
      </c>
      <c r="BB755" t="n">
        <v>5.97</v>
      </c>
      <c r="BC755" t="n">
        <v>11.38</v>
      </c>
      <c r="BD755" t="inlineStr"/>
      <c r="BE755" t="inlineStr"/>
      <c r="BF755" t="inlineStr"/>
      <c r="BG755" t="inlineStr"/>
      <c r="BH755" t="n">
        <v>0</v>
      </c>
      <c r="BI755" t="n">
        <v>1</v>
      </c>
      <c r="BJ755" t="inlineStr">
        <is>
          <t>ТЕР Московской обл., 16-07-005-1, приказ Минстроя России №675/пр от 28.02.2017 № 260/пр</t>
        </is>
      </c>
      <c r="BM755" t="n">
        <v>16001</v>
      </c>
      <c r="BN755" t="n">
        <v>0</v>
      </c>
      <c r="BO755" t="inlineStr">
        <is>
          <t>16-07-005-1</t>
        </is>
      </c>
      <c r="BP755" t="n">
        <v>1</v>
      </c>
      <c r="BQ755" t="n">
        <v>2</v>
      </c>
      <c r="BR755" t="n">
        <v>0</v>
      </c>
      <c r="BS755" t="n">
        <v>52.25</v>
      </c>
      <c r="BT755" t="n">
        <v>1</v>
      </c>
      <c r="BU755" t="n">
        <v>1</v>
      </c>
      <c r="BV755" t="n">
        <v>1</v>
      </c>
      <c r="BW755" t="n">
        <v>1</v>
      </c>
      <c r="BX755" t="n">
        <v>1</v>
      </c>
      <c r="BY755" t="inlineStr"/>
      <c r="BZ755" t="n">
        <v>121</v>
      </c>
      <c r="CA755" t="n">
        <v>72</v>
      </c>
      <c r="CB755" t="inlineStr"/>
      <c r="CE755" t="n">
        <v>12</v>
      </c>
      <c r="CF755" t="n">
        <v>0</v>
      </c>
      <c r="CG755" t="n">
        <v>0</v>
      </c>
      <c r="CM755" t="n">
        <v>0</v>
      </c>
      <c r="CN755" t="inlineStr"/>
      <c r="CO755" t="n">
        <v>0</v>
      </c>
      <c r="CP755">
        <f>(P755+Q755+S755)</f>
        <v/>
      </c>
      <c r="CQ755">
        <f>AC755*BC755</f>
        <v/>
      </c>
      <c r="CR755">
        <f>(ROUND((ROUND((((ET755*ROUND(9,7)))*1),0)*BB755),0)+ROUND((ROUND(((AE755-((EU755*ROUND(9,7))))*1),0)*BS755),0))</f>
        <v/>
      </c>
      <c r="CS755">
        <f>(ROUND((ROUND((((EU755*ROUND(9,7)))*1),0)*BS755),0)+ROUND((ROUND(((AE755-((EU755*ROUND(9,7))))*1),0)*BS755),0))</f>
        <v/>
      </c>
      <c r="CT755">
        <f>AF755*BA755</f>
        <v/>
      </c>
      <c r="CU755">
        <f>AG755</f>
        <v/>
      </c>
      <c r="CV755">
        <f>AH755</f>
        <v/>
      </c>
      <c r="CW755">
        <f>AI755</f>
        <v/>
      </c>
      <c r="CX755">
        <f>AJ755</f>
        <v/>
      </c>
      <c r="CY755">
        <f>(((S755+R755)*AT755)/100)</f>
        <v/>
      </c>
      <c r="CZ755">
        <f>(((S755+R755)*AU755)/100)</f>
        <v/>
      </c>
      <c r="DC755" t="inlineStr"/>
      <c r="DD755" t="inlineStr">
        <is>
          <t>)*9</t>
        </is>
      </c>
      <c r="DE755" t="inlineStr">
        <is>
          <t>)*9</t>
        </is>
      </c>
      <c r="DF755" t="inlineStr">
        <is>
          <t>)*9</t>
        </is>
      </c>
      <c r="DG755" t="inlineStr">
        <is>
          <t>)*9</t>
        </is>
      </c>
      <c r="DH755" t="inlineStr"/>
      <c r="DI755" t="inlineStr">
        <is>
          <t>)*9</t>
        </is>
      </c>
      <c r="DJ755" t="inlineStr">
        <is>
          <t>)*9</t>
        </is>
      </c>
      <c r="DK755" t="inlineStr"/>
      <c r="DL755" t="inlineStr"/>
      <c r="DM755" t="inlineStr"/>
      <c r="DN755" t="n">
        <v>0</v>
      </c>
      <c r="DO755" t="n">
        <v>0</v>
      </c>
      <c r="DP755" t="n">
        <v>1</v>
      </c>
      <c r="DQ755" t="n">
        <v>1</v>
      </c>
      <c r="DU755" t="n">
        <v>1013</v>
      </c>
      <c r="DV755" t="inlineStr">
        <is>
          <t>100 м трубопровода</t>
        </is>
      </c>
      <c r="DW755" t="inlineStr">
        <is>
          <t>100 м трубопровода</t>
        </is>
      </c>
      <c r="DX755" t="n">
        <v>1</v>
      </c>
      <c r="DZ755" t="inlineStr"/>
      <c r="EA755" t="inlineStr"/>
      <c r="EB755" t="inlineStr"/>
      <c r="EC755" t="inlineStr"/>
      <c r="EE755" t="n">
        <v>78725882</v>
      </c>
      <c r="EF755" t="n">
        <v>2</v>
      </c>
      <c r="EG755" t="inlineStr">
        <is>
          <t>Общестроительные работы</t>
        </is>
      </c>
      <c r="EH755" t="n">
        <v>16</v>
      </c>
      <c r="EI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55" t="n">
        <v>1</v>
      </c>
      <c r="EK755" t="n">
        <v>16001</v>
      </c>
      <c r="EL755" t="inlineStr">
        <is>
          <t>Трубопроводы внутренние</t>
        </is>
      </c>
      <c r="EM755" t="inlineStr">
        <is>
          <t>ФЕР-16</t>
        </is>
      </c>
      <c r="EO755" t="inlineStr"/>
      <c r="EQ755" t="n">
        <v>0</v>
      </c>
      <c r="ER755" t="n">
        <v>107.11</v>
      </c>
      <c r="ES755" t="n">
        <v>4.28</v>
      </c>
      <c r="ET755" t="n">
        <v>44.51</v>
      </c>
      <c r="EU755" t="n">
        <v>0</v>
      </c>
      <c r="EV755" t="n">
        <v>58.32</v>
      </c>
      <c r="EW755" t="n">
        <v>5.01</v>
      </c>
      <c r="EX755" t="n">
        <v>0</v>
      </c>
      <c r="EY755" t="n">
        <v>0</v>
      </c>
      <c r="FQ755" t="n">
        <v>0</v>
      </c>
      <c r="FR755" t="n">
        <v>0</v>
      </c>
      <c r="FS755" t="n">
        <v>0</v>
      </c>
      <c r="FX755" t="n">
        <v>121</v>
      </c>
      <c r="FY755" t="n">
        <v>72</v>
      </c>
      <c r="GA755" t="inlineStr"/>
      <c r="GD755" t="n">
        <v>1</v>
      </c>
      <c r="GF755" t="n">
        <v>635989612</v>
      </c>
      <c r="GG755" t="n">
        <v>2</v>
      </c>
      <c r="GH755" t="n">
        <v>1</v>
      </c>
      <c r="GI755" t="n">
        <v>2</v>
      </c>
      <c r="GJ755" t="n">
        <v>0</v>
      </c>
      <c r="GK755" t="n">
        <v>0</v>
      </c>
      <c r="GL755">
        <f>ROUND(IF(AND(BH755=3,BI755=3,FS755&lt;&gt;0),P755,0),0)</f>
        <v/>
      </c>
      <c r="GM755">
        <f>ROUND(O755+X755+Y755,0)+GX755</f>
        <v/>
      </c>
      <c r="GN755">
        <f>IF(OR(BI755=0,BI755=1),GM755-GX755,0)</f>
        <v/>
      </c>
      <c r="GO755">
        <f>IF(BI755=2,GM755-GX755,0)</f>
        <v/>
      </c>
      <c r="GP755">
        <f>IF(BI755=4,GM755-GX755,0)</f>
        <v/>
      </c>
      <c r="GR755" t="n">
        <v>0</v>
      </c>
      <c r="GS755" t="n">
        <v>3</v>
      </c>
      <c r="GT755" t="n">
        <v>0</v>
      </c>
      <c r="GU755" t="inlineStr"/>
      <c r="GV755">
        <f>ROUND((GT755),2)</f>
        <v/>
      </c>
      <c r="GW755" t="n">
        <v>1</v>
      </c>
      <c r="GX755">
        <f>ROUND(HC755*I755,0)</f>
        <v/>
      </c>
      <c r="HA755" t="n">
        <v>0</v>
      </c>
      <c r="HB755" t="n">
        <v>0</v>
      </c>
      <c r="HC755">
        <f>GV755*GW755</f>
        <v/>
      </c>
      <c r="HE755" t="inlineStr"/>
      <c r="HF755" t="inlineStr"/>
      <c r="HM755" t="inlineStr"/>
      <c r="HN755" t="inlineStr">
        <is>
          <t>Пр/812-016.0-1</t>
        </is>
      </c>
      <c r="HO755" t="inlineStr">
        <is>
          <t>Пр/774-016.0</t>
        </is>
      </c>
      <c r="HP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55" t="n">
        <v>0</v>
      </c>
      <c r="IK755" t="n">
        <v>0</v>
      </c>
    </row>
    <row r="756">
      <c r="A756" t="n">
        <v>17</v>
      </c>
      <c r="B756" t="n">
        <v>0</v>
      </c>
      <c r="C756">
        <f>ROW(SmtRes!A442)</f>
        <v/>
      </c>
      <c r="D756">
        <f>ROW(EtalonRes!A405)</f>
        <v/>
      </c>
      <c r="E756" t="inlineStr">
        <is>
          <t>3</t>
        </is>
      </c>
      <c r="F756" t="inlineStr">
        <is>
          <t>65-5-1</t>
        </is>
      </c>
      <c r="G756" t="inlineStr">
        <is>
          <t>Смена вентилей и клапанов обратных муфтовых диаметром до 20 мм</t>
        </is>
      </c>
      <c r="H756" t="inlineStr">
        <is>
          <t>100 шт.</t>
        </is>
      </c>
      <c r="I756">
        <f>ROUND(ROUND(1/100,4),7)</f>
        <v/>
      </c>
      <c r="J756" t="n">
        <v>0</v>
      </c>
      <c r="K756">
        <f>ROUND(ROUND(1/100,4),7)</f>
        <v/>
      </c>
      <c r="O756">
        <f>ROUND(CP756,0)</f>
        <v/>
      </c>
      <c r="P756">
        <f>ROUND(CQ756*I756,0)</f>
        <v/>
      </c>
      <c r="Q756">
        <f>(ROUND((ROUND(((ET756)*I756),0)*BB756),0)+ROUND((ROUND(((AE756-(EU756))*I756),0)*BS756),0))</f>
        <v/>
      </c>
      <c r="R756">
        <f>(ROUND((ROUND(((EU756)*I756),0)*BS756),0)+ROUND((ROUND(((AE756-(EU756))*I756),0)*BS756),0))</f>
        <v/>
      </c>
      <c r="S756">
        <f>ROUND(CT756*I756,0)</f>
        <v/>
      </c>
      <c r="T756">
        <f>ROUND(CU756*I756,0)</f>
        <v/>
      </c>
      <c r="U756">
        <f>ROUND(CV756*I756,7)</f>
        <v/>
      </c>
      <c r="V756">
        <f>ROUND(CW756*I756,7)</f>
        <v/>
      </c>
      <c r="W756">
        <f>ROUND(CX756*I756,0)</f>
        <v/>
      </c>
      <c r="X756">
        <f>ROUND(CY756,0)</f>
        <v/>
      </c>
      <c r="Y756">
        <f>ROUND(CZ756,0)</f>
        <v/>
      </c>
      <c r="AA756" t="n">
        <v>78869116</v>
      </c>
      <c r="AB756">
        <f>ROUND((AC756+AD756+AF756),2)</f>
        <v/>
      </c>
      <c r="AC756">
        <f>ROUND((ES756),2)</f>
        <v/>
      </c>
      <c r="AD756">
        <f>ROUND((((ET756)-(EU756))+AE756),2)</f>
        <v/>
      </c>
      <c r="AE756">
        <f>ROUND((EU756),2)</f>
        <v/>
      </c>
      <c r="AF756">
        <f>ROUND((EV756),2)</f>
        <v/>
      </c>
      <c r="AG756">
        <f>ROUND((AP756),2)</f>
        <v/>
      </c>
      <c r="AH756">
        <f>(EW756)</f>
        <v/>
      </c>
      <c r="AI756">
        <f>(EX756)</f>
        <v/>
      </c>
      <c r="AJ756">
        <f>(AS756)</f>
        <v/>
      </c>
      <c r="AK756" t="n">
        <v>2979.16</v>
      </c>
      <c r="AL756" t="n">
        <v>2240.13</v>
      </c>
      <c r="AM756" t="n">
        <v>4.36</v>
      </c>
      <c r="AN756" t="n">
        <v>0</v>
      </c>
      <c r="AO756" t="n">
        <v>734.67</v>
      </c>
      <c r="AP756" t="n">
        <v>0</v>
      </c>
      <c r="AQ756" t="n">
        <v>81</v>
      </c>
      <c r="AR756" t="n">
        <v>0</v>
      </c>
      <c r="AS756" t="n">
        <v>0</v>
      </c>
      <c r="AT756" t="n">
        <v>103</v>
      </c>
      <c r="AU756" t="n">
        <v>52</v>
      </c>
      <c r="AV756" t="n">
        <v>1</v>
      </c>
      <c r="AW756" t="n">
        <v>1</v>
      </c>
      <c r="AZ756" t="n">
        <v>1</v>
      </c>
      <c r="BA756" t="n">
        <v>52.25</v>
      </c>
      <c r="BB756" t="n">
        <v>24.98</v>
      </c>
      <c r="BC756" t="n">
        <v>10.16</v>
      </c>
      <c r="BD756" t="inlineStr"/>
      <c r="BE756" t="inlineStr"/>
      <c r="BF756" t="inlineStr"/>
      <c r="BG756" t="inlineStr"/>
      <c r="BH756" t="n">
        <v>0</v>
      </c>
      <c r="BI756" t="n">
        <v>1</v>
      </c>
      <c r="BJ756" t="inlineStr">
        <is>
          <t>ТЕРр Московской обл., 65-5-1, приказ Минстроя России №675/пр от 28.02.2017 № 263/пр</t>
        </is>
      </c>
      <c r="BM756" t="n">
        <v>65007</v>
      </c>
      <c r="BN756" t="n">
        <v>0</v>
      </c>
      <c r="BO756" t="inlineStr">
        <is>
          <t>65-5-1</t>
        </is>
      </c>
      <c r="BP756" t="n">
        <v>1</v>
      </c>
      <c r="BQ756" t="n">
        <v>6</v>
      </c>
      <c r="BR756" t="n">
        <v>0</v>
      </c>
      <c r="BS756" t="n">
        <v>52.25</v>
      </c>
      <c r="BT756" t="n">
        <v>1</v>
      </c>
      <c r="BU756" t="n">
        <v>1</v>
      </c>
      <c r="BV756" t="n">
        <v>1</v>
      </c>
      <c r="BW756" t="n">
        <v>1</v>
      </c>
      <c r="BX756" t="n">
        <v>1</v>
      </c>
      <c r="BY756" t="inlineStr"/>
      <c r="BZ756" t="n">
        <v>103</v>
      </c>
      <c r="CA756" t="n">
        <v>52</v>
      </c>
      <c r="CB756" t="inlineStr"/>
      <c r="CE756" t="n">
        <v>12</v>
      </c>
      <c r="CF756" t="n">
        <v>0</v>
      </c>
      <c r="CG756" t="n">
        <v>0</v>
      </c>
      <c r="CM756" t="n">
        <v>0</v>
      </c>
      <c r="CN756" t="inlineStr"/>
      <c r="CO756" t="n">
        <v>0</v>
      </c>
      <c r="CP756">
        <f>(P756+Q756+S756)</f>
        <v/>
      </c>
      <c r="CQ756">
        <f>AC756*BC756</f>
        <v/>
      </c>
      <c r="CR756">
        <f>(ROUND((ROUND(((ET756)*1),0)*BB756),0)+ROUND((ROUND(((AE756-(EU756))*1),0)*BS756),0))</f>
        <v/>
      </c>
      <c r="CS756">
        <f>(ROUND((ROUND(((EU756)*1),0)*BS756),0)+ROUND((ROUND(((AE756-(EU756))*1),0)*BS756),0))</f>
        <v/>
      </c>
      <c r="CT756">
        <f>AF756*BA756</f>
        <v/>
      </c>
      <c r="CU756">
        <f>AG756</f>
        <v/>
      </c>
      <c r="CV756">
        <f>AH756</f>
        <v/>
      </c>
      <c r="CW756">
        <f>AI756</f>
        <v/>
      </c>
      <c r="CX756">
        <f>AJ756</f>
        <v/>
      </c>
      <c r="CY756">
        <f>(((S756+R756)*AT756)/100)</f>
        <v/>
      </c>
      <c r="CZ756">
        <f>(((S756+R756)*AU756)/100)</f>
        <v/>
      </c>
      <c r="DC756" t="inlineStr"/>
      <c r="DD756" t="inlineStr"/>
      <c r="DE756" t="inlineStr"/>
      <c r="DF756" t="inlineStr"/>
      <c r="DG756" t="inlineStr"/>
      <c r="DH756" t="inlineStr"/>
      <c r="DI756" t="inlineStr"/>
      <c r="DJ756" t="inlineStr"/>
      <c r="DK756" t="inlineStr"/>
      <c r="DL756" t="inlineStr"/>
      <c r="DM756" t="inlineStr"/>
      <c r="DN756" t="n">
        <v>0</v>
      </c>
      <c r="DO756" t="n">
        <v>0</v>
      </c>
      <c r="DP756" t="n">
        <v>1</v>
      </c>
      <c r="DQ756" t="n">
        <v>1</v>
      </c>
      <c r="DU756" t="n">
        <v>1010</v>
      </c>
      <c r="DV756" t="inlineStr">
        <is>
          <t>100 шт.</t>
        </is>
      </c>
      <c r="DW756" t="inlineStr">
        <is>
          <t>100 шт.</t>
        </is>
      </c>
      <c r="DX756" t="n">
        <v>100</v>
      </c>
      <c r="DZ756" t="inlineStr"/>
      <c r="EA756" t="inlineStr"/>
      <c r="EB756" t="inlineStr"/>
      <c r="EC756" t="inlineStr"/>
      <c r="EE756" t="n">
        <v>78726000</v>
      </c>
      <c r="EF756" t="n">
        <v>6</v>
      </c>
      <c r="EG756" t="inlineStr">
        <is>
          <t>Ремонтно-строительные работы</t>
        </is>
      </c>
      <c r="EH756" t="n">
        <v>99</v>
      </c>
      <c r="EI756" t="inlineStr">
        <is>
          <t>Внутренние санитарно-технические работы</t>
        </is>
      </c>
      <c r="EJ756" t="n">
        <v>1</v>
      </c>
      <c r="EK756" t="n">
        <v>65007</v>
      </c>
      <c r="EL756" t="inlineStr">
        <is>
          <t>Внутренние санитарнотехнические работы: смена труб, санприборов, запорной арматуры и другое</t>
        </is>
      </c>
      <c r="EM756" t="inlineStr">
        <is>
          <t>рФЕР-65</t>
        </is>
      </c>
      <c r="EO756" t="inlineStr"/>
      <c r="EQ756" t="n">
        <v>0</v>
      </c>
      <c r="ER756" t="n">
        <v>2979.16</v>
      </c>
      <c r="ES756" t="n">
        <v>2240.13</v>
      </c>
      <c r="ET756" t="n">
        <v>4.36</v>
      </c>
      <c r="EU756" t="n">
        <v>0</v>
      </c>
      <c r="EV756" t="n">
        <v>734.67</v>
      </c>
      <c r="EW756" t="n">
        <v>81</v>
      </c>
      <c r="EX756" t="n">
        <v>0</v>
      </c>
      <c r="EY756" t="n">
        <v>0</v>
      </c>
      <c r="FQ756" t="n">
        <v>0</v>
      </c>
      <c r="FR756" t="n">
        <v>0</v>
      </c>
      <c r="FS756" t="n">
        <v>0</v>
      </c>
      <c r="FX756" t="n">
        <v>103</v>
      </c>
      <c r="FY756" t="n">
        <v>52</v>
      </c>
      <c r="GA756" t="inlineStr"/>
      <c r="GD756" t="n">
        <v>1</v>
      </c>
      <c r="GF756" t="n">
        <v>152852496</v>
      </c>
      <c r="GG756" t="n">
        <v>2</v>
      </c>
      <c r="GH756" t="n">
        <v>1</v>
      </c>
      <c r="GI756" t="n">
        <v>2</v>
      </c>
      <c r="GJ756" t="n">
        <v>0</v>
      </c>
      <c r="GK756" t="n">
        <v>0</v>
      </c>
      <c r="GL756">
        <f>ROUND(IF(AND(BH756=3,BI756=3,FS756&lt;&gt;0),P756,0),0)</f>
        <v/>
      </c>
      <c r="GM756">
        <f>ROUND(O756+X756+Y756,0)+GX756</f>
        <v/>
      </c>
      <c r="GN756">
        <f>IF(OR(BI756=0,BI756=1),GM756-GX756,0)</f>
        <v/>
      </c>
      <c r="GO756">
        <f>IF(BI756=2,GM756-GX756,0)</f>
        <v/>
      </c>
      <c r="GP756">
        <f>IF(BI756=4,GM756-GX756,0)</f>
        <v/>
      </c>
      <c r="GR756" t="n">
        <v>0</v>
      </c>
      <c r="GS756" t="n">
        <v>3</v>
      </c>
      <c r="GT756" t="n">
        <v>0</v>
      </c>
      <c r="GU756" t="inlineStr"/>
      <c r="GV756">
        <f>ROUND((GT756),2)</f>
        <v/>
      </c>
      <c r="GW756" t="n">
        <v>1</v>
      </c>
      <c r="GX756">
        <f>ROUND(HC756*I756,0)</f>
        <v/>
      </c>
      <c r="HA756" t="n">
        <v>0</v>
      </c>
      <c r="HB756" t="n">
        <v>0</v>
      </c>
      <c r="HC756">
        <f>GV756*GW756</f>
        <v/>
      </c>
      <c r="HE756" t="inlineStr"/>
      <c r="HF756" t="inlineStr"/>
      <c r="HM756" t="inlineStr"/>
      <c r="HN756" t="inlineStr">
        <is>
          <t>Пр/812-099.2-1</t>
        </is>
      </c>
      <c r="HO756" t="inlineStr">
        <is>
          <t>Пр/774-099.2</t>
        </is>
      </c>
      <c r="HP756" t="inlineStr">
        <is>
          <t>Внутренние санитарнотехнические работы: смена труб, санприборов, запорной арматуры и другое</t>
        </is>
      </c>
      <c r="HQ756" t="inlineStr">
        <is>
          <t>Внутренние санитарнотехнические работы: смена труб, санприборов, запорной арматуры и другое</t>
        </is>
      </c>
      <c r="HS756" t="n">
        <v>0</v>
      </c>
      <c r="IK756" t="n">
        <v>0</v>
      </c>
    </row>
    <row r="757">
      <c r="A757" t="n">
        <v>18</v>
      </c>
      <c r="B757" t="n">
        <v>0</v>
      </c>
      <c r="C757" t="n">
        <v>442</v>
      </c>
      <c r="E757" t="inlineStr">
        <is>
          <t>3,1</t>
        </is>
      </c>
      <c r="F757" t="inlineStr">
        <is>
          <t>509-9899</t>
        </is>
      </c>
      <c r="G757" t="inlineStr">
        <is>
          <t>Строительный мусор и масса возвратных материалов</t>
        </is>
      </c>
      <c r="H757" t="inlineStr">
        <is>
          <t>т</t>
        </is>
      </c>
      <c r="I757">
        <f>I756*J757</f>
        <v/>
      </c>
      <c r="J757" t="n">
        <v>0.04</v>
      </c>
      <c r="K757" t="n">
        <v>0.04</v>
      </c>
      <c r="O757">
        <f>ROUND(CP757,0)</f>
        <v/>
      </c>
      <c r="P757">
        <f>ROUND(CQ757*I757,0)</f>
        <v/>
      </c>
      <c r="Q757">
        <f>(ROUND((ROUND(((ET757)*I757),0)*BB757),0)+ROUND((ROUND(((AE757-(EU757))*I757),0)*BS757),0))</f>
        <v/>
      </c>
      <c r="R757">
        <f>(ROUND((ROUND(((EU757)*I757),0)*BS757),0)+ROUND((ROUND(((AE757-(EU757))*I757),0)*BS757),0))</f>
        <v/>
      </c>
      <c r="S757">
        <f>ROUND(CT757*I757,0)</f>
        <v/>
      </c>
      <c r="T757">
        <f>ROUND(CU757*I757,0)</f>
        <v/>
      </c>
      <c r="U757">
        <f>ROUND(CV757*I757,7)</f>
        <v/>
      </c>
      <c r="V757">
        <f>ROUND(CW757*I757,7)</f>
        <v/>
      </c>
      <c r="W757">
        <f>ROUND(CX757*I757,0)</f>
        <v/>
      </c>
      <c r="X757">
        <f>ROUND(CY757,0)</f>
        <v/>
      </c>
      <c r="Y757">
        <f>ROUND(CZ757,0)</f>
        <v/>
      </c>
      <c r="AA757" t="n">
        <v>78869116</v>
      </c>
      <c r="AB757">
        <f>ROUND((AC757+AD757+AF757),2)</f>
        <v/>
      </c>
      <c r="AC757">
        <f>ROUND((ES757),2)</f>
        <v/>
      </c>
      <c r="AD757">
        <f>ROUND((((ET757)-(EU757))+AE757),2)</f>
        <v/>
      </c>
      <c r="AE757">
        <f>ROUND((EU757),2)</f>
        <v/>
      </c>
      <c r="AF757">
        <f>ROUND((EV757),2)</f>
        <v/>
      </c>
      <c r="AG757">
        <f>ROUND((AP757),2)</f>
        <v/>
      </c>
      <c r="AH757">
        <f>(EW757)</f>
        <v/>
      </c>
      <c r="AI757">
        <f>(EX757)</f>
        <v/>
      </c>
      <c r="AJ757">
        <f>(AS757)</f>
        <v/>
      </c>
      <c r="AK757" t="n">
        <v>0</v>
      </c>
      <c r="AL757" t="n">
        <v>0</v>
      </c>
      <c r="AM757" t="n">
        <v>0</v>
      </c>
      <c r="AN757" t="n">
        <v>0</v>
      </c>
      <c r="AO757" t="n">
        <v>0</v>
      </c>
      <c r="AP757" t="n">
        <v>0</v>
      </c>
      <c r="AQ757" t="n">
        <v>0</v>
      </c>
      <c r="AR757" t="n">
        <v>0</v>
      </c>
      <c r="AS757" t="n">
        <v>0</v>
      </c>
      <c r="AT757" t="n">
        <v>103</v>
      </c>
      <c r="AU757" t="n">
        <v>52</v>
      </c>
      <c r="AV757" t="n">
        <v>1</v>
      </c>
      <c r="AW757" t="n">
        <v>1</v>
      </c>
      <c r="AZ757" t="n">
        <v>1</v>
      </c>
      <c r="BA757" t="n">
        <v>1</v>
      </c>
      <c r="BB757" t="n">
        <v>1</v>
      </c>
      <c r="BC757" t="n">
        <v>1</v>
      </c>
      <c r="BD757" t="inlineStr"/>
      <c r="BE757" t="inlineStr"/>
      <c r="BF757" t="inlineStr"/>
      <c r="BG757" t="inlineStr"/>
      <c r="BH757" t="n">
        <v>3</v>
      </c>
      <c r="BI757" t="n">
        <v>1</v>
      </c>
      <c r="BJ757" t="inlineStr">
        <is>
          <t>ТССЦ Московской обл., 509-9899, приказ Минстроя России №675/пр от 28.02.2017 № 258/пр</t>
        </is>
      </c>
      <c r="BM757" t="n">
        <v>65007</v>
      </c>
      <c r="BN757" t="n">
        <v>0</v>
      </c>
      <c r="BO757" t="inlineStr"/>
      <c r="BP757" t="n">
        <v>0</v>
      </c>
      <c r="BQ757" t="n">
        <v>6</v>
      </c>
      <c r="BR757" t="n">
        <v>0</v>
      </c>
      <c r="BS757" t="n">
        <v>1</v>
      </c>
      <c r="BT757" t="n">
        <v>1</v>
      </c>
      <c r="BU757" t="n">
        <v>1</v>
      </c>
      <c r="BV757" t="n">
        <v>1</v>
      </c>
      <c r="BW757" t="n">
        <v>1</v>
      </c>
      <c r="BX757" t="n">
        <v>1</v>
      </c>
      <c r="BY757" t="inlineStr"/>
      <c r="BZ757" t="n">
        <v>103</v>
      </c>
      <c r="CA757" t="n">
        <v>52</v>
      </c>
      <c r="CB757" t="inlineStr"/>
      <c r="CE757" t="n">
        <v>12</v>
      </c>
      <c r="CF757" t="n">
        <v>0</v>
      </c>
      <c r="CG757" t="n">
        <v>0</v>
      </c>
      <c r="CM757" t="n">
        <v>0</v>
      </c>
      <c r="CN757" t="inlineStr"/>
      <c r="CO757" t="n">
        <v>0</v>
      </c>
      <c r="CP757">
        <f>(P757+Q757+S757)</f>
        <v/>
      </c>
      <c r="CQ757">
        <f>AC757*BC757</f>
        <v/>
      </c>
      <c r="CR757">
        <f>(ROUND((ROUND(((ET757)*1),0)*BB757),0)+ROUND((ROUND(((AE757-(EU757))*1),0)*BS757),0))</f>
        <v/>
      </c>
      <c r="CS757">
        <f>(ROUND((ROUND(((EU757)*1),0)*BS757),0)+ROUND((ROUND(((AE757-(EU757))*1),0)*BS757),0))</f>
        <v/>
      </c>
      <c r="CT757">
        <f>AF757*BA757</f>
        <v/>
      </c>
      <c r="CU757">
        <f>AG757</f>
        <v/>
      </c>
      <c r="CV757">
        <f>AH757</f>
        <v/>
      </c>
      <c r="CW757">
        <f>AI757</f>
        <v/>
      </c>
      <c r="CX757">
        <f>AJ757</f>
        <v/>
      </c>
      <c r="CY757">
        <f>(((S757+R757)*AT757)/100)</f>
        <v/>
      </c>
      <c r="CZ757">
        <f>(((S757+R757)*AU757)/100)</f>
        <v/>
      </c>
      <c r="DC757" t="inlineStr"/>
      <c r="DD757" t="inlineStr"/>
      <c r="DE757" t="inlineStr"/>
      <c r="DF757" t="inlineStr"/>
      <c r="DG757" t="inlineStr"/>
      <c r="DH757" t="inlineStr"/>
      <c r="DI757" t="inlineStr"/>
      <c r="DJ757" t="inlineStr"/>
      <c r="DK757" t="inlineStr"/>
      <c r="DL757" t="inlineStr"/>
      <c r="DM757" t="inlineStr"/>
      <c r="DN757" t="n">
        <v>0</v>
      </c>
      <c r="DO757" t="n">
        <v>0</v>
      </c>
      <c r="DP757" t="n">
        <v>1</v>
      </c>
      <c r="DQ757" t="n">
        <v>1</v>
      </c>
      <c r="DU757" t="n">
        <v>1009</v>
      </c>
      <c r="DV757" t="inlineStr">
        <is>
          <t>т</t>
        </is>
      </c>
      <c r="DW757" t="inlineStr">
        <is>
          <t>т</t>
        </is>
      </c>
      <c r="DX757" t="n">
        <v>1000</v>
      </c>
      <c r="DZ757" t="inlineStr"/>
      <c r="EA757" t="inlineStr"/>
      <c r="EB757" t="inlineStr"/>
      <c r="EC757" t="inlineStr"/>
      <c r="EE757" t="n">
        <v>78726000</v>
      </c>
      <c r="EF757" t="n">
        <v>6</v>
      </c>
      <c r="EG757" t="inlineStr">
        <is>
          <t>Ремонтно-строительные работы</t>
        </is>
      </c>
      <c r="EH757" t="n">
        <v>99</v>
      </c>
      <c r="EI757" t="inlineStr">
        <is>
          <t>Внутренние санитарно-технические работы</t>
        </is>
      </c>
      <c r="EJ757" t="n">
        <v>1</v>
      </c>
      <c r="EK757" t="n">
        <v>65007</v>
      </c>
      <c r="EL757" t="inlineStr">
        <is>
          <t>Внутренние санитарнотехнические работы: смена труб, санприборов, запорной арматуры и другое</t>
        </is>
      </c>
      <c r="EM757" t="inlineStr">
        <is>
          <t>рФЕР-65</t>
        </is>
      </c>
      <c r="EO757" t="inlineStr"/>
      <c r="EQ757" t="n">
        <v>0</v>
      </c>
      <c r="ER757" t="n">
        <v>0</v>
      </c>
      <c r="ES757" t="n">
        <v>0</v>
      </c>
      <c r="ET757" t="n">
        <v>0</v>
      </c>
      <c r="EU757" t="n">
        <v>0</v>
      </c>
      <c r="EV757" t="n">
        <v>0</v>
      </c>
      <c r="EW757" t="n">
        <v>0</v>
      </c>
      <c r="EX757" t="n">
        <v>0</v>
      </c>
      <c r="FQ757" t="n">
        <v>0</v>
      </c>
      <c r="FR757" t="n">
        <v>0</v>
      </c>
      <c r="FS757" t="n">
        <v>0</v>
      </c>
      <c r="FX757" t="n">
        <v>103</v>
      </c>
      <c r="FY757" t="n">
        <v>52</v>
      </c>
      <c r="GA757" t="inlineStr"/>
      <c r="GD757" t="n">
        <v>1</v>
      </c>
      <c r="GF757" t="n">
        <v>1839160745</v>
      </c>
      <c r="GG757" t="n">
        <v>2</v>
      </c>
      <c r="GH757" t="n">
        <v>1</v>
      </c>
      <c r="GI757" t="n">
        <v>-2</v>
      </c>
      <c r="GJ757" t="n">
        <v>0</v>
      </c>
      <c r="GK757" t="n">
        <v>0</v>
      </c>
      <c r="GL757">
        <f>ROUND(IF(AND(BH757=3,BI757=3,FS757&lt;&gt;0),P757,0),0)</f>
        <v/>
      </c>
      <c r="GM757">
        <f>ROUND(O757+X757+Y757,0)+GX757</f>
        <v/>
      </c>
      <c r="GN757">
        <f>IF(OR(BI757=0,BI757=1),GM757-GX757,0)</f>
        <v/>
      </c>
      <c r="GO757">
        <f>IF(BI757=2,GM757-GX757,0)</f>
        <v/>
      </c>
      <c r="GP757">
        <f>IF(BI757=4,GM757-GX757,0)</f>
        <v/>
      </c>
      <c r="GR757" t="n">
        <v>0</v>
      </c>
      <c r="GS757" t="n">
        <v>3</v>
      </c>
      <c r="GT757" t="n">
        <v>0</v>
      </c>
      <c r="GU757" t="inlineStr"/>
      <c r="GV757">
        <f>ROUND((GT757),2)</f>
        <v/>
      </c>
      <c r="GW757" t="n">
        <v>1</v>
      </c>
      <c r="GX757">
        <f>ROUND(HC757*I757,0)</f>
        <v/>
      </c>
      <c r="HA757" t="n">
        <v>0</v>
      </c>
      <c r="HB757" t="n">
        <v>0</v>
      </c>
      <c r="HC757">
        <f>GV757*GW757</f>
        <v/>
      </c>
      <c r="HE757" t="inlineStr"/>
      <c r="HF757" t="inlineStr"/>
      <c r="HM757" t="inlineStr"/>
      <c r="HN757" t="inlineStr">
        <is>
          <t>Пр/812-099.2-1</t>
        </is>
      </c>
      <c r="HO757" t="inlineStr">
        <is>
          <t>Пр/774-099.2</t>
        </is>
      </c>
      <c r="HP757" t="inlineStr">
        <is>
          <t>Внутренние санитарнотехнические работы: смена труб, санприборов, запорной арматуры и другое</t>
        </is>
      </c>
      <c r="HQ757" t="inlineStr">
        <is>
          <t>Внутренние санитарнотехнические работы: смена труб, санприборов, запорной арматуры и другое</t>
        </is>
      </c>
      <c r="HS757" t="n">
        <v>0</v>
      </c>
      <c r="IK757" t="n">
        <v>0</v>
      </c>
    </row>
    <row r="758">
      <c r="A758" t="n">
        <v>18</v>
      </c>
      <c r="B758" t="n">
        <v>0</v>
      </c>
      <c r="C758" t="n">
        <v>440</v>
      </c>
      <c r="E758" t="inlineStr">
        <is>
          <t>3,2</t>
        </is>
      </c>
      <c r="F758" t="inlineStr">
        <is>
          <t>302-0064</t>
        </is>
      </c>
      <c r="G758" t="inlineStr">
        <is>
          <t>Кран шаровый 1/2</t>
        </is>
      </c>
      <c r="H758" t="inlineStr">
        <is>
          <t>шт.</t>
        </is>
      </c>
      <c r="I758">
        <f>I756*J758</f>
        <v/>
      </c>
      <c r="J758" t="n">
        <v>100</v>
      </c>
      <c r="K758" t="n">
        <v>100</v>
      </c>
      <c r="O758">
        <f>ROUND(CP758,0)</f>
        <v/>
      </c>
      <c r="P758">
        <f>ROUND(CQ758*I758,0)</f>
        <v/>
      </c>
      <c r="Q758">
        <f>(ROUND((ROUND(((ET758)*I758),0)*BB758),0)+ROUND((ROUND(((AE758-(EU758))*I758),0)*BS758),0))</f>
        <v/>
      </c>
      <c r="R758">
        <f>(ROUND((ROUND(((EU758)*I758),0)*BS758),0)+ROUND((ROUND(((AE758-(EU758))*I758),0)*BS758),0))</f>
        <v/>
      </c>
      <c r="S758">
        <f>ROUND(CT758*I758,0)</f>
        <v/>
      </c>
      <c r="T758">
        <f>ROUND(CU758*I758,0)</f>
        <v/>
      </c>
      <c r="U758">
        <f>ROUND(CV758*I758,7)</f>
        <v/>
      </c>
      <c r="V758">
        <f>ROUND(CW758*I758,7)</f>
        <v/>
      </c>
      <c r="W758">
        <f>ROUND(CX758*I758,0)</f>
        <v/>
      </c>
      <c r="X758">
        <f>ROUND(CY758,0)</f>
        <v/>
      </c>
      <c r="Y758">
        <f>ROUND(CZ758,0)</f>
        <v/>
      </c>
      <c r="AA758" t="n">
        <v>78869116</v>
      </c>
      <c r="AB758">
        <f>ROUND((AC758+AD758+AF758),2)</f>
        <v/>
      </c>
      <c r="AC758">
        <f>ROUND((ES758),2)</f>
        <v/>
      </c>
      <c r="AD758">
        <f>ROUND((((ET758)-(EU758))+AE758),2)</f>
        <v/>
      </c>
      <c r="AE758">
        <f>ROUND((EU758),2)</f>
        <v/>
      </c>
      <c r="AF758">
        <f>ROUND((EV758),2)</f>
        <v/>
      </c>
      <c r="AG758">
        <f>ROUND((AP758),2)</f>
        <v/>
      </c>
      <c r="AH758">
        <f>(EW758)</f>
        <v/>
      </c>
      <c r="AI758">
        <f>(EX758)</f>
        <v/>
      </c>
      <c r="AJ758">
        <f>(AS758)</f>
        <v/>
      </c>
      <c r="AK758" t="n">
        <v>67.09</v>
      </c>
      <c r="AL758" t="n">
        <v>67.09</v>
      </c>
      <c r="AM758" t="n">
        <v>0</v>
      </c>
      <c r="AN758" t="n">
        <v>0</v>
      </c>
      <c r="AO758" t="n">
        <v>0</v>
      </c>
      <c r="AP758" t="n">
        <v>0</v>
      </c>
      <c r="AQ758" t="n">
        <v>0</v>
      </c>
      <c r="AR758" t="n">
        <v>0</v>
      </c>
      <c r="AS758" t="n">
        <v>0.02</v>
      </c>
      <c r="AT758" t="n">
        <v>103</v>
      </c>
      <c r="AU758" t="n">
        <v>52</v>
      </c>
      <c r="AV758" t="n">
        <v>1</v>
      </c>
      <c r="AW758" t="n">
        <v>1</v>
      </c>
      <c r="AZ758" t="n">
        <v>1</v>
      </c>
      <c r="BA758" t="n">
        <v>1</v>
      </c>
      <c r="BB758" t="n">
        <v>1</v>
      </c>
      <c r="BC758" t="n">
        <v>14.16</v>
      </c>
      <c r="BD758" t="inlineStr"/>
      <c r="BE758" t="inlineStr"/>
      <c r="BF758" t="inlineStr"/>
      <c r="BG758" t="inlineStr"/>
      <c r="BH758" t="n">
        <v>3</v>
      </c>
      <c r="BI758" t="n">
        <v>1</v>
      </c>
      <c r="BJ758" t="inlineStr">
        <is>
          <t>ТССЦ Московской обл., 302-0064, приказ Минстроя России №675/пр от 28.02.2017 № 256/пр</t>
        </is>
      </c>
      <c r="BM758" t="n">
        <v>65007</v>
      </c>
      <c r="BN758" t="n">
        <v>0</v>
      </c>
      <c r="BO758" t="inlineStr">
        <is>
          <t>302-0064</t>
        </is>
      </c>
      <c r="BP758" t="n">
        <v>1</v>
      </c>
      <c r="BQ758" t="n">
        <v>6</v>
      </c>
      <c r="BR758" t="n">
        <v>0</v>
      </c>
      <c r="BS758" t="n">
        <v>1</v>
      </c>
      <c r="BT758" t="n">
        <v>1</v>
      </c>
      <c r="BU758" t="n">
        <v>1</v>
      </c>
      <c r="BV758" t="n">
        <v>1</v>
      </c>
      <c r="BW758" t="n">
        <v>1</v>
      </c>
      <c r="BX758" t="n">
        <v>1</v>
      </c>
      <c r="BY758" t="inlineStr"/>
      <c r="BZ758" t="n">
        <v>103</v>
      </c>
      <c r="CA758" t="n">
        <v>52</v>
      </c>
      <c r="CB758" t="inlineStr"/>
      <c r="CE758" t="n">
        <v>12</v>
      </c>
      <c r="CF758" t="n">
        <v>0</v>
      </c>
      <c r="CG758" t="n">
        <v>0</v>
      </c>
      <c r="CM758" t="n">
        <v>0</v>
      </c>
      <c r="CN758" t="inlineStr"/>
      <c r="CO758" t="n">
        <v>0</v>
      </c>
      <c r="CP758">
        <f>(P758+Q758+S758)</f>
        <v/>
      </c>
      <c r="CQ758">
        <f>AC758*BC758</f>
        <v/>
      </c>
      <c r="CR758">
        <f>(ROUND((ROUND(((ET758)*1),0)*BB758),0)+ROUND((ROUND(((AE758-(EU758))*1),0)*BS758),0))</f>
        <v/>
      </c>
      <c r="CS758">
        <f>(ROUND((ROUND(((EU758)*1),0)*BS758),0)+ROUND((ROUND(((AE758-(EU758))*1),0)*BS758),0))</f>
        <v/>
      </c>
      <c r="CT758">
        <f>AF758*BA758</f>
        <v/>
      </c>
      <c r="CU758">
        <f>AG758</f>
        <v/>
      </c>
      <c r="CV758">
        <f>AH758</f>
        <v/>
      </c>
      <c r="CW758">
        <f>AI758</f>
        <v/>
      </c>
      <c r="CX758">
        <f>AJ758</f>
        <v/>
      </c>
      <c r="CY758">
        <f>(((S758+R758)*AT758)/100)</f>
        <v/>
      </c>
      <c r="CZ758">
        <f>(((S758+R758)*AU758)/100)</f>
        <v/>
      </c>
      <c r="DC758" t="inlineStr"/>
      <c r="DD758" t="inlineStr"/>
      <c r="DE758" t="inlineStr"/>
      <c r="DF758" t="inlineStr"/>
      <c r="DG758" t="inlineStr"/>
      <c r="DH758" t="inlineStr"/>
      <c r="DI758" t="inlineStr"/>
      <c r="DJ758" t="inlineStr"/>
      <c r="DK758" t="inlineStr"/>
      <c r="DL758" t="inlineStr"/>
      <c r="DM758" t="inlineStr"/>
      <c r="DN758" t="n">
        <v>0</v>
      </c>
      <c r="DO758" t="n">
        <v>0</v>
      </c>
      <c r="DP758" t="n">
        <v>1</v>
      </c>
      <c r="DQ758" t="n">
        <v>1</v>
      </c>
      <c r="DU758" t="n">
        <v>1010</v>
      </c>
      <c r="DV758" t="inlineStr">
        <is>
          <t>шт.</t>
        </is>
      </c>
      <c r="DW758" t="inlineStr">
        <is>
          <t>шт.</t>
        </is>
      </c>
      <c r="DX758" t="n">
        <v>1</v>
      </c>
      <c r="DZ758" t="inlineStr"/>
      <c r="EA758" t="inlineStr"/>
      <c r="EB758" t="inlineStr"/>
      <c r="EC758" t="inlineStr"/>
      <c r="EE758" t="n">
        <v>78726000</v>
      </c>
      <c r="EF758" t="n">
        <v>6</v>
      </c>
      <c r="EG758" t="inlineStr">
        <is>
          <t>Ремонтно-строительные работы</t>
        </is>
      </c>
      <c r="EH758" t="n">
        <v>99</v>
      </c>
      <c r="EI758" t="inlineStr">
        <is>
          <t>Внутренние санитарно-технические работы</t>
        </is>
      </c>
      <c r="EJ758" t="n">
        <v>1</v>
      </c>
      <c r="EK758" t="n">
        <v>65007</v>
      </c>
      <c r="EL758" t="inlineStr">
        <is>
          <t>Внутренние санитарнотехнические работы: смена труб, санприборов, запорной арматуры и другое</t>
        </is>
      </c>
      <c r="EM758" t="inlineStr">
        <is>
          <t>рФЕР-65</t>
        </is>
      </c>
      <c r="EO758" t="inlineStr"/>
      <c r="EQ758" t="n">
        <v>0</v>
      </c>
      <c r="ER758" t="n">
        <v>67.09</v>
      </c>
      <c r="ES758" t="n">
        <v>67.09</v>
      </c>
      <c r="ET758" t="n">
        <v>0</v>
      </c>
      <c r="EU758" t="n">
        <v>0</v>
      </c>
      <c r="EV758" t="n">
        <v>0</v>
      </c>
      <c r="EW758" t="n">
        <v>0</v>
      </c>
      <c r="EX758" t="n">
        <v>0</v>
      </c>
      <c r="FQ758" t="n">
        <v>0</v>
      </c>
      <c r="FR758" t="n">
        <v>0</v>
      </c>
      <c r="FS758" t="n">
        <v>0</v>
      </c>
      <c r="FX758" t="n">
        <v>103</v>
      </c>
      <c r="FY758" t="n">
        <v>52</v>
      </c>
      <c r="GA758" t="inlineStr"/>
      <c r="GD758" t="n">
        <v>1</v>
      </c>
      <c r="GF758" t="n">
        <v>-127342135</v>
      </c>
      <c r="GG758" t="n">
        <v>2</v>
      </c>
      <c r="GH758" t="n">
        <v>1</v>
      </c>
      <c r="GI758" t="n">
        <v>2</v>
      </c>
      <c r="GJ758" t="n">
        <v>0</v>
      </c>
      <c r="GK758" t="n">
        <v>0</v>
      </c>
      <c r="GL758">
        <f>ROUND(IF(AND(BH758=3,BI758=3,FS758&lt;&gt;0),P758,0),0)</f>
        <v/>
      </c>
      <c r="GM758">
        <f>ROUND(O758+X758+Y758,0)+GX758</f>
        <v/>
      </c>
      <c r="GN758">
        <f>IF(OR(BI758=0,BI758=1),GM758-GX758,0)</f>
        <v/>
      </c>
      <c r="GO758">
        <f>IF(BI758=2,GM758-GX758,0)</f>
        <v/>
      </c>
      <c r="GP758">
        <f>IF(BI758=4,GM758-GX758,0)</f>
        <v/>
      </c>
      <c r="GR758" t="n">
        <v>0</v>
      </c>
      <c r="GS758" t="n">
        <v>3</v>
      </c>
      <c r="GT758" t="n">
        <v>0</v>
      </c>
      <c r="GU758" t="inlineStr"/>
      <c r="GV758">
        <f>ROUND((GT758),2)</f>
        <v/>
      </c>
      <c r="GW758" t="n">
        <v>1</v>
      </c>
      <c r="GX758">
        <f>ROUND(HC758*I758,0)</f>
        <v/>
      </c>
      <c r="HA758" t="n">
        <v>0</v>
      </c>
      <c r="HB758" t="n">
        <v>0</v>
      </c>
      <c r="HC758">
        <f>GV758*GW758</f>
        <v/>
      </c>
      <c r="HE758" t="inlineStr"/>
      <c r="HF758" t="inlineStr"/>
      <c r="HM758" t="inlineStr"/>
      <c r="HN758" t="inlineStr">
        <is>
          <t>Пр/812-099.2-1</t>
        </is>
      </c>
      <c r="HO758" t="inlineStr">
        <is>
          <t>Пр/774-099.2</t>
        </is>
      </c>
      <c r="HP758" t="inlineStr">
        <is>
          <t>Внутренние санитарнотехнические работы: смена труб, санприборов, запорной арматуры и другое</t>
        </is>
      </c>
      <c r="HQ758" t="inlineStr">
        <is>
          <t>Внутренние санитарнотехнические работы: смена труб, санприборов, запорной арматуры и другое</t>
        </is>
      </c>
      <c r="HS758" t="n">
        <v>0</v>
      </c>
      <c r="IK758" t="n">
        <v>0</v>
      </c>
    </row>
    <row r="759"/>
    <row r="760">
      <c r="A760" s="402" t="n">
        <v>51</v>
      </c>
      <c r="B760" s="402">
        <f>B750</f>
        <v/>
      </c>
      <c r="C760" s="402">
        <f>A750</f>
        <v/>
      </c>
      <c r="D760" s="402">
        <f>ROW(A750)</f>
        <v/>
      </c>
      <c r="E760" s="402" t="n"/>
      <c r="F760" s="402">
        <f>IF(F750&lt;&gt;"",F750,"")</f>
        <v/>
      </c>
      <c r="G760" s="402">
        <f>IF(G750&lt;&gt;"",G750,"")</f>
        <v/>
      </c>
      <c r="H760" s="402" t="n">
        <v>0</v>
      </c>
      <c r="I760" s="402" t="n"/>
      <c r="J760" s="402" t="n"/>
      <c r="K760" s="402" t="n"/>
      <c r="L760" s="402" t="n"/>
      <c r="M760" s="402" t="n"/>
      <c r="N760" s="402" t="n"/>
      <c r="O760" s="402" t="n">
        <v>0</v>
      </c>
      <c r="P760" s="402" t="n">
        <v>0</v>
      </c>
      <c r="Q760" s="402" t="n">
        <v>0</v>
      </c>
      <c r="R760" s="402" t="n">
        <v>0</v>
      </c>
      <c r="S760" s="402" t="n">
        <v>0</v>
      </c>
      <c r="T760" s="402" t="n">
        <v>0</v>
      </c>
      <c r="U760" s="402" t="n">
        <v>0</v>
      </c>
      <c r="V760" s="402" t="n">
        <v>0</v>
      </c>
      <c r="W760" s="402" t="n">
        <v>0</v>
      </c>
      <c r="X760" s="402" t="n">
        <v>0</v>
      </c>
      <c r="Y760" s="402" t="n">
        <v>0</v>
      </c>
      <c r="Z760" s="402" t="n"/>
      <c r="AA760" s="402" t="n"/>
      <c r="AB760" s="402" t="n"/>
      <c r="AC760" s="402" t="n"/>
      <c r="AD760" s="402" t="n"/>
      <c r="AE760" s="402" t="n"/>
      <c r="AF760" s="402" t="n"/>
      <c r="AG760" s="402" t="n"/>
      <c r="AH760" s="402" t="n"/>
      <c r="AI760" s="402" t="n"/>
      <c r="AJ760" s="402" t="n"/>
      <c r="AK760" s="402" t="n"/>
      <c r="AL760" s="402" t="n"/>
      <c r="AM760" s="402" t="n"/>
      <c r="AN760" s="402" t="n"/>
      <c r="AO760" s="402">
        <f>ROUND(BX760,0)</f>
        <v/>
      </c>
      <c r="AP760" s="402">
        <f>ROUND(BY760,0)</f>
        <v/>
      </c>
      <c r="AQ760" s="402">
        <f>ROUND(BZ760,0)</f>
        <v/>
      </c>
      <c r="AR760" s="402">
        <f>ROUND(CA760,0)</f>
        <v/>
      </c>
      <c r="AS760" s="402">
        <f>ROUND(CB760,0)</f>
        <v/>
      </c>
      <c r="AT760" s="402">
        <f>ROUND(CC760,0)</f>
        <v/>
      </c>
      <c r="AU760" s="402">
        <f>ROUND(CD760,0)</f>
        <v/>
      </c>
      <c r="AV760" s="402">
        <f>ROUND(CE760,0)</f>
        <v/>
      </c>
      <c r="AW760" s="402">
        <f>ROUND(CF760,0)</f>
        <v/>
      </c>
      <c r="AX760" s="402">
        <f>ROUND(CG760,0)</f>
        <v/>
      </c>
      <c r="AY760" s="402">
        <f>ROUND(CH760,0)</f>
        <v/>
      </c>
      <c r="AZ760" s="402">
        <f>ROUND(CI760,0)</f>
        <v/>
      </c>
      <c r="BA760" s="402">
        <f>ROUND(CJ760,0)</f>
        <v/>
      </c>
      <c r="BB760" s="402">
        <f>ROUND(CK760,0)</f>
        <v/>
      </c>
      <c r="BC760" s="402">
        <f>ROUND(CL760,0)</f>
        <v/>
      </c>
      <c r="BD760" s="402">
        <f>ROUND(CM760,0)</f>
        <v/>
      </c>
      <c r="BE760" s="402" t="n"/>
      <c r="BF760" s="402" t="n"/>
      <c r="BG760" s="402" t="n"/>
      <c r="BH760" s="402" t="n"/>
      <c r="BI760" s="402" t="n"/>
      <c r="BJ760" s="402" t="n"/>
      <c r="BK760" s="402" t="n"/>
      <c r="BL760" s="402" t="n"/>
      <c r="BM760" s="402" t="n"/>
      <c r="BN760" s="402" t="n"/>
      <c r="BO760" s="402" t="n"/>
      <c r="BP760" s="402" t="n"/>
      <c r="BQ760" s="402" t="n"/>
      <c r="BR760" s="402" t="n"/>
      <c r="BS760" s="402" t="n"/>
      <c r="BT760" s="402" t="n"/>
      <c r="BU760" s="402" t="n"/>
      <c r="BV760" s="402" t="n"/>
      <c r="BW760" s="402" t="n"/>
      <c r="BX760" s="402" t="n"/>
      <c r="BY760" s="402" t="n"/>
      <c r="BZ760" s="402" t="n"/>
      <c r="CA760" s="402" t="n"/>
      <c r="CB760" s="402" t="n"/>
      <c r="CC760" s="402" t="n"/>
      <c r="CD760" s="402" t="n"/>
      <c r="CE760" s="402" t="n"/>
      <c r="CF760" s="402" t="n"/>
      <c r="CG760" s="402" t="n"/>
      <c r="CH760" s="402" t="n"/>
      <c r="CI760" s="402" t="n"/>
      <c r="CJ760" s="402" t="n"/>
      <c r="CK760" s="402" t="n"/>
      <c r="CL760" s="402" t="n"/>
      <c r="CM760" s="402" t="n"/>
      <c r="CN760" s="402" t="n"/>
      <c r="CO760" s="402" t="n"/>
      <c r="CP760" s="402" t="n"/>
      <c r="CQ760" s="402" t="n"/>
      <c r="CR760" s="402" t="n"/>
      <c r="CS760" s="402" t="n"/>
      <c r="CT760" s="402" t="n"/>
      <c r="CU760" s="402" t="n"/>
      <c r="CV760" s="402" t="n"/>
      <c r="CW760" s="402" t="n"/>
      <c r="CX760" s="402" t="n"/>
      <c r="CY760" s="402" t="n"/>
      <c r="CZ760" s="402" t="n"/>
      <c r="DA760" s="402" t="n"/>
      <c r="DB760" s="402" t="n"/>
      <c r="DC760" s="402" t="n"/>
      <c r="DD760" s="402" t="n"/>
      <c r="DE760" s="402" t="n"/>
      <c r="DF760" s="402" t="n"/>
      <c r="DG760" s="403" t="n"/>
      <c r="DH760" s="403" t="n"/>
      <c r="DI760" s="403" t="n"/>
      <c r="DJ760" s="403" t="n"/>
      <c r="DK760" s="403" t="n"/>
      <c r="DL760" s="403" t="n"/>
      <c r="DM760" s="403" t="n"/>
      <c r="DN760" s="403" t="n"/>
      <c r="DO760" s="403" t="n"/>
      <c r="DP760" s="403" t="n"/>
      <c r="DQ760" s="403" t="n"/>
      <c r="DR760" s="403" t="n"/>
      <c r="DS760" s="403" t="n"/>
      <c r="DT760" s="403" t="n"/>
      <c r="DU760" s="403" t="n"/>
      <c r="DV760" s="403" t="n"/>
      <c r="DW760" s="403" t="n"/>
      <c r="DX760" s="403" t="n"/>
      <c r="DY760" s="403" t="n"/>
      <c r="DZ760" s="403" t="n"/>
      <c r="EA760" s="403" t="n"/>
      <c r="EB760" s="403" t="n"/>
      <c r="EC760" s="403" t="n"/>
      <c r="ED760" s="403" t="n"/>
      <c r="EE760" s="403" t="n"/>
      <c r="EF760" s="403" t="n"/>
      <c r="EG760" s="403" t="n"/>
      <c r="EH760" s="403" t="n"/>
      <c r="EI760" s="403" t="n"/>
      <c r="EJ760" s="403" t="n"/>
      <c r="EK760" s="403" t="n"/>
      <c r="EL760" s="403" t="n"/>
      <c r="EM760" s="403" t="n"/>
      <c r="EN760" s="403" t="n"/>
      <c r="EO760" s="403" t="n"/>
      <c r="EP760" s="403" t="n"/>
      <c r="EQ760" s="403" t="n"/>
      <c r="ER760" s="403" t="n"/>
      <c r="ES760" s="403" t="n"/>
      <c r="ET760" s="403" t="n"/>
      <c r="EU760" s="403" t="n"/>
      <c r="EV760" s="403" t="n"/>
      <c r="EW760" s="403" t="n"/>
      <c r="EX760" s="403" t="n"/>
      <c r="EY760" s="403" t="n"/>
      <c r="EZ760" s="403" t="n"/>
      <c r="FA760" s="403" t="n"/>
      <c r="FB760" s="403" t="n"/>
      <c r="FC760" s="403" t="n"/>
      <c r="FD760" s="403" t="n"/>
      <c r="FE760" s="403" t="n"/>
      <c r="FF760" s="403" t="n"/>
      <c r="FG760" s="403" t="n"/>
      <c r="FH760" s="403" t="n"/>
      <c r="FI760" s="403" t="n"/>
      <c r="FJ760" s="403" t="n"/>
      <c r="FK760" s="403" t="n"/>
      <c r="FL760" s="403" t="n"/>
      <c r="FM760" s="403" t="n"/>
      <c r="FN760" s="403" t="n"/>
      <c r="FO760" s="403" t="n"/>
      <c r="FP760" s="403" t="n"/>
      <c r="FQ760" s="403" t="n"/>
      <c r="FR760" s="403" t="n"/>
      <c r="FS760" s="403" t="n"/>
      <c r="FT760" s="403" t="n"/>
      <c r="FU760" s="403" t="n"/>
      <c r="FV760" s="403" t="n"/>
      <c r="FW760" s="403" t="n"/>
      <c r="FX760" s="403" t="n"/>
      <c r="FY760" s="403" t="n"/>
      <c r="FZ760" s="403" t="n"/>
      <c r="GA760" s="403" t="n"/>
      <c r="GB760" s="403" t="n"/>
      <c r="GC760" s="403" t="n"/>
      <c r="GD760" s="403" t="n"/>
      <c r="GE760" s="403" t="n"/>
      <c r="GF760" s="403" t="n"/>
      <c r="GG760" s="403" t="n"/>
      <c r="GH760" s="403" t="n"/>
      <c r="GI760" s="403" t="n"/>
      <c r="GJ760" s="403" t="n"/>
      <c r="GK760" s="403" t="n"/>
      <c r="GL760" s="403" t="n"/>
      <c r="GM760" s="403" t="n"/>
      <c r="GN760" s="403" t="n"/>
      <c r="GO760" s="403" t="n"/>
      <c r="GP760" s="403" t="n"/>
      <c r="GQ760" s="403" t="n"/>
      <c r="GR760" s="403" t="n"/>
      <c r="GS760" s="403" t="n"/>
      <c r="GT760" s="403" t="n"/>
      <c r="GU760" s="403" t="n"/>
      <c r="GV760" s="403" t="n"/>
      <c r="GW760" s="403" t="n"/>
      <c r="GX760" s="403" t="n">
        <v>0</v>
      </c>
    </row>
    <row r="761"/>
    <row r="762">
      <c r="A762" s="404" t="n">
        <v>50</v>
      </c>
      <c r="B762" s="404" t="n">
        <v>0</v>
      </c>
      <c r="C762" s="404" t="n">
        <v>0</v>
      </c>
      <c r="D762" s="404" t="n">
        <v>1</v>
      </c>
      <c r="E762" s="404" t="n">
        <v>201</v>
      </c>
      <c r="F762" s="404">
        <f>ROUND(Source!O760,O762)</f>
        <v/>
      </c>
      <c r="G762" s="404" t="inlineStr">
        <is>
          <t>ПЗ</t>
        </is>
      </c>
      <c r="H762" s="404" t="inlineStr">
        <is>
          <t>Прямые затраты</t>
        </is>
      </c>
      <c r="I762" s="404" t="n"/>
      <c r="J762" s="404" t="n"/>
      <c r="K762" s="404" t="n">
        <v>201</v>
      </c>
      <c r="L762" s="404" t="n">
        <v>1</v>
      </c>
      <c r="M762" s="404" t="n">
        <v>3</v>
      </c>
      <c r="N762" s="404" t="inlineStr"/>
      <c r="O762" s="404" t="n">
        <v>0</v>
      </c>
      <c r="P762" s="404" t="n"/>
      <c r="Q762" s="404" t="n"/>
      <c r="R762" s="404" t="n"/>
      <c r="S762" s="404" t="n"/>
      <c r="T762" s="404" t="n"/>
      <c r="U762" s="404" t="n"/>
      <c r="V762" s="404" t="n"/>
      <c r="W762" s="404" t="n">
        <v>0</v>
      </c>
      <c r="X762" s="404" t="n">
        <v>1</v>
      </c>
      <c r="Y762" s="404" t="n">
        <v>0</v>
      </c>
      <c r="Z762" s="404" t="n"/>
      <c r="AA762" s="404" t="n"/>
      <c r="AB762" s="404" t="n"/>
    </row>
    <row r="763">
      <c r="A763" s="404" t="n">
        <v>50</v>
      </c>
      <c r="B763" s="404" t="n">
        <v>0</v>
      </c>
      <c r="C763" s="404" t="n">
        <v>0</v>
      </c>
      <c r="D763" s="404" t="n">
        <v>1</v>
      </c>
      <c r="E763" s="404" t="n">
        <v>202</v>
      </c>
      <c r="F763" s="404">
        <f>ROUND(Source!P760,O763)</f>
        <v/>
      </c>
      <c r="G763" s="404" t="inlineStr">
        <is>
          <t>СтМатОб</t>
        </is>
      </c>
      <c r="H763" s="404" t="inlineStr">
        <is>
          <t>Стоимость материальных ресурсов (всего)</t>
        </is>
      </c>
      <c r="I763" s="404" t="n"/>
      <c r="J763" s="404" t="n"/>
      <c r="K763" s="404" t="n">
        <v>202</v>
      </c>
      <c r="L763" s="404" t="n">
        <v>2</v>
      </c>
      <c r="M763" s="404" t="n">
        <v>3</v>
      </c>
      <c r="N763" s="404" t="inlineStr"/>
      <c r="O763" s="404" t="n">
        <v>0</v>
      </c>
      <c r="P763" s="404" t="n"/>
      <c r="Q763" s="404" t="n"/>
      <c r="R763" s="404" t="n"/>
      <c r="S763" s="404" t="n"/>
      <c r="T763" s="404" t="n"/>
      <c r="U763" s="404" t="n"/>
      <c r="V763" s="404" t="n"/>
      <c r="W763" s="404" t="n">
        <v>0</v>
      </c>
      <c r="X763" s="404" t="n">
        <v>1</v>
      </c>
      <c r="Y763" s="404" t="n">
        <v>0</v>
      </c>
      <c r="Z763" s="404" t="n"/>
      <c r="AA763" s="404" t="n"/>
      <c r="AB763" s="404" t="n"/>
    </row>
    <row r="764">
      <c r="A764" s="404" t="n">
        <v>50</v>
      </c>
      <c r="B764" s="404" t="n">
        <v>0</v>
      </c>
      <c r="C764" s="404" t="n">
        <v>0</v>
      </c>
      <c r="D764" s="404" t="n">
        <v>1</v>
      </c>
      <c r="E764" s="404" t="n">
        <v>222</v>
      </c>
      <c r="F764" s="404">
        <f>ROUND(Source!AO760,O764)</f>
        <v/>
      </c>
      <c r="G764" s="404" t="inlineStr">
        <is>
          <t>СтМатОбЗак</t>
        </is>
      </c>
      <c r="H764" s="404" t="inlineStr">
        <is>
          <t>Стоимость материалов и оборудования заказчика</t>
        </is>
      </c>
      <c r="I764" s="404" t="n"/>
      <c r="J764" s="404" t="n"/>
      <c r="K764" s="404" t="n">
        <v>222</v>
      </c>
      <c r="L764" s="404" t="n">
        <v>3</v>
      </c>
      <c r="M764" s="404" t="n">
        <v>3</v>
      </c>
      <c r="N764" s="404" t="inlineStr"/>
      <c r="O764" s="404" t="n">
        <v>0</v>
      </c>
      <c r="P764" s="404" t="n"/>
      <c r="Q764" s="404" t="n"/>
      <c r="R764" s="404" t="n"/>
      <c r="S764" s="404" t="n"/>
      <c r="T764" s="404" t="n"/>
      <c r="U764" s="404" t="n"/>
      <c r="V764" s="404" t="n"/>
      <c r="W764" s="404" t="n">
        <v>0</v>
      </c>
      <c r="X764" s="404" t="n">
        <v>1</v>
      </c>
      <c r="Y764" s="404" t="n">
        <v>0</v>
      </c>
      <c r="Z764" s="404" t="n"/>
      <c r="AA764" s="404" t="n"/>
      <c r="AB764" s="404" t="n"/>
    </row>
    <row r="765">
      <c r="A765" s="404" t="n">
        <v>50</v>
      </c>
      <c r="B765" s="404" t="n">
        <v>0</v>
      </c>
      <c r="C765" s="404" t="n">
        <v>0</v>
      </c>
      <c r="D765" s="404" t="n">
        <v>1</v>
      </c>
      <c r="E765" s="404" t="n">
        <v>225</v>
      </c>
      <c r="F765" s="404">
        <f>ROUND(Source!AV760,O765)</f>
        <v/>
      </c>
      <c r="G765" s="404" t="inlineStr">
        <is>
          <t>СтМатОбПод</t>
        </is>
      </c>
      <c r="H765" s="404" t="inlineStr">
        <is>
          <t>Стоимость материалов и оборудования подрядчика</t>
        </is>
      </c>
      <c r="I765" s="404" t="n"/>
      <c r="J765" s="404" t="n"/>
      <c r="K765" s="404" t="n">
        <v>225</v>
      </c>
      <c r="L765" s="404" t="n">
        <v>4</v>
      </c>
      <c r="M765" s="404" t="n">
        <v>3</v>
      </c>
      <c r="N765" s="404" t="inlineStr"/>
      <c r="O765" s="404" t="n">
        <v>0</v>
      </c>
      <c r="P765" s="404" t="n"/>
      <c r="Q765" s="404" t="n"/>
      <c r="R765" s="404" t="n"/>
      <c r="S765" s="404" t="n"/>
      <c r="T765" s="404" t="n"/>
      <c r="U765" s="404" t="n"/>
      <c r="V765" s="404" t="n"/>
      <c r="W765" s="404" t="n">
        <v>0</v>
      </c>
      <c r="X765" s="404" t="n">
        <v>1</v>
      </c>
      <c r="Y765" s="404" t="n">
        <v>0</v>
      </c>
      <c r="Z765" s="404" t="n"/>
      <c r="AA765" s="404" t="n"/>
      <c r="AB765" s="404" t="n"/>
    </row>
    <row r="766">
      <c r="A766" s="404" t="n">
        <v>50</v>
      </c>
      <c r="B766" s="404" t="n">
        <v>0</v>
      </c>
      <c r="C766" s="404" t="n">
        <v>0</v>
      </c>
      <c r="D766" s="404" t="n">
        <v>1</v>
      </c>
      <c r="E766" s="404" t="n">
        <v>226</v>
      </c>
      <c r="F766" s="404">
        <f>ROUND(Source!AW760,O766)</f>
        <v/>
      </c>
      <c r="G766" s="404" t="inlineStr">
        <is>
          <t>СтМат</t>
        </is>
      </c>
      <c r="H766" s="404" t="inlineStr">
        <is>
          <t>Стоимость материалов (всего)</t>
        </is>
      </c>
      <c r="I766" s="404" t="n"/>
      <c r="J766" s="404" t="n"/>
      <c r="K766" s="404" t="n">
        <v>226</v>
      </c>
      <c r="L766" s="404" t="n">
        <v>5</v>
      </c>
      <c r="M766" s="404" t="n">
        <v>3</v>
      </c>
      <c r="N766" s="404" t="inlineStr"/>
      <c r="O766" s="404" t="n">
        <v>0</v>
      </c>
      <c r="P766" s="404" t="n"/>
      <c r="Q766" s="404" t="n"/>
      <c r="R766" s="404" t="n"/>
      <c r="S766" s="404" t="n"/>
      <c r="T766" s="404" t="n"/>
      <c r="U766" s="404" t="n"/>
      <c r="V766" s="404" t="n"/>
      <c r="W766" s="404" t="n">
        <v>0</v>
      </c>
      <c r="X766" s="404" t="n">
        <v>1</v>
      </c>
      <c r="Y766" s="404" t="n">
        <v>0</v>
      </c>
      <c r="Z766" s="404" t="n"/>
      <c r="AA766" s="404" t="n"/>
      <c r="AB766" s="404" t="n"/>
    </row>
    <row r="767">
      <c r="A767" s="404" t="n">
        <v>50</v>
      </c>
      <c r="B767" s="404" t="n">
        <v>0</v>
      </c>
      <c r="C767" s="404" t="n">
        <v>0</v>
      </c>
      <c r="D767" s="404" t="n">
        <v>1</v>
      </c>
      <c r="E767" s="404" t="n">
        <v>227</v>
      </c>
      <c r="F767" s="404">
        <f>ROUND(Source!AX760,O767)</f>
        <v/>
      </c>
      <c r="G767" s="404" t="inlineStr">
        <is>
          <t>СтМатЗак</t>
        </is>
      </c>
      <c r="H767" s="404" t="inlineStr">
        <is>
          <t>Стоимость материалов заказчика</t>
        </is>
      </c>
      <c r="I767" s="404" t="n"/>
      <c r="J767" s="404" t="n"/>
      <c r="K767" s="404" t="n">
        <v>227</v>
      </c>
      <c r="L767" s="404" t="n">
        <v>6</v>
      </c>
      <c r="M767" s="404" t="n">
        <v>3</v>
      </c>
      <c r="N767" s="404" t="inlineStr"/>
      <c r="O767" s="404" t="n">
        <v>0</v>
      </c>
      <c r="P767" s="404" t="n"/>
      <c r="Q767" s="404" t="n"/>
      <c r="R767" s="404" t="n"/>
      <c r="S767" s="404" t="n"/>
      <c r="T767" s="404" t="n"/>
      <c r="U767" s="404" t="n"/>
      <c r="V767" s="404" t="n"/>
      <c r="W767" s="404" t="n">
        <v>0</v>
      </c>
      <c r="X767" s="404" t="n">
        <v>1</v>
      </c>
      <c r="Y767" s="404" t="n">
        <v>0</v>
      </c>
      <c r="Z767" s="404" t="n"/>
      <c r="AA767" s="404" t="n"/>
      <c r="AB767" s="404" t="n"/>
    </row>
    <row r="768">
      <c r="A768" s="404" t="n">
        <v>50</v>
      </c>
      <c r="B768" s="404" t="n">
        <v>0</v>
      </c>
      <c r="C768" s="404" t="n">
        <v>0</v>
      </c>
      <c r="D768" s="404" t="n">
        <v>1</v>
      </c>
      <c r="E768" s="404" t="n">
        <v>228</v>
      </c>
      <c r="F768" s="404">
        <f>ROUND(Source!AY760,O768)</f>
        <v/>
      </c>
      <c r="G768" s="404" t="inlineStr">
        <is>
          <t>СтМатПод</t>
        </is>
      </c>
      <c r="H768" s="404" t="inlineStr">
        <is>
          <t>Стоимость материалов подрядчика</t>
        </is>
      </c>
      <c r="I768" s="404" t="n"/>
      <c r="J768" s="404" t="n"/>
      <c r="K768" s="404" t="n">
        <v>228</v>
      </c>
      <c r="L768" s="404" t="n">
        <v>7</v>
      </c>
      <c r="M768" s="404" t="n">
        <v>3</v>
      </c>
      <c r="N768" s="404" t="inlineStr"/>
      <c r="O768" s="404" t="n">
        <v>0</v>
      </c>
      <c r="P768" s="404" t="n"/>
      <c r="Q768" s="404" t="n"/>
      <c r="R768" s="404" t="n"/>
      <c r="S768" s="404" t="n"/>
      <c r="T768" s="404" t="n"/>
      <c r="U768" s="404" t="n"/>
      <c r="V768" s="404" t="n"/>
      <c r="W768" s="404" t="n">
        <v>0</v>
      </c>
      <c r="X768" s="404" t="n">
        <v>1</v>
      </c>
      <c r="Y768" s="404" t="n">
        <v>0</v>
      </c>
      <c r="Z768" s="404" t="n"/>
      <c r="AA768" s="404" t="n"/>
      <c r="AB768" s="404" t="n"/>
    </row>
    <row r="769">
      <c r="A769" s="404" t="n">
        <v>50</v>
      </c>
      <c r="B769" s="404" t="n">
        <v>0</v>
      </c>
      <c r="C769" s="404" t="n">
        <v>0</v>
      </c>
      <c r="D769" s="404" t="n">
        <v>1</v>
      </c>
      <c r="E769" s="404" t="n">
        <v>216</v>
      </c>
      <c r="F769" s="404">
        <f>ROUND(Source!AP760,O769)</f>
        <v/>
      </c>
      <c r="G769" s="404" t="inlineStr">
        <is>
          <t>Оборуд</t>
        </is>
      </c>
      <c r="H769" s="404" t="inlineStr">
        <is>
          <t>Стоимость оборудования (всего)</t>
        </is>
      </c>
      <c r="I769" s="404" t="n"/>
      <c r="J769" s="404" t="n"/>
      <c r="K769" s="404" t="n">
        <v>216</v>
      </c>
      <c r="L769" s="404" t="n">
        <v>8</v>
      </c>
      <c r="M769" s="404" t="n">
        <v>3</v>
      </c>
      <c r="N769" s="404" t="inlineStr"/>
      <c r="O769" s="404" t="n">
        <v>0</v>
      </c>
      <c r="P769" s="404" t="n"/>
      <c r="Q769" s="404" t="n"/>
      <c r="R769" s="404" t="n"/>
      <c r="S769" s="404" t="n"/>
      <c r="T769" s="404" t="n"/>
      <c r="U769" s="404" t="n"/>
      <c r="V769" s="404" t="n"/>
      <c r="W769" s="404" t="n">
        <v>0</v>
      </c>
      <c r="X769" s="404" t="n">
        <v>1</v>
      </c>
      <c r="Y769" s="404" t="n">
        <v>0</v>
      </c>
      <c r="Z769" s="404" t="n"/>
      <c r="AA769" s="404" t="n"/>
      <c r="AB769" s="404" t="n"/>
    </row>
    <row r="770">
      <c r="A770" s="404" t="n">
        <v>50</v>
      </c>
      <c r="B770" s="404" t="n">
        <v>0</v>
      </c>
      <c r="C770" s="404" t="n">
        <v>0</v>
      </c>
      <c r="D770" s="404" t="n">
        <v>1</v>
      </c>
      <c r="E770" s="404" t="n">
        <v>223</v>
      </c>
      <c r="F770" s="404">
        <f>ROUND(Source!AQ760,O770)</f>
        <v/>
      </c>
      <c r="G770" s="404" t="inlineStr">
        <is>
          <t>ОборудЗак</t>
        </is>
      </c>
      <c r="H770" s="404" t="inlineStr">
        <is>
          <t>Стоимость оборудования заказчика</t>
        </is>
      </c>
      <c r="I770" s="404" t="n"/>
      <c r="J770" s="404" t="n"/>
      <c r="K770" s="404" t="n">
        <v>223</v>
      </c>
      <c r="L770" s="404" t="n">
        <v>9</v>
      </c>
      <c r="M770" s="404" t="n">
        <v>3</v>
      </c>
      <c r="N770" s="404" t="inlineStr"/>
      <c r="O770" s="404" t="n">
        <v>0</v>
      </c>
      <c r="P770" s="404" t="n"/>
      <c r="Q770" s="404" t="n"/>
      <c r="R770" s="404" t="n"/>
      <c r="S770" s="404" t="n"/>
      <c r="T770" s="404" t="n"/>
      <c r="U770" s="404" t="n"/>
      <c r="V770" s="404" t="n"/>
      <c r="W770" s="404" t="n">
        <v>0</v>
      </c>
      <c r="X770" s="404" t="n">
        <v>1</v>
      </c>
      <c r="Y770" s="404" t="n">
        <v>0</v>
      </c>
      <c r="Z770" s="404" t="n"/>
      <c r="AA770" s="404" t="n"/>
      <c r="AB770" s="404" t="n"/>
    </row>
    <row r="771">
      <c r="A771" s="404" t="n">
        <v>50</v>
      </c>
      <c r="B771" s="404" t="n">
        <v>0</v>
      </c>
      <c r="C771" s="404" t="n">
        <v>0</v>
      </c>
      <c r="D771" s="404" t="n">
        <v>1</v>
      </c>
      <c r="E771" s="404" t="n">
        <v>229</v>
      </c>
      <c r="F771" s="404">
        <f>ROUND(Source!AZ760,O771)</f>
        <v/>
      </c>
      <c r="G771" s="404" t="inlineStr">
        <is>
          <t>ОборудПод</t>
        </is>
      </c>
      <c r="H771" s="404" t="inlineStr">
        <is>
          <t>Стоимость оборудования подрядчика</t>
        </is>
      </c>
      <c r="I771" s="404" t="n"/>
      <c r="J771" s="404" t="n"/>
      <c r="K771" s="404" t="n">
        <v>229</v>
      </c>
      <c r="L771" s="404" t="n">
        <v>10</v>
      </c>
      <c r="M771" s="404" t="n">
        <v>3</v>
      </c>
      <c r="N771" s="404" t="inlineStr"/>
      <c r="O771" s="404" t="n">
        <v>0</v>
      </c>
      <c r="P771" s="404" t="n"/>
      <c r="Q771" s="404" t="n"/>
      <c r="R771" s="404" t="n"/>
      <c r="S771" s="404" t="n"/>
      <c r="T771" s="404" t="n"/>
      <c r="U771" s="404" t="n"/>
      <c r="V771" s="404" t="n"/>
      <c r="W771" s="404" t="n">
        <v>0</v>
      </c>
      <c r="X771" s="404" t="n">
        <v>1</v>
      </c>
      <c r="Y771" s="404" t="n">
        <v>0</v>
      </c>
      <c r="Z771" s="404" t="n"/>
      <c r="AA771" s="404" t="n"/>
      <c r="AB771" s="404" t="n"/>
    </row>
    <row r="772">
      <c r="A772" s="404" t="n">
        <v>50</v>
      </c>
      <c r="B772" s="404" t="n">
        <v>0</v>
      </c>
      <c r="C772" s="404" t="n">
        <v>0</v>
      </c>
      <c r="D772" s="404" t="n">
        <v>1</v>
      </c>
      <c r="E772" s="404" t="n">
        <v>203</v>
      </c>
      <c r="F772" s="404">
        <f>ROUND(Source!Q760,O772)</f>
        <v/>
      </c>
      <c r="G772" s="404" t="inlineStr">
        <is>
          <t>ЭММ</t>
        </is>
      </c>
      <c r="H772" s="404" t="inlineStr">
        <is>
          <t>Эксплуатация машин</t>
        </is>
      </c>
      <c r="I772" s="404" t="n"/>
      <c r="J772" s="404" t="n"/>
      <c r="K772" s="404" t="n">
        <v>203</v>
      </c>
      <c r="L772" s="404" t="n">
        <v>11</v>
      </c>
      <c r="M772" s="404" t="n">
        <v>3</v>
      </c>
      <c r="N772" s="404" t="inlineStr"/>
      <c r="O772" s="404" t="n">
        <v>0</v>
      </c>
      <c r="P772" s="404" t="n"/>
      <c r="Q772" s="404" t="n"/>
      <c r="R772" s="404" t="n"/>
      <c r="S772" s="404" t="n"/>
      <c r="T772" s="404" t="n"/>
      <c r="U772" s="404" t="n"/>
      <c r="V772" s="404" t="n"/>
      <c r="W772" s="404" t="n">
        <v>0</v>
      </c>
      <c r="X772" s="404" t="n">
        <v>1</v>
      </c>
      <c r="Y772" s="404" t="n">
        <v>0</v>
      </c>
      <c r="Z772" s="404" t="n"/>
      <c r="AA772" s="404" t="n"/>
      <c r="AB772" s="404" t="n"/>
    </row>
    <row r="773">
      <c r="A773" s="404" t="n">
        <v>50</v>
      </c>
      <c r="B773" s="404" t="n">
        <v>0</v>
      </c>
      <c r="C773" s="404" t="n">
        <v>0</v>
      </c>
      <c r="D773" s="404" t="n">
        <v>1</v>
      </c>
      <c r="E773" s="404" t="n">
        <v>231</v>
      </c>
      <c r="F773" s="404">
        <f>ROUND(Source!BB760,O773)</f>
        <v/>
      </c>
      <c r="G773" s="404" t="inlineStr">
        <is>
          <t>ЭММсНРиСП</t>
        </is>
      </c>
      <c r="H773" s="404" t="inlineStr">
        <is>
          <t>Эксплуатация машин по ТСН-2001.16</t>
        </is>
      </c>
      <c r="I773" s="404" t="n"/>
      <c r="J773" s="404" t="n"/>
      <c r="K773" s="404" t="n">
        <v>231</v>
      </c>
      <c r="L773" s="404" t="n">
        <v>12</v>
      </c>
      <c r="M773" s="404" t="n">
        <v>3</v>
      </c>
      <c r="N773" s="404" t="inlineStr"/>
      <c r="O773" s="404" t="n">
        <v>0</v>
      </c>
      <c r="P773" s="404" t="n"/>
      <c r="Q773" s="404" t="n"/>
      <c r="R773" s="404" t="n"/>
      <c r="S773" s="404" t="n"/>
      <c r="T773" s="404" t="n"/>
      <c r="U773" s="404" t="n"/>
      <c r="V773" s="404" t="n"/>
      <c r="W773" s="404" t="n">
        <v>0</v>
      </c>
      <c r="X773" s="404" t="n">
        <v>1</v>
      </c>
      <c r="Y773" s="404" t="n">
        <v>0</v>
      </c>
      <c r="Z773" s="404" t="n"/>
      <c r="AA773" s="404" t="n"/>
      <c r="AB773" s="404" t="n"/>
    </row>
    <row r="774">
      <c r="A774" s="404" t="n">
        <v>50</v>
      </c>
      <c r="B774" s="404" t="n">
        <v>0</v>
      </c>
      <c r="C774" s="404" t="n">
        <v>0</v>
      </c>
      <c r="D774" s="404" t="n">
        <v>1</v>
      </c>
      <c r="E774" s="404" t="n">
        <v>204</v>
      </c>
      <c r="F774" s="404">
        <f>ROUND(Source!R760,O774)</f>
        <v/>
      </c>
      <c r="G774" s="404" t="inlineStr">
        <is>
          <t>ЗПМ</t>
        </is>
      </c>
      <c r="H774" s="404" t="inlineStr">
        <is>
          <t>ЗП машинистов</t>
        </is>
      </c>
      <c r="I774" s="404" t="n"/>
      <c r="J774" s="404" t="n"/>
      <c r="K774" s="404" t="n">
        <v>204</v>
      </c>
      <c r="L774" s="404" t="n">
        <v>13</v>
      </c>
      <c r="M774" s="404" t="n">
        <v>3</v>
      </c>
      <c r="N774" s="404" t="inlineStr"/>
      <c r="O774" s="404" t="n">
        <v>0</v>
      </c>
      <c r="P774" s="404" t="n"/>
      <c r="Q774" s="404" t="n"/>
      <c r="R774" s="404" t="n"/>
      <c r="S774" s="404" t="n"/>
      <c r="T774" s="404" t="n"/>
      <c r="U774" s="404" t="n"/>
      <c r="V774" s="404" t="n"/>
      <c r="W774" s="404" t="n">
        <v>0</v>
      </c>
      <c r="X774" s="404" t="n">
        <v>1</v>
      </c>
      <c r="Y774" s="404" t="n">
        <v>0</v>
      </c>
      <c r="Z774" s="404" t="n"/>
      <c r="AA774" s="404" t="n"/>
      <c r="AB774" s="404" t="n"/>
    </row>
    <row r="775">
      <c r="A775" s="404" t="n">
        <v>50</v>
      </c>
      <c r="B775" s="404" t="n">
        <v>0</v>
      </c>
      <c r="C775" s="404" t="n">
        <v>0</v>
      </c>
      <c r="D775" s="404" t="n">
        <v>1</v>
      </c>
      <c r="E775" s="404" t="n">
        <v>205</v>
      </c>
      <c r="F775" s="404">
        <f>ROUND(Source!S760,O775)</f>
        <v/>
      </c>
      <c r="G775" s="404" t="inlineStr">
        <is>
          <t>ОЗП</t>
        </is>
      </c>
      <c r="H775" s="404" t="inlineStr">
        <is>
          <t>Основная ЗП рабочих</t>
        </is>
      </c>
      <c r="I775" s="404" t="n"/>
      <c r="J775" s="404" t="n"/>
      <c r="K775" s="404" t="n">
        <v>205</v>
      </c>
      <c r="L775" s="404" t="n">
        <v>14</v>
      </c>
      <c r="M775" s="404" t="n">
        <v>3</v>
      </c>
      <c r="N775" s="404" t="inlineStr"/>
      <c r="O775" s="404" t="n">
        <v>0</v>
      </c>
      <c r="P775" s="404" t="n"/>
      <c r="Q775" s="404" t="n"/>
      <c r="R775" s="404" t="n"/>
      <c r="S775" s="404" t="n"/>
      <c r="T775" s="404" t="n"/>
      <c r="U775" s="404" t="n"/>
      <c r="V775" s="404" t="n"/>
      <c r="W775" s="404" t="n">
        <v>0</v>
      </c>
      <c r="X775" s="404" t="n">
        <v>1</v>
      </c>
      <c r="Y775" s="404" t="n">
        <v>0</v>
      </c>
      <c r="Z775" s="404" t="n"/>
      <c r="AA775" s="404" t="n"/>
      <c r="AB775" s="404" t="n"/>
    </row>
    <row r="776">
      <c r="A776" s="404" t="n">
        <v>50</v>
      </c>
      <c r="B776" s="404" t="n">
        <v>0</v>
      </c>
      <c r="C776" s="404" t="n">
        <v>0</v>
      </c>
      <c r="D776" s="404" t="n">
        <v>1</v>
      </c>
      <c r="E776" s="404" t="n">
        <v>232</v>
      </c>
      <c r="F776" s="404">
        <f>ROUND(Source!BC760,O776)</f>
        <v/>
      </c>
      <c r="G776" s="404" t="inlineStr">
        <is>
          <t>ОЗПсНРиСП</t>
        </is>
      </c>
      <c r="H776" s="404" t="inlineStr">
        <is>
          <t>Основная ЗП рабочих по ТСН-2001.16</t>
        </is>
      </c>
      <c r="I776" s="404" t="n"/>
      <c r="J776" s="404" t="n"/>
      <c r="K776" s="404" t="n">
        <v>232</v>
      </c>
      <c r="L776" s="404" t="n">
        <v>15</v>
      </c>
      <c r="M776" s="404" t="n">
        <v>3</v>
      </c>
      <c r="N776" s="404" t="inlineStr"/>
      <c r="O776" s="404" t="n">
        <v>0</v>
      </c>
      <c r="P776" s="404" t="n"/>
      <c r="Q776" s="404" t="n"/>
      <c r="R776" s="404" t="n"/>
      <c r="S776" s="404" t="n"/>
      <c r="T776" s="404" t="n"/>
      <c r="U776" s="404" t="n"/>
      <c r="V776" s="404" t="n"/>
      <c r="W776" s="404" t="n">
        <v>0</v>
      </c>
      <c r="X776" s="404" t="n">
        <v>1</v>
      </c>
      <c r="Y776" s="404" t="n">
        <v>0</v>
      </c>
      <c r="Z776" s="404" t="n"/>
      <c r="AA776" s="404" t="n"/>
      <c r="AB776" s="404" t="n"/>
    </row>
    <row r="777">
      <c r="A777" s="404" t="n">
        <v>50</v>
      </c>
      <c r="B777" s="404" t="n">
        <v>0</v>
      </c>
      <c r="C777" s="404" t="n">
        <v>0</v>
      </c>
      <c r="D777" s="404" t="n">
        <v>1</v>
      </c>
      <c r="E777" s="404" t="n">
        <v>214</v>
      </c>
      <c r="F777" s="404">
        <f>ROUND(Source!AS760,O777)</f>
        <v/>
      </c>
      <c r="G777" s="404" t="inlineStr">
        <is>
          <t>Строит</t>
        </is>
      </c>
      <c r="H777" s="404" t="inlineStr">
        <is>
          <t>Строительные работы с НР и СП</t>
        </is>
      </c>
      <c r="I777" s="404" t="n"/>
      <c r="J777" s="404" t="n"/>
      <c r="K777" s="404" t="n">
        <v>214</v>
      </c>
      <c r="L777" s="404" t="n">
        <v>16</v>
      </c>
      <c r="M777" s="404" t="n">
        <v>3</v>
      </c>
      <c r="N777" s="404" t="inlineStr"/>
      <c r="O777" s="404" t="n">
        <v>0</v>
      </c>
      <c r="P777" s="404" t="n"/>
      <c r="Q777" s="404" t="n"/>
      <c r="R777" s="404" t="n"/>
      <c r="S777" s="404" t="n"/>
      <c r="T777" s="404" t="n"/>
      <c r="U777" s="404" t="n"/>
      <c r="V777" s="404" t="n"/>
      <c r="W777" s="404" t="n">
        <v>0</v>
      </c>
      <c r="X777" s="404" t="n">
        <v>1</v>
      </c>
      <c r="Y777" s="404" t="n">
        <v>0</v>
      </c>
      <c r="Z777" s="404" t="n"/>
      <c r="AA777" s="404" t="n"/>
      <c r="AB777" s="404" t="n"/>
    </row>
    <row r="778">
      <c r="A778" s="404" t="n">
        <v>50</v>
      </c>
      <c r="B778" s="404" t="n">
        <v>0</v>
      </c>
      <c r="C778" s="404" t="n">
        <v>0</v>
      </c>
      <c r="D778" s="404" t="n">
        <v>1</v>
      </c>
      <c r="E778" s="404" t="n">
        <v>215</v>
      </c>
      <c r="F778" s="404">
        <f>ROUND(Source!AT760,O778)</f>
        <v/>
      </c>
      <c r="G778" s="404" t="inlineStr">
        <is>
          <t>Монтаж</t>
        </is>
      </c>
      <c r="H778" s="404" t="inlineStr">
        <is>
          <t>Монтажные работы с НР и СП</t>
        </is>
      </c>
      <c r="I778" s="404" t="n"/>
      <c r="J778" s="404" t="n"/>
      <c r="K778" s="404" t="n">
        <v>215</v>
      </c>
      <c r="L778" s="404" t="n">
        <v>17</v>
      </c>
      <c r="M778" s="404" t="n">
        <v>3</v>
      </c>
      <c r="N778" s="404" t="inlineStr"/>
      <c r="O778" s="404" t="n">
        <v>0</v>
      </c>
      <c r="P778" s="404" t="n"/>
      <c r="Q778" s="404" t="n"/>
      <c r="R778" s="404" t="n"/>
      <c r="S778" s="404" t="n"/>
      <c r="T778" s="404" t="n"/>
      <c r="U778" s="404" t="n"/>
      <c r="V778" s="404" t="n"/>
      <c r="W778" s="404" t="n">
        <v>0</v>
      </c>
      <c r="X778" s="404" t="n">
        <v>1</v>
      </c>
      <c r="Y778" s="404" t="n">
        <v>0</v>
      </c>
      <c r="Z778" s="404" t="n"/>
      <c r="AA778" s="404" t="n"/>
      <c r="AB778" s="404" t="n"/>
    </row>
    <row r="779">
      <c r="A779" s="404" t="n">
        <v>50</v>
      </c>
      <c r="B779" s="404" t="n">
        <v>0</v>
      </c>
      <c r="C779" s="404" t="n">
        <v>0</v>
      </c>
      <c r="D779" s="404" t="n">
        <v>1</v>
      </c>
      <c r="E779" s="404" t="n">
        <v>217</v>
      </c>
      <c r="F779" s="404">
        <f>ROUND(Source!AU760,O779)</f>
        <v/>
      </c>
      <c r="G779" s="404" t="inlineStr">
        <is>
          <t>Прочие</t>
        </is>
      </c>
      <c r="H779" s="404" t="inlineStr">
        <is>
          <t>Прочие работы с НР и СП</t>
        </is>
      </c>
      <c r="I779" s="404" t="n"/>
      <c r="J779" s="404" t="n"/>
      <c r="K779" s="404" t="n">
        <v>217</v>
      </c>
      <c r="L779" s="404" t="n">
        <v>18</v>
      </c>
      <c r="M779" s="404" t="n">
        <v>3</v>
      </c>
      <c r="N779" s="404" t="inlineStr"/>
      <c r="O779" s="404" t="n">
        <v>0</v>
      </c>
      <c r="P779" s="404" t="n"/>
      <c r="Q779" s="404" t="n"/>
      <c r="R779" s="404" t="n"/>
      <c r="S779" s="404" t="n"/>
      <c r="T779" s="404" t="n"/>
      <c r="U779" s="404" t="n"/>
      <c r="V779" s="404" t="n"/>
      <c r="W779" s="404" t="n">
        <v>0</v>
      </c>
      <c r="X779" s="404" t="n">
        <v>1</v>
      </c>
      <c r="Y779" s="404" t="n">
        <v>0</v>
      </c>
      <c r="Z779" s="404" t="n"/>
      <c r="AA779" s="404" t="n"/>
      <c r="AB779" s="404" t="n"/>
    </row>
    <row r="780">
      <c r="A780" s="404" t="n">
        <v>50</v>
      </c>
      <c r="B780" s="404" t="n">
        <v>0</v>
      </c>
      <c r="C780" s="404" t="n">
        <v>0</v>
      </c>
      <c r="D780" s="404" t="n">
        <v>1</v>
      </c>
      <c r="E780" s="404" t="n">
        <v>230</v>
      </c>
      <c r="F780" s="404">
        <f>ROUND(Source!BA760,O780)</f>
        <v/>
      </c>
      <c r="G780" s="404" t="inlineStr">
        <is>
          <t>ПрочиеЗатр</t>
        </is>
      </c>
      <c r="H780" s="404" t="inlineStr">
        <is>
          <t>Прочие затраты по ТСН-2001.16</t>
        </is>
      </c>
      <c r="I780" s="404" t="n"/>
      <c r="J780" s="404" t="n"/>
      <c r="K780" s="404" t="n">
        <v>230</v>
      </c>
      <c r="L780" s="404" t="n">
        <v>19</v>
      </c>
      <c r="M780" s="404" t="n">
        <v>3</v>
      </c>
      <c r="N780" s="404" t="inlineStr"/>
      <c r="O780" s="404" t="n">
        <v>0</v>
      </c>
      <c r="P780" s="404" t="n"/>
      <c r="Q780" s="404" t="n"/>
      <c r="R780" s="404" t="n"/>
      <c r="S780" s="404" t="n"/>
      <c r="T780" s="404" t="n"/>
      <c r="U780" s="404" t="n"/>
      <c r="V780" s="404" t="n"/>
      <c r="W780" s="404" t="n">
        <v>0</v>
      </c>
      <c r="X780" s="404" t="n">
        <v>1</v>
      </c>
      <c r="Y780" s="404" t="n">
        <v>0</v>
      </c>
      <c r="Z780" s="404" t="n"/>
      <c r="AA780" s="404" t="n"/>
      <c r="AB780" s="404" t="n"/>
    </row>
    <row r="781">
      <c r="A781" s="404" t="n">
        <v>50</v>
      </c>
      <c r="B781" s="404" t="n">
        <v>0</v>
      </c>
      <c r="C781" s="404" t="n">
        <v>0</v>
      </c>
      <c r="D781" s="404" t="n">
        <v>1</v>
      </c>
      <c r="E781" s="404" t="n">
        <v>206</v>
      </c>
      <c r="F781" s="404">
        <f>ROUND(Source!T760,O781)</f>
        <v/>
      </c>
      <c r="G781" s="404" t="inlineStr">
        <is>
          <t>ВозврМат</t>
        </is>
      </c>
      <c r="H781" s="404" t="inlineStr">
        <is>
          <t>Возврат материалов</t>
        </is>
      </c>
      <c r="I781" s="404" t="n"/>
      <c r="J781" s="404" t="n"/>
      <c r="K781" s="404" t="n">
        <v>206</v>
      </c>
      <c r="L781" s="404" t="n">
        <v>20</v>
      </c>
      <c r="M781" s="404" t="n">
        <v>3</v>
      </c>
      <c r="N781" s="404" t="inlineStr"/>
      <c r="O781" s="404" t="n">
        <v>0</v>
      </c>
      <c r="P781" s="404" t="n"/>
      <c r="Q781" s="404" t="n"/>
      <c r="R781" s="404" t="n"/>
      <c r="S781" s="404" t="n"/>
      <c r="T781" s="404" t="n"/>
      <c r="U781" s="404" t="n"/>
      <c r="V781" s="404" t="n"/>
      <c r="W781" s="404" t="n">
        <v>0</v>
      </c>
      <c r="X781" s="404" t="n">
        <v>1</v>
      </c>
      <c r="Y781" s="404" t="n">
        <v>0</v>
      </c>
      <c r="Z781" s="404" t="n"/>
      <c r="AA781" s="404" t="n"/>
      <c r="AB781" s="404" t="n"/>
    </row>
    <row r="782">
      <c r="A782" s="404" t="n">
        <v>50</v>
      </c>
      <c r="B782" s="404" t="n">
        <v>0</v>
      </c>
      <c r="C782" s="404" t="n">
        <v>0</v>
      </c>
      <c r="D782" s="404" t="n">
        <v>1</v>
      </c>
      <c r="E782" s="404" t="n">
        <v>207</v>
      </c>
      <c r="F782" s="404">
        <f>ROUND(Source!U760,O782)</f>
        <v/>
      </c>
      <c r="G782" s="404" t="inlineStr">
        <is>
          <t>ТрудСтр</t>
        </is>
      </c>
      <c r="H782" s="404" t="inlineStr">
        <is>
          <t>Трудозатраты строителей</t>
        </is>
      </c>
      <c r="I782" s="404" t="n"/>
      <c r="J782" s="404" t="n"/>
      <c r="K782" s="404" t="n">
        <v>207</v>
      </c>
      <c r="L782" s="404" t="n">
        <v>21</v>
      </c>
      <c r="M782" s="404" t="n">
        <v>3</v>
      </c>
      <c r="N782" s="404" t="inlineStr"/>
      <c r="O782" s="404" t="n">
        <v>7</v>
      </c>
      <c r="P782" s="404" t="n"/>
      <c r="Q782" s="404" t="n"/>
      <c r="R782" s="404" t="n"/>
      <c r="S782" s="404" t="n"/>
      <c r="T782" s="404" t="n"/>
      <c r="U782" s="404" t="n"/>
      <c r="V782" s="404" t="n"/>
      <c r="W782" s="404" t="n">
        <v>0</v>
      </c>
      <c r="X782" s="404" t="n">
        <v>1</v>
      </c>
      <c r="Y782" s="404" t="n">
        <v>0</v>
      </c>
      <c r="Z782" s="404" t="n"/>
      <c r="AA782" s="404" t="n"/>
      <c r="AB782" s="404" t="n"/>
    </row>
    <row r="783">
      <c r="A783" s="404" t="n">
        <v>50</v>
      </c>
      <c r="B783" s="404" t="n">
        <v>0</v>
      </c>
      <c r="C783" s="404" t="n">
        <v>0</v>
      </c>
      <c r="D783" s="404" t="n">
        <v>1</v>
      </c>
      <c r="E783" s="404" t="n">
        <v>208</v>
      </c>
      <c r="F783" s="404">
        <f>ROUND(Source!V760,O783)</f>
        <v/>
      </c>
      <c r="G783" s="404" t="inlineStr">
        <is>
          <t>ТрудМаш</t>
        </is>
      </c>
      <c r="H783" s="404" t="inlineStr">
        <is>
          <t>Трудозатраты машинистов</t>
        </is>
      </c>
      <c r="I783" s="404" t="n"/>
      <c r="J783" s="404" t="n"/>
      <c r="K783" s="404" t="n">
        <v>208</v>
      </c>
      <c r="L783" s="404" t="n">
        <v>22</v>
      </c>
      <c r="M783" s="404" t="n">
        <v>3</v>
      </c>
      <c r="N783" s="404" t="inlineStr"/>
      <c r="O783" s="404" t="n">
        <v>7</v>
      </c>
      <c r="P783" s="404" t="n"/>
      <c r="Q783" s="404" t="n"/>
      <c r="R783" s="404" t="n"/>
      <c r="S783" s="404" t="n"/>
      <c r="T783" s="404" t="n"/>
      <c r="U783" s="404" t="n"/>
      <c r="V783" s="404" t="n"/>
      <c r="W783" s="404" t="n">
        <v>0</v>
      </c>
      <c r="X783" s="404" t="n">
        <v>1</v>
      </c>
      <c r="Y783" s="404" t="n">
        <v>0</v>
      </c>
      <c r="Z783" s="404" t="n"/>
      <c r="AA783" s="404" t="n"/>
      <c r="AB783" s="404" t="n"/>
    </row>
    <row r="784">
      <c r="A784" s="404" t="n">
        <v>50</v>
      </c>
      <c r="B784" s="404" t="n">
        <v>0</v>
      </c>
      <c r="C784" s="404" t="n">
        <v>0</v>
      </c>
      <c r="D784" s="404" t="n">
        <v>1</v>
      </c>
      <c r="E784" s="404" t="n">
        <v>209</v>
      </c>
      <c r="F784" s="404">
        <f>ROUND(Source!W760,O784)</f>
        <v/>
      </c>
      <c r="G784" s="404" t="inlineStr">
        <is>
          <t>ТранспМат</t>
        </is>
      </c>
      <c r="H784" s="404" t="inlineStr">
        <is>
          <t>Транспорт материалов</t>
        </is>
      </c>
      <c r="I784" s="404" t="n"/>
      <c r="J784" s="404" t="n"/>
      <c r="K784" s="404" t="n">
        <v>209</v>
      </c>
      <c r="L784" s="404" t="n">
        <v>23</v>
      </c>
      <c r="M784" s="404" t="n">
        <v>3</v>
      </c>
      <c r="N784" s="404" t="inlineStr"/>
      <c r="O784" s="404" t="n">
        <v>0</v>
      </c>
      <c r="P784" s="404" t="n"/>
      <c r="Q784" s="404" t="n"/>
      <c r="R784" s="404" t="n"/>
      <c r="S784" s="404" t="n"/>
      <c r="T784" s="404" t="n"/>
      <c r="U784" s="404" t="n"/>
      <c r="V784" s="404" t="n"/>
      <c r="W784" s="404" t="n">
        <v>0</v>
      </c>
      <c r="X784" s="404" t="n">
        <v>1</v>
      </c>
      <c r="Y784" s="404" t="n">
        <v>0</v>
      </c>
      <c r="Z784" s="404" t="n"/>
      <c r="AA784" s="404" t="n"/>
      <c r="AB784" s="404" t="n"/>
    </row>
    <row r="785">
      <c r="A785" s="404" t="n">
        <v>50</v>
      </c>
      <c r="B785" s="404" t="n">
        <v>0</v>
      </c>
      <c r="C785" s="404" t="n">
        <v>0</v>
      </c>
      <c r="D785" s="404" t="n">
        <v>1</v>
      </c>
      <c r="E785" s="404" t="n">
        <v>233</v>
      </c>
      <c r="F785" s="404">
        <f>ROUND(Source!BD760,O785)</f>
        <v/>
      </c>
      <c r="G785" s="404" t="inlineStr">
        <is>
          <t>Перевозка</t>
        </is>
      </c>
      <c r="H785" s="404" t="inlineStr">
        <is>
          <t>Перевозка грузов</t>
        </is>
      </c>
      <c r="I785" s="404" t="n"/>
      <c r="J785" s="404" t="n"/>
      <c r="K785" s="404" t="n">
        <v>233</v>
      </c>
      <c r="L785" s="404" t="n">
        <v>24</v>
      </c>
      <c r="M785" s="404" t="n">
        <v>3</v>
      </c>
      <c r="N785" s="404" t="inlineStr"/>
      <c r="O785" s="404" t="n">
        <v>0</v>
      </c>
      <c r="P785" s="404" t="n"/>
      <c r="Q785" s="404" t="n"/>
      <c r="R785" s="404" t="n"/>
      <c r="S785" s="404" t="n"/>
      <c r="T785" s="404" t="n"/>
      <c r="U785" s="404" t="n"/>
      <c r="V785" s="404" t="n"/>
      <c r="W785" s="404" t="n">
        <v>0</v>
      </c>
      <c r="X785" s="404" t="n">
        <v>1</v>
      </c>
      <c r="Y785" s="404" t="n">
        <v>0</v>
      </c>
      <c r="Z785" s="404" t="n"/>
      <c r="AA785" s="404" t="n"/>
      <c r="AB785" s="404" t="n"/>
    </row>
    <row r="786">
      <c r="A786" s="404" t="n">
        <v>50</v>
      </c>
      <c r="B786" s="404" t="n">
        <v>0</v>
      </c>
      <c r="C786" s="404" t="n">
        <v>0</v>
      </c>
      <c r="D786" s="404" t="n">
        <v>1</v>
      </c>
      <c r="E786" s="404" t="n">
        <v>210</v>
      </c>
      <c r="F786" s="404">
        <f>ROUND(Source!X760,O786)</f>
        <v/>
      </c>
      <c r="G786" s="404" t="inlineStr">
        <is>
          <t>НР</t>
        </is>
      </c>
      <c r="H786" s="404" t="inlineStr">
        <is>
          <t>Накладные расходы</t>
        </is>
      </c>
      <c r="I786" s="404" t="n"/>
      <c r="J786" s="404" t="n"/>
      <c r="K786" s="404" t="n">
        <v>210</v>
      </c>
      <c r="L786" s="404" t="n">
        <v>25</v>
      </c>
      <c r="M786" s="404" t="n">
        <v>3</v>
      </c>
      <c r="N786" s="404" t="inlineStr"/>
      <c r="O786" s="404" t="n">
        <v>0</v>
      </c>
      <c r="P786" s="404" t="n"/>
      <c r="Q786" s="404" t="n"/>
      <c r="R786" s="404" t="n"/>
      <c r="S786" s="404" t="n"/>
      <c r="T786" s="404" t="n"/>
      <c r="U786" s="404" t="n"/>
      <c r="V786" s="404" t="n"/>
      <c r="W786" s="404" t="n">
        <v>0</v>
      </c>
      <c r="X786" s="404" t="n">
        <v>1</v>
      </c>
      <c r="Y786" s="404" t="n">
        <v>0</v>
      </c>
      <c r="Z786" s="404" t="n"/>
      <c r="AA786" s="404" t="n"/>
      <c r="AB786" s="404" t="n"/>
    </row>
    <row r="787">
      <c r="A787" s="404" t="n">
        <v>50</v>
      </c>
      <c r="B787" s="404" t="n">
        <v>0</v>
      </c>
      <c r="C787" s="404" t="n">
        <v>0</v>
      </c>
      <c r="D787" s="404" t="n">
        <v>1</v>
      </c>
      <c r="E787" s="404" t="n">
        <v>211</v>
      </c>
      <c r="F787" s="404">
        <f>ROUND(Source!Y760,O787)</f>
        <v/>
      </c>
      <c r="G787" s="404" t="inlineStr">
        <is>
          <t>СмПриб</t>
        </is>
      </c>
      <c r="H787" s="404" t="inlineStr">
        <is>
          <t>Сметная прибыль</t>
        </is>
      </c>
      <c r="I787" s="404" t="n"/>
      <c r="J787" s="404" t="n"/>
      <c r="K787" s="404" t="n">
        <v>211</v>
      </c>
      <c r="L787" s="404" t="n">
        <v>26</v>
      </c>
      <c r="M787" s="404" t="n">
        <v>3</v>
      </c>
      <c r="N787" s="404" t="inlineStr"/>
      <c r="O787" s="404" t="n">
        <v>0</v>
      </c>
      <c r="P787" s="404" t="n"/>
      <c r="Q787" s="404" t="n"/>
      <c r="R787" s="404" t="n"/>
      <c r="S787" s="404" t="n"/>
      <c r="T787" s="404" t="n"/>
      <c r="U787" s="404" t="n"/>
      <c r="V787" s="404" t="n"/>
      <c r="W787" s="404" t="n">
        <v>0</v>
      </c>
      <c r="X787" s="404" t="n">
        <v>1</v>
      </c>
      <c r="Y787" s="404" t="n">
        <v>0</v>
      </c>
      <c r="Z787" s="404" t="n"/>
      <c r="AA787" s="404" t="n"/>
      <c r="AB787" s="404" t="n"/>
    </row>
    <row r="788">
      <c r="A788" s="404" t="n">
        <v>50</v>
      </c>
      <c r="B788" s="404" t="n">
        <v>0</v>
      </c>
      <c r="C788" s="404" t="n">
        <v>0</v>
      </c>
      <c r="D788" s="404" t="n">
        <v>1</v>
      </c>
      <c r="E788" s="404" t="n">
        <v>224</v>
      </c>
      <c r="F788" s="404">
        <f>ROUND(Source!AR760,O788)</f>
        <v/>
      </c>
      <c r="G788" s="404" t="inlineStr">
        <is>
          <t>Всего</t>
        </is>
      </c>
      <c r="H788" s="404" t="inlineStr">
        <is>
          <t>Всего с НР и СП</t>
        </is>
      </c>
      <c r="I788" s="404" t="n"/>
      <c r="J788" s="404" t="n"/>
      <c r="K788" s="404" t="n">
        <v>224</v>
      </c>
      <c r="L788" s="404" t="n">
        <v>27</v>
      </c>
      <c r="M788" s="404" t="n">
        <v>3</v>
      </c>
      <c r="N788" s="404" t="inlineStr"/>
      <c r="O788" s="404" t="n">
        <v>0</v>
      </c>
      <c r="P788" s="404" t="n"/>
      <c r="Q788" s="404" t="n"/>
      <c r="R788" s="404" t="n"/>
      <c r="S788" s="404" t="n"/>
      <c r="T788" s="404" t="n"/>
      <c r="U788" s="404" t="n"/>
      <c r="V788" s="404" t="n"/>
      <c r="W788" s="404" t="n">
        <v>0</v>
      </c>
      <c r="X788" s="404" t="n">
        <v>1</v>
      </c>
      <c r="Y788" s="404" t="n">
        <v>0</v>
      </c>
      <c r="Z788" s="404" t="n"/>
      <c r="AA788" s="404" t="n"/>
      <c r="AB788" s="404" t="n"/>
    </row>
    <row r="789">
      <c r="A789" s="404" t="n">
        <v>50</v>
      </c>
      <c r="B789" s="404" t="n">
        <v>0</v>
      </c>
      <c r="C789" s="404" t="n">
        <v>0</v>
      </c>
      <c r="D789" s="404" t="n">
        <v>2</v>
      </c>
      <c r="E789" s="404" t="n">
        <v>0</v>
      </c>
      <c r="F789" s="404">
        <f>ROUND(F788,O789)</f>
        <v/>
      </c>
      <c r="G789" s="404" t="inlineStr">
        <is>
          <t>и1</t>
        </is>
      </c>
      <c r="H789" s="404" t="inlineStr">
        <is>
          <t>Итого</t>
        </is>
      </c>
      <c r="I789" s="404" t="n"/>
      <c r="J789" s="404" t="n"/>
      <c r="K789" s="404" t="n">
        <v>212</v>
      </c>
      <c r="L789" s="404" t="n">
        <v>28</v>
      </c>
      <c r="M789" s="404" t="n">
        <v>0</v>
      </c>
      <c r="N789" s="404" t="inlineStr"/>
      <c r="O789" s="404" t="n">
        <v>0</v>
      </c>
      <c r="P789" s="404" t="n"/>
      <c r="Q789" s="404" t="n"/>
      <c r="R789" s="404" t="n"/>
      <c r="S789" s="404" t="n"/>
      <c r="T789" s="404" t="n"/>
      <c r="U789" s="404" t="n"/>
      <c r="V789" s="404" t="n"/>
      <c r="W789" s="404" t="n">
        <v>0</v>
      </c>
      <c r="X789" s="404" t="n">
        <v>1</v>
      </c>
      <c r="Y789" s="404" t="n">
        <v>0</v>
      </c>
      <c r="Z789" s="404" t="n"/>
      <c r="AA789" s="404" t="n"/>
      <c r="AB789" s="404" t="n"/>
    </row>
    <row r="790">
      <c r="A790" s="404" t="n">
        <v>50</v>
      </c>
      <c r="B790" s="404" t="n">
        <v>0</v>
      </c>
      <c r="C790" s="404" t="n">
        <v>0</v>
      </c>
      <c r="D790" s="404" t="n">
        <v>2</v>
      </c>
      <c r="E790" s="404" t="n">
        <v>0</v>
      </c>
      <c r="F790" s="404">
        <f>ROUND(F789*0.22,O790)</f>
        <v/>
      </c>
      <c r="G790" s="404" t="inlineStr">
        <is>
          <t>и2</t>
        </is>
      </c>
      <c r="H790" s="404" t="inlineStr">
        <is>
          <t>НДС 22%</t>
        </is>
      </c>
      <c r="I790" s="404" t="n"/>
      <c r="J790" s="404" t="n"/>
      <c r="K790" s="404" t="n">
        <v>212</v>
      </c>
      <c r="L790" s="404" t="n">
        <v>29</v>
      </c>
      <c r="M790" s="404" t="n">
        <v>0</v>
      </c>
      <c r="N790" s="404" t="inlineStr"/>
      <c r="O790" s="404" t="n">
        <v>0</v>
      </c>
      <c r="P790" s="404" t="n"/>
      <c r="Q790" s="404" t="n"/>
      <c r="R790" s="404" t="n"/>
      <c r="S790" s="404" t="n"/>
      <c r="T790" s="404" t="n"/>
      <c r="U790" s="404" t="n"/>
      <c r="V790" s="404" t="n"/>
      <c r="W790" s="404" t="n">
        <v>0</v>
      </c>
      <c r="X790" s="404" t="n">
        <v>1</v>
      </c>
      <c r="Y790" s="404" t="n">
        <v>0</v>
      </c>
      <c r="Z790" s="404" t="n"/>
      <c r="AA790" s="404" t="n"/>
      <c r="AB790" s="404" t="n"/>
    </row>
    <row r="791">
      <c r="A791" s="404" t="n">
        <v>50</v>
      </c>
      <c r="B791" s="404" t="n">
        <v>0</v>
      </c>
      <c r="C791" s="404" t="n">
        <v>0</v>
      </c>
      <c r="D791" s="404" t="n">
        <v>2</v>
      </c>
      <c r="E791" s="404" t="n">
        <v>213</v>
      </c>
      <c r="F791" s="404">
        <f>ROUND(F789+F790,O791)</f>
        <v/>
      </c>
      <c r="G791" s="404" t="inlineStr">
        <is>
          <t>и3</t>
        </is>
      </c>
      <c r="H791" s="404" t="inlineStr">
        <is>
          <t>Всего</t>
        </is>
      </c>
      <c r="I791" s="404" t="n"/>
      <c r="J791" s="404" t="n"/>
      <c r="K791" s="404" t="n">
        <v>212</v>
      </c>
      <c r="L791" s="404" t="n">
        <v>30</v>
      </c>
      <c r="M791" s="404" t="n">
        <v>0</v>
      </c>
      <c r="N791" s="404" t="inlineStr"/>
      <c r="O791" s="404" t="n">
        <v>0</v>
      </c>
      <c r="P791" s="404" t="n"/>
      <c r="Q791" s="404" t="n"/>
      <c r="R791" s="404" t="n"/>
      <c r="S791" s="404" t="n"/>
      <c r="T791" s="404" t="n"/>
      <c r="U791" s="404" t="n"/>
      <c r="V791" s="404" t="n"/>
      <c r="W791" s="404" t="n">
        <v>0</v>
      </c>
      <c r="X791" s="404" t="n">
        <v>1</v>
      </c>
      <c r="Y791" s="404" t="n">
        <v>0</v>
      </c>
      <c r="Z791" s="404" t="n"/>
      <c r="AA791" s="404" t="n"/>
      <c r="AB791" s="404" t="n"/>
    </row>
    <row r="792"/>
    <row r="793">
      <c r="A793" s="401" t="n">
        <v>3</v>
      </c>
      <c r="B793" s="401" t="n">
        <v>0</v>
      </c>
      <c r="C793" s="401" t="n"/>
      <c r="D793" s="401">
        <f>ROW(A801)</f>
        <v/>
      </c>
      <c r="E793" s="401" t="n"/>
      <c r="F793" s="401" t="inlineStr">
        <is>
          <t>Новая локальная смета</t>
        </is>
      </c>
      <c r="G793" s="401" t="inlineStr">
        <is>
          <t>Механизаторов 2а</t>
        </is>
      </c>
      <c r="H793" s="401" t="inlineStr"/>
      <c r="I793" s="401" t="n">
        <v>0</v>
      </c>
      <c r="J793" s="401" t="inlineStr"/>
      <c r="K793" s="401" t="n">
        <v>0</v>
      </c>
      <c r="L793" s="401" t="inlineStr">
        <is>
          <t>Новая локальная смета</t>
        </is>
      </c>
      <c r="M793" s="401" t="inlineStr"/>
      <c r="N793" s="401" t="n"/>
      <c r="O793" s="401" t="n"/>
      <c r="P793" s="401" t="n"/>
      <c r="Q793" s="401" t="n"/>
      <c r="R793" s="401" t="n"/>
      <c r="S793" s="401" t="n">
        <v>0</v>
      </c>
      <c r="T793" s="401" t="n"/>
      <c r="U793" s="401" t="inlineStr"/>
      <c r="V793" s="401" t="n">
        <v>0</v>
      </c>
      <c r="W793" s="401" t="n"/>
      <c r="X793" s="401" t="n"/>
      <c r="Y793" s="401" t="n"/>
      <c r="Z793" s="401" t="n"/>
      <c r="AA793" s="401" t="n"/>
      <c r="AB793" s="401" t="inlineStr"/>
      <c r="AC793" s="401" t="inlineStr"/>
      <c r="AD793" s="401" t="inlineStr"/>
      <c r="AE793" s="401" t="inlineStr"/>
      <c r="AF793" s="401" t="inlineStr"/>
      <c r="AG793" s="401" t="inlineStr"/>
      <c r="AH793" s="401" t="n"/>
      <c r="AI793" s="401" t="n"/>
      <c r="AJ793" s="401" t="n"/>
      <c r="AK793" s="401" t="n"/>
      <c r="AL793" s="401" t="n"/>
      <c r="AM793" s="401" t="n"/>
      <c r="AN793" s="401" t="n"/>
      <c r="AO793" s="401" t="n"/>
      <c r="AP793" s="401" t="inlineStr"/>
      <c r="AQ793" s="401" t="inlineStr"/>
      <c r="AR793" s="401" t="inlineStr"/>
      <c r="AS793" s="401" t="n"/>
      <c r="AT793" s="401" t="n"/>
      <c r="AU793" s="401" t="n"/>
      <c r="AV793" s="401" t="n"/>
      <c r="AW793" s="401" t="n"/>
      <c r="AX793" s="401" t="n"/>
      <c r="AY793" s="401" t="n"/>
      <c r="AZ793" s="401" t="inlineStr"/>
      <c r="BA793" s="401" t="n"/>
      <c r="BB793" s="401" t="inlineStr"/>
      <c r="BC793" s="401" t="inlineStr"/>
      <c r="BD793" s="401" t="inlineStr"/>
      <c r="BE793" s="401" t="inlineStr"/>
      <c r="BF793" s="401" t="inlineStr"/>
      <c r="BG793" s="401" t="inlineStr"/>
      <c r="BH793" s="401" t="inlineStr"/>
      <c r="BI793" s="401" t="inlineStr"/>
      <c r="BJ793" s="401" t="inlineStr"/>
      <c r="BK793" s="401" t="inlineStr"/>
      <c r="BL793" s="401" t="inlineStr"/>
      <c r="BM793" s="401" t="inlineStr"/>
      <c r="BN793" s="401" t="inlineStr"/>
      <c r="BO793" s="401" t="inlineStr"/>
      <c r="BP793" s="401" t="inlineStr"/>
      <c r="BQ793" s="401" t="n"/>
      <c r="BR793" s="401" t="n"/>
      <c r="BS793" s="401" t="n"/>
      <c r="BT793" s="401" t="n"/>
      <c r="BU793" s="401" t="n"/>
      <c r="BV793" s="401" t="n"/>
      <c r="BW793" s="401" t="n"/>
      <c r="BX793" s="401" t="n">
        <v>0</v>
      </c>
      <c r="BY793" s="401" t="n"/>
      <c r="BZ793" s="401" t="n"/>
      <c r="CA793" s="401" t="n"/>
      <c r="CB793" s="401" t="n"/>
      <c r="CC793" s="401" t="n"/>
      <c r="CD793" s="401" t="n"/>
      <c r="CE793" s="401" t="n"/>
      <c r="CF793" s="401" t="n">
        <v>0</v>
      </c>
      <c r="CG793" s="401" t="n">
        <v>0</v>
      </c>
      <c r="CH793" s="401" t="n"/>
      <c r="CI793" s="401" t="inlineStr"/>
      <c r="CJ793" s="401" t="inlineStr"/>
      <c r="CK793" t="inlineStr"/>
      <c r="CL793" t="inlineStr"/>
      <c r="CM793" t="inlineStr"/>
      <c r="CN793" t="inlineStr"/>
      <c r="CO793" t="inlineStr"/>
      <c r="CP793" t="inlineStr"/>
      <c r="CQ793" t="inlineStr"/>
    </row>
    <row r="794"/>
    <row r="795">
      <c r="A795" s="402" t="n">
        <v>52</v>
      </c>
      <c r="B795" s="402">
        <f>B801</f>
        <v/>
      </c>
      <c r="C795" s="402">
        <f>C801</f>
        <v/>
      </c>
      <c r="D795" s="402">
        <f>D801</f>
        <v/>
      </c>
      <c r="E795" s="402">
        <f>E801</f>
        <v/>
      </c>
      <c r="F795" s="402">
        <f>F801</f>
        <v/>
      </c>
      <c r="G795" s="402">
        <f>G801</f>
        <v/>
      </c>
      <c r="H795" s="402" t="n"/>
      <c r="I795" s="402" t="n"/>
      <c r="J795" s="402" t="n"/>
      <c r="K795" s="402" t="n"/>
      <c r="L795" s="402" t="n"/>
      <c r="M795" s="402" t="n"/>
      <c r="N795" s="402" t="n"/>
      <c r="O795" s="402">
        <f>O801</f>
        <v/>
      </c>
      <c r="P795" s="402">
        <f>P801</f>
        <v/>
      </c>
      <c r="Q795" s="402">
        <f>Q801</f>
        <v/>
      </c>
      <c r="R795" s="402">
        <f>R801</f>
        <v/>
      </c>
      <c r="S795" s="402">
        <f>S801</f>
        <v/>
      </c>
      <c r="T795" s="402">
        <f>T801</f>
        <v/>
      </c>
      <c r="U795" s="402">
        <f>U801</f>
        <v/>
      </c>
      <c r="V795" s="402">
        <f>V801</f>
        <v/>
      </c>
      <c r="W795" s="402">
        <f>W801</f>
        <v/>
      </c>
      <c r="X795" s="402">
        <f>X801</f>
        <v/>
      </c>
      <c r="Y795" s="402">
        <f>Y801</f>
        <v/>
      </c>
      <c r="Z795" s="402">
        <f>Z801</f>
        <v/>
      </c>
      <c r="AA795" s="402">
        <f>AA801</f>
        <v/>
      </c>
      <c r="AB795" s="402">
        <f>AB801</f>
        <v/>
      </c>
      <c r="AC795" s="402">
        <f>AC801</f>
        <v/>
      </c>
      <c r="AD795" s="402">
        <f>AD801</f>
        <v/>
      </c>
      <c r="AE795" s="402">
        <f>AE801</f>
        <v/>
      </c>
      <c r="AF795" s="402">
        <f>AF801</f>
        <v/>
      </c>
      <c r="AG795" s="402">
        <f>AG801</f>
        <v/>
      </c>
      <c r="AH795" s="402">
        <f>AH801</f>
        <v/>
      </c>
      <c r="AI795" s="402">
        <f>AI801</f>
        <v/>
      </c>
      <c r="AJ795" s="402">
        <f>AJ801</f>
        <v/>
      </c>
      <c r="AK795" s="402">
        <f>AK801</f>
        <v/>
      </c>
      <c r="AL795" s="402">
        <f>AL801</f>
        <v/>
      </c>
      <c r="AM795" s="402">
        <f>AM801</f>
        <v/>
      </c>
      <c r="AN795" s="402">
        <f>AN801</f>
        <v/>
      </c>
      <c r="AO795" s="402">
        <f>AO801</f>
        <v/>
      </c>
      <c r="AP795" s="402">
        <f>AP801</f>
        <v/>
      </c>
      <c r="AQ795" s="402">
        <f>AQ801</f>
        <v/>
      </c>
      <c r="AR795" s="402">
        <f>AR801</f>
        <v/>
      </c>
      <c r="AS795" s="402">
        <f>AS801</f>
        <v/>
      </c>
      <c r="AT795" s="402">
        <f>AT801</f>
        <v/>
      </c>
      <c r="AU795" s="402">
        <f>AU801</f>
        <v/>
      </c>
      <c r="AV795" s="402">
        <f>AV801</f>
        <v/>
      </c>
      <c r="AW795" s="402">
        <f>AW801</f>
        <v/>
      </c>
      <c r="AX795" s="402">
        <f>AX801</f>
        <v/>
      </c>
      <c r="AY795" s="402">
        <f>AY801</f>
        <v/>
      </c>
      <c r="AZ795" s="402">
        <f>AZ801</f>
        <v/>
      </c>
      <c r="BA795" s="402">
        <f>BA801</f>
        <v/>
      </c>
      <c r="BB795" s="402">
        <f>BB801</f>
        <v/>
      </c>
      <c r="BC795" s="402">
        <f>BC801</f>
        <v/>
      </c>
      <c r="BD795" s="402">
        <f>BD801</f>
        <v/>
      </c>
      <c r="BE795" s="402">
        <f>BE801</f>
        <v/>
      </c>
      <c r="BF795" s="402">
        <f>BF801</f>
        <v/>
      </c>
      <c r="BG795" s="402">
        <f>BG801</f>
        <v/>
      </c>
      <c r="BH795" s="402">
        <f>BH801</f>
        <v/>
      </c>
      <c r="BI795" s="402">
        <f>BI801</f>
        <v/>
      </c>
      <c r="BJ795" s="402">
        <f>BJ801</f>
        <v/>
      </c>
      <c r="BK795" s="402">
        <f>BK801</f>
        <v/>
      </c>
      <c r="BL795" s="402">
        <f>BL801</f>
        <v/>
      </c>
      <c r="BM795" s="402">
        <f>BM801</f>
        <v/>
      </c>
      <c r="BN795" s="402">
        <f>BN801</f>
        <v/>
      </c>
      <c r="BO795" s="402">
        <f>BO801</f>
        <v/>
      </c>
      <c r="BP795" s="402">
        <f>BP801</f>
        <v/>
      </c>
      <c r="BQ795" s="402">
        <f>BQ801</f>
        <v/>
      </c>
      <c r="BR795" s="402">
        <f>BR801</f>
        <v/>
      </c>
      <c r="BS795" s="402">
        <f>BS801</f>
        <v/>
      </c>
      <c r="BT795" s="402">
        <f>BT801</f>
        <v/>
      </c>
      <c r="BU795" s="402">
        <f>BU801</f>
        <v/>
      </c>
      <c r="BV795" s="402">
        <f>BV801</f>
        <v/>
      </c>
      <c r="BW795" s="402">
        <f>BW801</f>
        <v/>
      </c>
      <c r="BX795" s="402">
        <f>BX801</f>
        <v/>
      </c>
      <c r="BY795" s="402">
        <f>BY801</f>
        <v/>
      </c>
      <c r="BZ795" s="402">
        <f>BZ801</f>
        <v/>
      </c>
      <c r="CA795" s="402">
        <f>CA801</f>
        <v/>
      </c>
      <c r="CB795" s="402">
        <f>CB801</f>
        <v/>
      </c>
      <c r="CC795" s="402">
        <f>CC801</f>
        <v/>
      </c>
      <c r="CD795" s="402">
        <f>CD801</f>
        <v/>
      </c>
      <c r="CE795" s="402">
        <f>CE801</f>
        <v/>
      </c>
      <c r="CF795" s="402">
        <f>CF801</f>
        <v/>
      </c>
      <c r="CG795" s="402">
        <f>CG801</f>
        <v/>
      </c>
      <c r="CH795" s="402">
        <f>CH801</f>
        <v/>
      </c>
      <c r="CI795" s="402">
        <f>CI801</f>
        <v/>
      </c>
      <c r="CJ795" s="402">
        <f>CJ801</f>
        <v/>
      </c>
      <c r="CK795" s="402">
        <f>CK801</f>
        <v/>
      </c>
      <c r="CL795" s="402">
        <f>CL801</f>
        <v/>
      </c>
      <c r="CM795" s="402">
        <f>CM801</f>
        <v/>
      </c>
      <c r="CN795" s="402">
        <f>CN801</f>
        <v/>
      </c>
      <c r="CO795" s="402">
        <f>CO801</f>
        <v/>
      </c>
      <c r="CP795" s="402">
        <f>CP801</f>
        <v/>
      </c>
      <c r="CQ795" s="402">
        <f>CQ801</f>
        <v/>
      </c>
      <c r="CR795" s="402">
        <f>CR801</f>
        <v/>
      </c>
      <c r="CS795" s="402">
        <f>CS801</f>
        <v/>
      </c>
      <c r="CT795" s="402">
        <f>CT801</f>
        <v/>
      </c>
      <c r="CU795" s="402">
        <f>CU801</f>
        <v/>
      </c>
      <c r="CV795" s="402">
        <f>CV801</f>
        <v/>
      </c>
      <c r="CW795" s="402">
        <f>CW801</f>
        <v/>
      </c>
      <c r="CX795" s="402">
        <f>CX801</f>
        <v/>
      </c>
      <c r="CY795" s="402">
        <f>CY801</f>
        <v/>
      </c>
      <c r="CZ795" s="402">
        <f>CZ801</f>
        <v/>
      </c>
      <c r="DA795" s="402">
        <f>DA801</f>
        <v/>
      </c>
      <c r="DB795" s="402">
        <f>DB801</f>
        <v/>
      </c>
      <c r="DC795" s="402">
        <f>DC801</f>
        <v/>
      </c>
      <c r="DD795" s="402">
        <f>DD801</f>
        <v/>
      </c>
      <c r="DE795" s="402">
        <f>DE801</f>
        <v/>
      </c>
      <c r="DF795" s="402">
        <f>DF801</f>
        <v/>
      </c>
      <c r="DG795" s="403">
        <f>DG801</f>
        <v/>
      </c>
      <c r="DH795" s="403">
        <f>DH801</f>
        <v/>
      </c>
      <c r="DI795" s="403">
        <f>DI801</f>
        <v/>
      </c>
      <c r="DJ795" s="403">
        <f>DJ801</f>
        <v/>
      </c>
      <c r="DK795" s="403">
        <f>DK801</f>
        <v/>
      </c>
      <c r="DL795" s="403">
        <f>DL801</f>
        <v/>
      </c>
      <c r="DM795" s="403">
        <f>DM801</f>
        <v/>
      </c>
      <c r="DN795" s="403">
        <f>DN801</f>
        <v/>
      </c>
      <c r="DO795" s="403">
        <f>DO801</f>
        <v/>
      </c>
      <c r="DP795" s="403">
        <f>DP801</f>
        <v/>
      </c>
      <c r="DQ795" s="403">
        <f>DQ801</f>
        <v/>
      </c>
      <c r="DR795" s="403">
        <f>DR801</f>
        <v/>
      </c>
      <c r="DS795" s="403">
        <f>DS801</f>
        <v/>
      </c>
      <c r="DT795" s="403">
        <f>DT801</f>
        <v/>
      </c>
      <c r="DU795" s="403">
        <f>DU801</f>
        <v/>
      </c>
      <c r="DV795" s="403">
        <f>DV801</f>
        <v/>
      </c>
      <c r="DW795" s="403">
        <f>DW801</f>
        <v/>
      </c>
      <c r="DX795" s="403">
        <f>DX801</f>
        <v/>
      </c>
      <c r="DY795" s="403">
        <f>DY801</f>
        <v/>
      </c>
      <c r="DZ795" s="403">
        <f>DZ801</f>
        <v/>
      </c>
      <c r="EA795" s="403">
        <f>EA801</f>
        <v/>
      </c>
      <c r="EB795" s="403">
        <f>EB801</f>
        <v/>
      </c>
      <c r="EC795" s="403">
        <f>EC801</f>
        <v/>
      </c>
      <c r="ED795" s="403">
        <f>ED801</f>
        <v/>
      </c>
      <c r="EE795" s="403">
        <f>EE801</f>
        <v/>
      </c>
      <c r="EF795" s="403">
        <f>EF801</f>
        <v/>
      </c>
      <c r="EG795" s="403">
        <f>EG801</f>
        <v/>
      </c>
      <c r="EH795" s="403">
        <f>EH801</f>
        <v/>
      </c>
      <c r="EI795" s="403">
        <f>EI801</f>
        <v/>
      </c>
      <c r="EJ795" s="403">
        <f>EJ801</f>
        <v/>
      </c>
      <c r="EK795" s="403">
        <f>EK801</f>
        <v/>
      </c>
      <c r="EL795" s="403">
        <f>EL801</f>
        <v/>
      </c>
      <c r="EM795" s="403">
        <f>EM801</f>
        <v/>
      </c>
      <c r="EN795" s="403">
        <f>EN801</f>
        <v/>
      </c>
      <c r="EO795" s="403">
        <f>EO801</f>
        <v/>
      </c>
      <c r="EP795" s="403">
        <f>EP801</f>
        <v/>
      </c>
      <c r="EQ795" s="403">
        <f>EQ801</f>
        <v/>
      </c>
      <c r="ER795" s="403">
        <f>ER801</f>
        <v/>
      </c>
      <c r="ES795" s="403">
        <f>ES801</f>
        <v/>
      </c>
      <c r="ET795" s="403">
        <f>ET801</f>
        <v/>
      </c>
      <c r="EU795" s="403">
        <f>EU801</f>
        <v/>
      </c>
      <c r="EV795" s="403">
        <f>EV801</f>
        <v/>
      </c>
      <c r="EW795" s="403">
        <f>EW801</f>
        <v/>
      </c>
      <c r="EX795" s="403">
        <f>EX801</f>
        <v/>
      </c>
      <c r="EY795" s="403">
        <f>EY801</f>
        <v/>
      </c>
      <c r="EZ795" s="403">
        <f>EZ801</f>
        <v/>
      </c>
      <c r="FA795" s="403">
        <f>FA801</f>
        <v/>
      </c>
      <c r="FB795" s="403">
        <f>FB801</f>
        <v/>
      </c>
      <c r="FC795" s="403">
        <f>FC801</f>
        <v/>
      </c>
      <c r="FD795" s="403">
        <f>FD801</f>
        <v/>
      </c>
      <c r="FE795" s="403">
        <f>FE801</f>
        <v/>
      </c>
      <c r="FF795" s="403">
        <f>FF801</f>
        <v/>
      </c>
      <c r="FG795" s="403">
        <f>FG801</f>
        <v/>
      </c>
      <c r="FH795" s="403">
        <f>FH801</f>
        <v/>
      </c>
      <c r="FI795" s="403">
        <f>FI801</f>
        <v/>
      </c>
      <c r="FJ795" s="403">
        <f>FJ801</f>
        <v/>
      </c>
      <c r="FK795" s="403">
        <f>FK801</f>
        <v/>
      </c>
      <c r="FL795" s="403">
        <f>FL801</f>
        <v/>
      </c>
      <c r="FM795" s="403">
        <f>FM801</f>
        <v/>
      </c>
      <c r="FN795" s="403">
        <f>FN801</f>
        <v/>
      </c>
      <c r="FO795" s="403">
        <f>FO801</f>
        <v/>
      </c>
      <c r="FP795" s="403">
        <f>FP801</f>
        <v/>
      </c>
      <c r="FQ795" s="403">
        <f>FQ801</f>
        <v/>
      </c>
      <c r="FR795" s="403">
        <f>FR801</f>
        <v/>
      </c>
      <c r="FS795" s="403">
        <f>FS801</f>
        <v/>
      </c>
      <c r="FT795" s="403">
        <f>FT801</f>
        <v/>
      </c>
      <c r="FU795" s="403">
        <f>FU801</f>
        <v/>
      </c>
      <c r="FV795" s="403">
        <f>FV801</f>
        <v/>
      </c>
      <c r="FW795" s="403">
        <f>FW801</f>
        <v/>
      </c>
      <c r="FX795" s="403">
        <f>FX801</f>
        <v/>
      </c>
      <c r="FY795" s="403">
        <f>FY801</f>
        <v/>
      </c>
      <c r="FZ795" s="403">
        <f>FZ801</f>
        <v/>
      </c>
      <c r="GA795" s="403">
        <f>GA801</f>
        <v/>
      </c>
      <c r="GB795" s="403">
        <f>GB801</f>
        <v/>
      </c>
      <c r="GC795" s="403">
        <f>GC801</f>
        <v/>
      </c>
      <c r="GD795" s="403">
        <f>GD801</f>
        <v/>
      </c>
      <c r="GE795" s="403">
        <f>GE801</f>
        <v/>
      </c>
      <c r="GF795" s="403">
        <f>GF801</f>
        <v/>
      </c>
      <c r="GG795" s="403">
        <f>GG801</f>
        <v/>
      </c>
      <c r="GH795" s="403">
        <f>GH801</f>
        <v/>
      </c>
      <c r="GI795" s="403">
        <f>GI801</f>
        <v/>
      </c>
      <c r="GJ795" s="403">
        <f>GJ801</f>
        <v/>
      </c>
      <c r="GK795" s="403">
        <f>GK801</f>
        <v/>
      </c>
      <c r="GL795" s="403">
        <f>GL801</f>
        <v/>
      </c>
      <c r="GM795" s="403">
        <f>GM801</f>
        <v/>
      </c>
      <c r="GN795" s="403">
        <f>GN801</f>
        <v/>
      </c>
      <c r="GO795" s="403">
        <f>GO801</f>
        <v/>
      </c>
      <c r="GP795" s="403">
        <f>GP801</f>
        <v/>
      </c>
      <c r="GQ795" s="403">
        <f>GQ801</f>
        <v/>
      </c>
      <c r="GR795" s="403">
        <f>GR801</f>
        <v/>
      </c>
      <c r="GS795" s="403">
        <f>GS801</f>
        <v/>
      </c>
      <c r="GT795" s="403">
        <f>GT801</f>
        <v/>
      </c>
      <c r="GU795" s="403">
        <f>GU801</f>
        <v/>
      </c>
      <c r="GV795" s="403">
        <f>GV801</f>
        <v/>
      </c>
      <c r="GW795" s="403">
        <f>GW801</f>
        <v/>
      </c>
      <c r="GX795" s="403">
        <f>GX801</f>
        <v/>
      </c>
    </row>
    <row r="796"/>
    <row r="797">
      <c r="A797" t="n">
        <v>17</v>
      </c>
      <c r="B797" t="n">
        <v>0</v>
      </c>
      <c r="C797">
        <f>ROW(SmtRes!A445)</f>
        <v/>
      </c>
      <c r="D797">
        <f>ROW(EtalonRes!A407)</f>
        <v/>
      </c>
      <c r="E797" t="inlineStr">
        <is>
          <t>1</t>
        </is>
      </c>
      <c r="F797" t="inlineStr">
        <is>
          <t>67-5-2</t>
        </is>
      </c>
      <c r="G797" t="inlineStr">
        <is>
          <t>Смена ламп люминесцентных</t>
        </is>
      </c>
      <c r="H797" t="inlineStr">
        <is>
          <t>100 шт.</t>
        </is>
      </c>
      <c r="I797">
        <f>ROUND(ROUND(2/100,4),7)</f>
        <v/>
      </c>
      <c r="J797" t="n">
        <v>0</v>
      </c>
      <c r="K797">
        <f>ROUND(ROUND(2/100,4),7)</f>
        <v/>
      </c>
      <c r="O797">
        <f>ROUND(CP797,0)</f>
        <v/>
      </c>
      <c r="P797">
        <f>ROUND(CQ797*I797,0)</f>
        <v/>
      </c>
      <c r="Q797">
        <f>(ROUND((ROUND(((ET797)*I797),0)*BB797),0)+ROUND((ROUND(((AE797-(EU797))*I797),0)*BS797),0))</f>
        <v/>
      </c>
      <c r="R797">
        <f>(ROUND((ROUND(((EU797)*I797),0)*BS797),0)+ROUND((ROUND(((AE797-(EU797))*I797),0)*BS797),0))</f>
        <v/>
      </c>
      <c r="S797">
        <f>ROUND(CT797*I797,0)</f>
        <v/>
      </c>
      <c r="T797">
        <f>ROUND(CU797*I797,0)</f>
        <v/>
      </c>
      <c r="U797">
        <f>ROUND(CV797*I797,7)</f>
        <v/>
      </c>
      <c r="V797">
        <f>ROUND(CW797*I797,7)</f>
        <v/>
      </c>
      <c r="W797">
        <f>ROUND(CX797*I797,0)</f>
        <v/>
      </c>
      <c r="X797">
        <f>ROUND(CY797,0)</f>
        <v/>
      </c>
      <c r="Y797">
        <f>ROUND(CZ797,0)</f>
        <v/>
      </c>
      <c r="AA797" t="n">
        <v>78869116</v>
      </c>
      <c r="AB797">
        <f>ROUND((AC797+AD797+AF797),2)</f>
        <v/>
      </c>
      <c r="AC797">
        <f>ROUND((ES797),2)</f>
        <v/>
      </c>
      <c r="AD797">
        <f>ROUND((((ET797)-(EU797))+AE797),2)</f>
        <v/>
      </c>
      <c r="AE797">
        <f>ROUND((EU797),2)</f>
        <v/>
      </c>
      <c r="AF797">
        <f>ROUND((EV797),2)</f>
        <v/>
      </c>
      <c r="AG797">
        <f>ROUND((AP797),2)</f>
        <v/>
      </c>
      <c r="AH797">
        <f>(EW797)</f>
        <v/>
      </c>
      <c r="AI797">
        <f>(EX797)</f>
        <v/>
      </c>
      <c r="AJ797">
        <f>(AS797)</f>
        <v/>
      </c>
      <c r="AK797" t="n">
        <v>970.5700000000001</v>
      </c>
      <c r="AL797" t="n">
        <v>852</v>
      </c>
      <c r="AM797" t="n">
        <v>0</v>
      </c>
      <c r="AN797" t="n">
        <v>0</v>
      </c>
      <c r="AO797" t="n">
        <v>118.57</v>
      </c>
      <c r="AP797" t="n">
        <v>0</v>
      </c>
      <c r="AQ797" t="n">
        <v>13.9</v>
      </c>
      <c r="AR797" t="n">
        <v>0</v>
      </c>
      <c r="AS797" t="n">
        <v>0</v>
      </c>
      <c r="AT797" t="n">
        <v>91</v>
      </c>
      <c r="AU797" t="n">
        <v>48</v>
      </c>
      <c r="AV797" t="n">
        <v>1</v>
      </c>
      <c r="AW797" t="n">
        <v>1</v>
      </c>
      <c r="AZ797" t="n">
        <v>1</v>
      </c>
      <c r="BA797" t="n">
        <v>52.25</v>
      </c>
      <c r="BB797" t="n">
        <v>1</v>
      </c>
      <c r="BC797" t="n">
        <v>4.14</v>
      </c>
      <c r="BD797" t="inlineStr"/>
      <c r="BE797" t="inlineStr"/>
      <c r="BF797" t="inlineStr"/>
      <c r="BG797" t="inlineStr"/>
      <c r="BH797" t="n">
        <v>0</v>
      </c>
      <c r="BI797" t="n">
        <v>1</v>
      </c>
      <c r="BJ797" t="inlineStr">
        <is>
          <t>ТЕРр Московской обл., 67-5-2, приказ Минстроя России №675/пр от 28.02.2017 № 263/пр</t>
        </is>
      </c>
      <c r="BM797" t="n">
        <v>67001</v>
      </c>
      <c r="BN797" t="n">
        <v>0</v>
      </c>
      <c r="BO797" t="inlineStr">
        <is>
          <t>67-5-2</t>
        </is>
      </c>
      <c r="BP797" t="n">
        <v>1</v>
      </c>
      <c r="BQ797" t="n">
        <v>6</v>
      </c>
      <c r="BR797" t="n">
        <v>0</v>
      </c>
      <c r="BS797" t="n">
        <v>52.25</v>
      </c>
      <c r="BT797" t="n">
        <v>1</v>
      </c>
      <c r="BU797" t="n">
        <v>1</v>
      </c>
      <c r="BV797" t="n">
        <v>1</v>
      </c>
      <c r="BW797" t="n">
        <v>1</v>
      </c>
      <c r="BX797" t="n">
        <v>1</v>
      </c>
      <c r="BY797" t="inlineStr"/>
      <c r="BZ797" t="n">
        <v>91</v>
      </c>
      <c r="CA797" t="n">
        <v>48</v>
      </c>
      <c r="CB797" t="inlineStr"/>
      <c r="CE797" t="n">
        <v>12</v>
      </c>
      <c r="CF797" t="n">
        <v>0</v>
      </c>
      <c r="CG797" t="n">
        <v>0</v>
      </c>
      <c r="CM797" t="n">
        <v>0</v>
      </c>
      <c r="CN797" t="inlineStr"/>
      <c r="CO797" t="n">
        <v>0</v>
      </c>
      <c r="CP797">
        <f>(P797+Q797+S797)</f>
        <v/>
      </c>
      <c r="CQ797">
        <f>AC797*BC797</f>
        <v/>
      </c>
      <c r="CR797">
        <f>(ROUND((ROUND(((ET797)*1),0)*BB797),0)+ROUND((ROUND(((AE797-(EU797))*1),0)*BS797),0))</f>
        <v/>
      </c>
      <c r="CS797">
        <f>(ROUND((ROUND(((EU797)*1),0)*BS797),0)+ROUND((ROUND(((AE797-(EU797))*1),0)*BS797),0))</f>
        <v/>
      </c>
      <c r="CT797">
        <f>AF797*BA797</f>
        <v/>
      </c>
      <c r="CU797">
        <f>AG797</f>
        <v/>
      </c>
      <c r="CV797">
        <f>AH797</f>
        <v/>
      </c>
      <c r="CW797">
        <f>AI797</f>
        <v/>
      </c>
      <c r="CX797">
        <f>AJ797</f>
        <v/>
      </c>
      <c r="CY797">
        <f>(((S797+R797)*AT797)/100)</f>
        <v/>
      </c>
      <c r="CZ797">
        <f>(((S797+R797)*AU797)/100)</f>
        <v/>
      </c>
      <c r="DC797" t="inlineStr"/>
      <c r="DD797" t="inlineStr"/>
      <c r="DE797" t="inlineStr"/>
      <c r="DF797" t="inlineStr"/>
      <c r="DG797" t="inlineStr"/>
      <c r="DH797" t="inlineStr"/>
      <c r="DI797" t="inlineStr"/>
      <c r="DJ797" t="inlineStr"/>
      <c r="DK797" t="inlineStr"/>
      <c r="DL797" t="inlineStr"/>
      <c r="DM797" t="inlineStr"/>
      <c r="DN797" t="n">
        <v>0</v>
      </c>
      <c r="DO797" t="n">
        <v>0</v>
      </c>
      <c r="DP797" t="n">
        <v>1</v>
      </c>
      <c r="DQ797" t="n">
        <v>1</v>
      </c>
      <c r="DU797" t="n">
        <v>1010</v>
      </c>
      <c r="DV797" t="inlineStr">
        <is>
          <t>100 шт.</t>
        </is>
      </c>
      <c r="DW797" t="inlineStr">
        <is>
          <t>100 шт.</t>
        </is>
      </c>
      <c r="DX797" t="n">
        <v>100</v>
      </c>
      <c r="DZ797" t="inlineStr"/>
      <c r="EA797" t="inlineStr"/>
      <c r="EB797" t="inlineStr"/>
      <c r="EC797" t="inlineStr"/>
      <c r="EE797" t="n">
        <v>78726030</v>
      </c>
      <c r="EF797" t="n">
        <v>6</v>
      </c>
      <c r="EG797" t="inlineStr">
        <is>
          <t>Ремонтно-строительные работы</t>
        </is>
      </c>
      <c r="EH797" t="n">
        <v>101</v>
      </c>
      <c r="EI797" t="inlineStr">
        <is>
          <t>Электромонтажные работы</t>
        </is>
      </c>
      <c r="EJ797" t="n">
        <v>1</v>
      </c>
      <c r="EK797" t="n">
        <v>67001</v>
      </c>
      <c r="EL797" t="inlineStr">
        <is>
          <t>Электромонтажные работы</t>
        </is>
      </c>
      <c r="EM797" t="inlineStr">
        <is>
          <t>рФЕР-67</t>
        </is>
      </c>
      <c r="EO797" t="inlineStr"/>
      <c r="EQ797" t="n">
        <v>0</v>
      </c>
      <c r="ER797" t="n">
        <v>970.5700000000001</v>
      </c>
      <c r="ES797" t="n">
        <v>852</v>
      </c>
      <c r="ET797" t="n">
        <v>0</v>
      </c>
      <c r="EU797" t="n">
        <v>0</v>
      </c>
      <c r="EV797" t="n">
        <v>118.57</v>
      </c>
      <c r="EW797" t="n">
        <v>13.9</v>
      </c>
      <c r="EX797" t="n">
        <v>0</v>
      </c>
      <c r="EY797" t="n">
        <v>0</v>
      </c>
      <c r="FQ797" t="n">
        <v>0</v>
      </c>
      <c r="FR797" t="n">
        <v>0</v>
      </c>
      <c r="FS797" t="n">
        <v>0</v>
      </c>
      <c r="FX797" t="n">
        <v>91</v>
      </c>
      <c r="FY797" t="n">
        <v>48</v>
      </c>
      <c r="GA797" t="inlineStr"/>
      <c r="GD797" t="n">
        <v>1</v>
      </c>
      <c r="GF797" t="n">
        <v>1400342257</v>
      </c>
      <c r="GG797" t="n">
        <v>2</v>
      </c>
      <c r="GH797" t="n">
        <v>1</v>
      </c>
      <c r="GI797" t="n">
        <v>2</v>
      </c>
      <c r="GJ797" t="n">
        <v>0</v>
      </c>
      <c r="GK797" t="n">
        <v>0</v>
      </c>
      <c r="GL797">
        <f>ROUND(IF(AND(BH797=3,BI797=3,FS797&lt;&gt;0),P797,0),0)</f>
        <v/>
      </c>
      <c r="GM797">
        <f>ROUND(O797+X797+Y797,0)+GX797</f>
        <v/>
      </c>
      <c r="GN797">
        <f>IF(OR(BI797=0,BI797=1),GM797-GX797,0)</f>
        <v/>
      </c>
      <c r="GO797">
        <f>IF(BI797=2,GM797-GX797,0)</f>
        <v/>
      </c>
      <c r="GP797">
        <f>IF(BI797=4,GM797-GX797,0)</f>
        <v/>
      </c>
      <c r="GR797" t="n">
        <v>0</v>
      </c>
      <c r="GS797" t="n">
        <v>3</v>
      </c>
      <c r="GT797" t="n">
        <v>0</v>
      </c>
      <c r="GU797" t="inlineStr"/>
      <c r="GV797">
        <f>ROUND((GT797),2)</f>
        <v/>
      </c>
      <c r="GW797" t="n">
        <v>1</v>
      </c>
      <c r="GX797">
        <f>ROUND(HC797*I797,0)</f>
        <v/>
      </c>
      <c r="HA797" t="n">
        <v>0</v>
      </c>
      <c r="HB797" t="n">
        <v>0</v>
      </c>
      <c r="HC797">
        <f>GV797*GW797</f>
        <v/>
      </c>
      <c r="HE797" t="inlineStr"/>
      <c r="HF797" t="inlineStr"/>
      <c r="HM797" t="inlineStr"/>
      <c r="HN797" t="inlineStr">
        <is>
          <t>Пр/812-101.0-1</t>
        </is>
      </c>
      <c r="HO797" t="inlineStr">
        <is>
          <t>Пр/774-101.0</t>
        </is>
      </c>
      <c r="HP797" t="inlineStr">
        <is>
          <t>Электромонтажные работы</t>
        </is>
      </c>
      <c r="HQ797" t="inlineStr">
        <is>
          <t>Электромонтажные работы</t>
        </is>
      </c>
      <c r="HS797" t="n">
        <v>0</v>
      </c>
      <c r="IK797" t="n">
        <v>0</v>
      </c>
    </row>
    <row r="798">
      <c r="A798" t="n">
        <v>18</v>
      </c>
      <c r="B798" t="n">
        <v>0</v>
      </c>
      <c r="C798" t="n">
        <v>445</v>
      </c>
      <c r="E798" t="inlineStr">
        <is>
          <t>1,1</t>
        </is>
      </c>
      <c r="F798" t="inlineStr">
        <is>
          <t>509-6744</t>
        </is>
      </c>
      <c r="G798" t="inlineStr">
        <is>
          <t>Лампы люминесцентные компактные энергосберегающие с цоколем Е27 мощностью 55 Вт</t>
        </is>
      </c>
      <c r="H798" t="inlineStr">
        <is>
          <t>шт.</t>
        </is>
      </c>
      <c r="I798">
        <f>I797*J798</f>
        <v/>
      </c>
      <c r="J798" t="n">
        <v>100</v>
      </c>
      <c r="K798" t="n">
        <v>100</v>
      </c>
      <c r="O798">
        <f>ROUND(CP798,0)</f>
        <v/>
      </c>
      <c r="P798">
        <f>ROUND(CQ798*I798,0)</f>
        <v/>
      </c>
      <c r="Q798">
        <f>(ROUND((ROUND(((ET798)*I798),0)*BB798),0)+ROUND((ROUND(((AE798-(EU798))*I798),0)*BS798),0))</f>
        <v/>
      </c>
      <c r="R798">
        <f>(ROUND((ROUND(((EU798)*I798),0)*BS798),0)+ROUND((ROUND(((AE798-(EU798))*I798),0)*BS798),0))</f>
        <v/>
      </c>
      <c r="S798">
        <f>ROUND(CT798*I798,0)</f>
        <v/>
      </c>
      <c r="T798">
        <f>ROUND(CU798*I798,0)</f>
        <v/>
      </c>
      <c r="U798">
        <f>ROUND(CV798*I798,7)</f>
        <v/>
      </c>
      <c r="V798">
        <f>ROUND(CW798*I798,7)</f>
        <v/>
      </c>
      <c r="W798">
        <f>ROUND(CX798*I798,0)</f>
        <v/>
      </c>
      <c r="X798">
        <f>ROUND(CY798,0)</f>
        <v/>
      </c>
      <c r="Y798">
        <f>ROUND(CZ798,0)</f>
        <v/>
      </c>
      <c r="AA798" t="n">
        <v>78869116</v>
      </c>
      <c r="AB798">
        <f>ROUND((AC798+AD798+AF798),2)</f>
        <v/>
      </c>
      <c r="AC798">
        <f>ROUND((ES798),2)</f>
        <v/>
      </c>
      <c r="AD798">
        <f>ROUND((((ET798)-(EU798))+AE798),2)</f>
        <v/>
      </c>
      <c r="AE798">
        <f>ROUND((EU798),2)</f>
        <v/>
      </c>
      <c r="AF798">
        <f>ROUND((EV798),2)</f>
        <v/>
      </c>
      <c r="AG798">
        <f>ROUND((AP798),2)</f>
        <v/>
      </c>
      <c r="AH798">
        <f>(EW798)</f>
        <v/>
      </c>
      <c r="AI798">
        <f>(EX798)</f>
        <v/>
      </c>
      <c r="AJ798">
        <f>(AS798)</f>
        <v/>
      </c>
      <c r="AK798" t="n">
        <v>140.69</v>
      </c>
      <c r="AL798" t="n">
        <v>140.69</v>
      </c>
      <c r="AM798" t="n">
        <v>0</v>
      </c>
      <c r="AN798" t="n">
        <v>0</v>
      </c>
      <c r="AO798" t="n">
        <v>0</v>
      </c>
      <c r="AP798" t="n">
        <v>0</v>
      </c>
      <c r="AQ798" t="n">
        <v>0</v>
      </c>
      <c r="AR798" t="n">
        <v>0</v>
      </c>
      <c r="AS798" t="n">
        <v>0.02</v>
      </c>
      <c r="AT798" t="n">
        <v>91</v>
      </c>
      <c r="AU798" t="n">
        <v>48</v>
      </c>
      <c r="AV798" t="n">
        <v>1</v>
      </c>
      <c r="AW798" t="n">
        <v>1</v>
      </c>
      <c r="AZ798" t="n">
        <v>1</v>
      </c>
      <c r="BA798" t="n">
        <v>1</v>
      </c>
      <c r="BB798" t="n">
        <v>1</v>
      </c>
      <c r="BC798" t="n">
        <v>1.69</v>
      </c>
      <c r="BD798" t="inlineStr"/>
      <c r="BE798" t="inlineStr"/>
      <c r="BF798" t="inlineStr"/>
      <c r="BG798" t="inlineStr"/>
      <c r="BH798" t="n">
        <v>3</v>
      </c>
      <c r="BI798" t="n">
        <v>1</v>
      </c>
      <c r="BJ798" t="inlineStr">
        <is>
          <t>ТССЦ Московской обл., 509-6744, приказ Минстроя России №675/пр от 28.02.2017 № 258/пр</t>
        </is>
      </c>
      <c r="BM798" t="n">
        <v>67001</v>
      </c>
      <c r="BN798" t="n">
        <v>0</v>
      </c>
      <c r="BO798" t="inlineStr">
        <is>
          <t>509-6744</t>
        </is>
      </c>
      <c r="BP798" t="n">
        <v>1</v>
      </c>
      <c r="BQ798" t="n">
        <v>6</v>
      </c>
      <c r="BR798" t="n">
        <v>0</v>
      </c>
      <c r="BS798" t="n">
        <v>1</v>
      </c>
      <c r="BT798" t="n">
        <v>1</v>
      </c>
      <c r="BU798" t="n">
        <v>1</v>
      </c>
      <c r="BV798" t="n">
        <v>1</v>
      </c>
      <c r="BW798" t="n">
        <v>1</v>
      </c>
      <c r="BX798" t="n">
        <v>1</v>
      </c>
      <c r="BY798" t="inlineStr"/>
      <c r="BZ798" t="n">
        <v>91</v>
      </c>
      <c r="CA798" t="n">
        <v>48</v>
      </c>
      <c r="CB798" t="inlineStr"/>
      <c r="CE798" t="n">
        <v>12</v>
      </c>
      <c r="CF798" t="n">
        <v>0</v>
      </c>
      <c r="CG798" t="n">
        <v>0</v>
      </c>
      <c r="CM798" t="n">
        <v>0</v>
      </c>
      <c r="CN798" t="inlineStr"/>
      <c r="CO798" t="n">
        <v>0</v>
      </c>
      <c r="CP798">
        <f>(P798+Q798+S798)</f>
        <v/>
      </c>
      <c r="CQ798">
        <f>AC798*BC798</f>
        <v/>
      </c>
      <c r="CR798">
        <f>(ROUND((ROUND(((ET798)*1),0)*BB798),0)+ROUND((ROUND(((AE798-(EU798))*1),0)*BS798),0))</f>
        <v/>
      </c>
      <c r="CS798">
        <f>(ROUND((ROUND(((EU798)*1),0)*BS798),0)+ROUND((ROUND(((AE798-(EU798))*1),0)*BS798),0))</f>
        <v/>
      </c>
      <c r="CT798">
        <f>AF798*BA798</f>
        <v/>
      </c>
      <c r="CU798">
        <f>AG798</f>
        <v/>
      </c>
      <c r="CV798">
        <f>AH798</f>
        <v/>
      </c>
      <c r="CW798">
        <f>AI798</f>
        <v/>
      </c>
      <c r="CX798">
        <f>AJ798</f>
        <v/>
      </c>
      <c r="CY798">
        <f>(((S798+R798)*AT798)/100)</f>
        <v/>
      </c>
      <c r="CZ798">
        <f>(((S798+R798)*AU798)/100)</f>
        <v/>
      </c>
      <c r="DC798" t="inlineStr"/>
      <c r="DD798" t="inlineStr"/>
      <c r="DE798" t="inlineStr"/>
      <c r="DF798" t="inlineStr"/>
      <c r="DG798" t="inlineStr"/>
      <c r="DH798" t="inlineStr"/>
      <c r="DI798" t="inlineStr"/>
      <c r="DJ798" t="inlineStr"/>
      <c r="DK798" t="inlineStr"/>
      <c r="DL798" t="inlineStr"/>
      <c r="DM798" t="inlineStr"/>
      <c r="DN798" t="n">
        <v>0</v>
      </c>
      <c r="DO798" t="n">
        <v>0</v>
      </c>
      <c r="DP798" t="n">
        <v>1</v>
      </c>
      <c r="DQ798" t="n">
        <v>1</v>
      </c>
      <c r="DU798" t="n">
        <v>1010</v>
      </c>
      <c r="DV798" t="inlineStr">
        <is>
          <t>шт.</t>
        </is>
      </c>
      <c r="DW798" t="inlineStr">
        <is>
          <t>шт.</t>
        </is>
      </c>
      <c r="DX798" t="n">
        <v>1</v>
      </c>
      <c r="DZ798" t="inlineStr"/>
      <c r="EA798" t="inlineStr"/>
      <c r="EB798" t="inlineStr"/>
      <c r="EC798" t="inlineStr"/>
      <c r="EE798" t="n">
        <v>78726030</v>
      </c>
      <c r="EF798" t="n">
        <v>6</v>
      </c>
      <c r="EG798" t="inlineStr">
        <is>
          <t>Ремонтно-строительные работы</t>
        </is>
      </c>
      <c r="EH798" t="n">
        <v>101</v>
      </c>
      <c r="EI798" t="inlineStr">
        <is>
          <t>Электромонтажные работы</t>
        </is>
      </c>
      <c r="EJ798" t="n">
        <v>1</v>
      </c>
      <c r="EK798" t="n">
        <v>67001</v>
      </c>
      <c r="EL798" t="inlineStr">
        <is>
          <t>Электромонтажные работы</t>
        </is>
      </c>
      <c r="EM798" t="inlineStr">
        <is>
          <t>рФЕР-67</t>
        </is>
      </c>
      <c r="EO798" t="inlineStr"/>
      <c r="EQ798" t="n">
        <v>0</v>
      </c>
      <c r="ER798" t="n">
        <v>140.69</v>
      </c>
      <c r="ES798" t="n">
        <v>140.69</v>
      </c>
      <c r="ET798" t="n">
        <v>0</v>
      </c>
      <c r="EU798" t="n">
        <v>0</v>
      </c>
      <c r="EV798" t="n">
        <v>0</v>
      </c>
      <c r="EW798" t="n">
        <v>0</v>
      </c>
      <c r="EX798" t="n">
        <v>0</v>
      </c>
      <c r="FQ798" t="n">
        <v>0</v>
      </c>
      <c r="FR798" t="n">
        <v>0</v>
      </c>
      <c r="FS798" t="n">
        <v>0</v>
      </c>
      <c r="FX798" t="n">
        <v>91</v>
      </c>
      <c r="FY798" t="n">
        <v>48</v>
      </c>
      <c r="GA798" t="inlineStr"/>
      <c r="GD798" t="n">
        <v>1</v>
      </c>
      <c r="GF798" t="n">
        <v>-228955380</v>
      </c>
      <c r="GG798" t="n">
        <v>2</v>
      </c>
      <c r="GH798" t="n">
        <v>1</v>
      </c>
      <c r="GI798" t="n">
        <v>2</v>
      </c>
      <c r="GJ798" t="n">
        <v>0</v>
      </c>
      <c r="GK798" t="n">
        <v>0</v>
      </c>
      <c r="GL798">
        <f>ROUND(IF(AND(BH798=3,BI798=3,FS798&lt;&gt;0),P798,0),0)</f>
        <v/>
      </c>
      <c r="GM798">
        <f>ROUND(O798+X798+Y798,0)+GX798</f>
        <v/>
      </c>
      <c r="GN798">
        <f>IF(OR(BI798=0,BI798=1),GM798-GX798,0)</f>
        <v/>
      </c>
      <c r="GO798">
        <f>IF(BI798=2,GM798-GX798,0)</f>
        <v/>
      </c>
      <c r="GP798">
        <f>IF(BI798=4,GM798-GX798,0)</f>
        <v/>
      </c>
      <c r="GR798" t="n">
        <v>0</v>
      </c>
      <c r="GS798" t="n">
        <v>3</v>
      </c>
      <c r="GT798" t="n">
        <v>0</v>
      </c>
      <c r="GU798" t="inlineStr"/>
      <c r="GV798">
        <f>ROUND((GT798),2)</f>
        <v/>
      </c>
      <c r="GW798" t="n">
        <v>1</v>
      </c>
      <c r="GX798">
        <f>ROUND(HC798*I798,0)</f>
        <v/>
      </c>
      <c r="HA798" t="n">
        <v>0</v>
      </c>
      <c r="HB798" t="n">
        <v>0</v>
      </c>
      <c r="HC798">
        <f>GV798*GW798</f>
        <v/>
      </c>
      <c r="HE798" t="inlineStr"/>
      <c r="HF798" t="inlineStr"/>
      <c r="HM798" t="inlineStr"/>
      <c r="HN798" t="inlineStr">
        <is>
          <t>Пр/812-101.0-1</t>
        </is>
      </c>
      <c r="HO798" t="inlineStr">
        <is>
          <t>Пр/774-101.0</t>
        </is>
      </c>
      <c r="HP798" t="inlineStr">
        <is>
          <t>Электромонтажные работы</t>
        </is>
      </c>
      <c r="HQ798" t="inlineStr">
        <is>
          <t>Электромонтажные работы</t>
        </is>
      </c>
      <c r="HS798" t="n">
        <v>0</v>
      </c>
      <c r="IK798" t="n">
        <v>0</v>
      </c>
    </row>
    <row r="799">
      <c r="A799" t="n">
        <v>17</v>
      </c>
      <c r="B799" t="n">
        <v>0</v>
      </c>
      <c r="C799">
        <f>ROW(SmtRes!A451)</f>
        <v/>
      </c>
      <c r="D799">
        <f>ROW(EtalonRes!A413)</f>
        <v/>
      </c>
      <c r="E799" t="inlineStr">
        <is>
          <t>2</t>
        </is>
      </c>
      <c r="F799" t="inlineStr">
        <is>
          <t>16-07-005-1</t>
        </is>
      </c>
      <c r="G799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99" t="inlineStr">
        <is>
          <t>100 м трубопровода</t>
        </is>
      </c>
      <c r="I799">
        <f>ROUND(ROUND(12/100,4),7)</f>
        <v/>
      </c>
      <c r="J799" t="n">
        <v>0</v>
      </c>
      <c r="K799">
        <f>ROUND(ROUND(12/100,4),7)</f>
        <v/>
      </c>
      <c r="O799">
        <f>ROUND(CP799,0)</f>
        <v/>
      </c>
      <c r="P799">
        <f>ROUND(CQ799*I799,0)</f>
        <v/>
      </c>
      <c r="Q799">
        <f>(ROUND((ROUND((((ET799*ROUND(5,7)))*I799),0)*BB799),0)+ROUND((ROUND(((AE799-((EU799*ROUND(5,7))))*I799),0)*BS799),0))</f>
        <v/>
      </c>
      <c r="R799">
        <f>(ROUND((ROUND((((EU799*ROUND(5,7)))*I799),0)*BS799),0)+ROUND((ROUND(((AE799-((EU799*ROUND(5,7))))*I799),0)*BS799),0))</f>
        <v/>
      </c>
      <c r="S799">
        <f>ROUND(CT799*I799,0)</f>
        <v/>
      </c>
      <c r="T799">
        <f>ROUND(CU799*I799,0)</f>
        <v/>
      </c>
      <c r="U799">
        <f>ROUND(CV799*I799,7)</f>
        <v/>
      </c>
      <c r="V799">
        <f>ROUND(CW799*I799,7)</f>
        <v/>
      </c>
      <c r="W799">
        <f>ROUND(CX799*I799,0)</f>
        <v/>
      </c>
      <c r="X799">
        <f>ROUND(CY799,0)</f>
        <v/>
      </c>
      <c r="Y799">
        <f>ROUND(CZ799,0)</f>
        <v/>
      </c>
      <c r="AA799" t="n">
        <v>78869116</v>
      </c>
      <c r="AB799">
        <f>ROUND((AC799+AD799+AF799),2)</f>
        <v/>
      </c>
      <c r="AC799">
        <f>ROUND(((ES799*ROUND(5,7))),2)</f>
        <v/>
      </c>
      <c r="AD799">
        <f>ROUND(((((ET799*ROUND(5,7)))-((EU799*ROUND(5,7))))+AE799),2)</f>
        <v/>
      </c>
      <c r="AE799">
        <f>ROUND(((EU799*ROUND(5,7))),2)</f>
        <v/>
      </c>
      <c r="AF799">
        <f>ROUND(((EV799*ROUND(5,7))),2)</f>
        <v/>
      </c>
      <c r="AG799">
        <f>ROUND((AP799),2)</f>
        <v/>
      </c>
      <c r="AH799">
        <f>((EW799*ROUND(5,7)))</f>
        <v/>
      </c>
      <c r="AI799">
        <f>((EX799*ROUND(5,7)))</f>
        <v/>
      </c>
      <c r="AJ799">
        <f>(AS799)</f>
        <v/>
      </c>
      <c r="AK799" t="n">
        <v>107.11</v>
      </c>
      <c r="AL799" t="n">
        <v>4.28</v>
      </c>
      <c r="AM799" t="n">
        <v>44.51</v>
      </c>
      <c r="AN799" t="n">
        <v>0</v>
      </c>
      <c r="AO799" t="n">
        <v>58.32</v>
      </c>
      <c r="AP799" t="n">
        <v>0</v>
      </c>
      <c r="AQ799" t="n">
        <v>5.01</v>
      </c>
      <c r="AR799" t="n">
        <v>0</v>
      </c>
      <c r="AS799" t="n">
        <v>0</v>
      </c>
      <c r="AT799" t="n">
        <v>121</v>
      </c>
      <c r="AU799" t="n">
        <v>72</v>
      </c>
      <c r="AV799" t="n">
        <v>1</v>
      </c>
      <c r="AW799" t="n">
        <v>1</v>
      </c>
      <c r="AZ799" t="n">
        <v>1</v>
      </c>
      <c r="BA799" t="n">
        <v>52.25</v>
      </c>
      <c r="BB799" t="n">
        <v>5.97</v>
      </c>
      <c r="BC799" t="n">
        <v>11.38</v>
      </c>
      <c r="BD799" t="inlineStr"/>
      <c r="BE799" t="inlineStr"/>
      <c r="BF799" t="inlineStr"/>
      <c r="BG799" t="inlineStr"/>
      <c r="BH799" t="n">
        <v>0</v>
      </c>
      <c r="BI799" t="n">
        <v>1</v>
      </c>
      <c r="BJ799" t="inlineStr">
        <is>
          <t>ТЕР Московской обл., 16-07-005-1, приказ Минстроя России №675/пр от 28.02.2017 № 260/пр</t>
        </is>
      </c>
      <c r="BM799" t="n">
        <v>16001</v>
      </c>
      <c r="BN799" t="n">
        <v>0</v>
      </c>
      <c r="BO799" t="inlineStr">
        <is>
          <t>16-07-005-1</t>
        </is>
      </c>
      <c r="BP799" t="n">
        <v>1</v>
      </c>
      <c r="BQ799" t="n">
        <v>2</v>
      </c>
      <c r="BR799" t="n">
        <v>0</v>
      </c>
      <c r="BS799" t="n">
        <v>52.25</v>
      </c>
      <c r="BT799" t="n">
        <v>1</v>
      </c>
      <c r="BU799" t="n">
        <v>1</v>
      </c>
      <c r="BV799" t="n">
        <v>1</v>
      </c>
      <c r="BW799" t="n">
        <v>1</v>
      </c>
      <c r="BX799" t="n">
        <v>1</v>
      </c>
      <c r="BY799" t="inlineStr"/>
      <c r="BZ799" t="n">
        <v>121</v>
      </c>
      <c r="CA799" t="n">
        <v>72</v>
      </c>
      <c r="CB799" t="inlineStr"/>
      <c r="CE799" t="n">
        <v>12</v>
      </c>
      <c r="CF799" t="n">
        <v>0</v>
      </c>
      <c r="CG799" t="n">
        <v>0</v>
      </c>
      <c r="CM799" t="n">
        <v>0</v>
      </c>
      <c r="CN799" t="inlineStr"/>
      <c r="CO799" t="n">
        <v>0</v>
      </c>
      <c r="CP799">
        <f>(P799+Q799+S799)</f>
        <v/>
      </c>
      <c r="CQ799">
        <f>AC799*BC799</f>
        <v/>
      </c>
      <c r="CR799">
        <f>(ROUND((ROUND((((ET799*ROUND(5,7)))*1),0)*BB799),0)+ROUND((ROUND(((AE799-((EU799*ROUND(5,7))))*1),0)*BS799),0))</f>
        <v/>
      </c>
      <c r="CS799">
        <f>(ROUND((ROUND((((EU799*ROUND(5,7)))*1),0)*BS799),0)+ROUND((ROUND(((AE799-((EU799*ROUND(5,7))))*1),0)*BS799),0))</f>
        <v/>
      </c>
      <c r="CT799">
        <f>AF799*BA799</f>
        <v/>
      </c>
      <c r="CU799">
        <f>AG799</f>
        <v/>
      </c>
      <c r="CV799">
        <f>AH799</f>
        <v/>
      </c>
      <c r="CW799">
        <f>AI799</f>
        <v/>
      </c>
      <c r="CX799">
        <f>AJ799</f>
        <v/>
      </c>
      <c r="CY799">
        <f>(((S799+R799)*AT799)/100)</f>
        <v/>
      </c>
      <c r="CZ799">
        <f>(((S799+R799)*AU799)/100)</f>
        <v/>
      </c>
      <c r="DC799" t="inlineStr"/>
      <c r="DD799" t="inlineStr">
        <is>
          <t>)*5</t>
        </is>
      </c>
      <c r="DE799" t="inlineStr">
        <is>
          <t>)*5</t>
        </is>
      </c>
      <c r="DF799" t="inlineStr">
        <is>
          <t>)*5</t>
        </is>
      </c>
      <c r="DG799" t="inlineStr">
        <is>
          <t>)*5</t>
        </is>
      </c>
      <c r="DH799" t="inlineStr"/>
      <c r="DI799" t="inlineStr">
        <is>
          <t>)*5</t>
        </is>
      </c>
      <c r="DJ799" t="inlineStr">
        <is>
          <t>)*5</t>
        </is>
      </c>
      <c r="DK799" t="inlineStr"/>
      <c r="DL799" t="inlineStr"/>
      <c r="DM799" t="inlineStr"/>
      <c r="DN799" t="n">
        <v>0</v>
      </c>
      <c r="DO799" t="n">
        <v>0</v>
      </c>
      <c r="DP799" t="n">
        <v>1</v>
      </c>
      <c r="DQ799" t="n">
        <v>1</v>
      </c>
      <c r="DU799" t="n">
        <v>1013</v>
      </c>
      <c r="DV799" t="inlineStr">
        <is>
          <t>100 м трубопровода</t>
        </is>
      </c>
      <c r="DW799" t="inlineStr">
        <is>
          <t>100 м трубопровода</t>
        </is>
      </c>
      <c r="DX799" t="n">
        <v>1</v>
      </c>
      <c r="DZ799" t="inlineStr"/>
      <c r="EA799" t="inlineStr"/>
      <c r="EB799" t="inlineStr"/>
      <c r="EC799" t="inlineStr"/>
      <c r="EE799" t="n">
        <v>78725882</v>
      </c>
      <c r="EF799" t="n">
        <v>2</v>
      </c>
      <c r="EG799" t="inlineStr">
        <is>
          <t>Общестроительные работы</t>
        </is>
      </c>
      <c r="EH799" t="n">
        <v>16</v>
      </c>
      <c r="EI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99" t="n">
        <v>1</v>
      </c>
      <c r="EK799" t="n">
        <v>16001</v>
      </c>
      <c r="EL799" t="inlineStr">
        <is>
          <t>Трубопроводы внутренние</t>
        </is>
      </c>
      <c r="EM799" t="inlineStr">
        <is>
          <t>ФЕР-16</t>
        </is>
      </c>
      <c r="EO799" t="inlineStr"/>
      <c r="EQ799" t="n">
        <v>0</v>
      </c>
      <c r="ER799" t="n">
        <v>107.11</v>
      </c>
      <c r="ES799" t="n">
        <v>4.28</v>
      </c>
      <c r="ET799" t="n">
        <v>44.51</v>
      </c>
      <c r="EU799" t="n">
        <v>0</v>
      </c>
      <c r="EV799" t="n">
        <v>58.32</v>
      </c>
      <c r="EW799" t="n">
        <v>5.01</v>
      </c>
      <c r="EX799" t="n">
        <v>0</v>
      </c>
      <c r="EY799" t="n">
        <v>0</v>
      </c>
      <c r="FQ799" t="n">
        <v>0</v>
      </c>
      <c r="FR799" t="n">
        <v>0</v>
      </c>
      <c r="FS799" t="n">
        <v>0</v>
      </c>
      <c r="FX799" t="n">
        <v>121</v>
      </c>
      <c r="FY799" t="n">
        <v>72</v>
      </c>
      <c r="GA799" t="inlineStr"/>
      <c r="GD799" t="n">
        <v>1</v>
      </c>
      <c r="GF799" t="n">
        <v>635989612</v>
      </c>
      <c r="GG799" t="n">
        <v>2</v>
      </c>
      <c r="GH799" t="n">
        <v>1</v>
      </c>
      <c r="GI799" t="n">
        <v>2</v>
      </c>
      <c r="GJ799" t="n">
        <v>0</v>
      </c>
      <c r="GK799" t="n">
        <v>0</v>
      </c>
      <c r="GL799">
        <f>ROUND(IF(AND(BH799=3,BI799=3,FS799&lt;&gt;0),P799,0),0)</f>
        <v/>
      </c>
      <c r="GM799">
        <f>ROUND(O799+X799+Y799,0)+GX799</f>
        <v/>
      </c>
      <c r="GN799">
        <f>IF(OR(BI799=0,BI799=1),GM799-GX799,0)</f>
        <v/>
      </c>
      <c r="GO799">
        <f>IF(BI799=2,GM799-GX799,0)</f>
        <v/>
      </c>
      <c r="GP799">
        <f>IF(BI799=4,GM799-GX799,0)</f>
        <v/>
      </c>
      <c r="GR799" t="n">
        <v>0</v>
      </c>
      <c r="GS799" t="n">
        <v>3</v>
      </c>
      <c r="GT799" t="n">
        <v>0</v>
      </c>
      <c r="GU799" t="inlineStr"/>
      <c r="GV799">
        <f>ROUND((GT799),2)</f>
        <v/>
      </c>
      <c r="GW799" t="n">
        <v>1</v>
      </c>
      <c r="GX799">
        <f>ROUND(HC799*I799,0)</f>
        <v/>
      </c>
      <c r="HA799" t="n">
        <v>0</v>
      </c>
      <c r="HB799" t="n">
        <v>0</v>
      </c>
      <c r="HC799">
        <f>GV799*GW799</f>
        <v/>
      </c>
      <c r="HE799" t="inlineStr"/>
      <c r="HF799" t="inlineStr"/>
      <c r="HM799" t="inlineStr"/>
      <c r="HN799" t="inlineStr">
        <is>
          <t>Пр/812-016.0-1</t>
        </is>
      </c>
      <c r="HO799" t="inlineStr">
        <is>
          <t>Пр/774-016.0</t>
        </is>
      </c>
      <c r="HP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99" t="n">
        <v>0</v>
      </c>
      <c r="IK799" t="n">
        <v>0</v>
      </c>
    </row>
    <row r="800"/>
    <row r="801">
      <c r="A801" s="402" t="n">
        <v>51</v>
      </c>
      <c r="B801" s="402">
        <f>B793</f>
        <v/>
      </c>
      <c r="C801" s="402">
        <f>A793</f>
        <v/>
      </c>
      <c r="D801" s="402">
        <f>ROW(A793)</f>
        <v/>
      </c>
      <c r="E801" s="402" t="n"/>
      <c r="F801" s="402">
        <f>IF(F793&lt;&gt;"",F793,"")</f>
        <v/>
      </c>
      <c r="G801" s="402">
        <f>IF(G793&lt;&gt;"",G793,"")</f>
        <v/>
      </c>
      <c r="H801" s="402" t="n">
        <v>0</v>
      </c>
      <c r="I801" s="402" t="n"/>
      <c r="J801" s="402" t="n"/>
      <c r="K801" s="402" t="n"/>
      <c r="L801" s="402" t="n"/>
      <c r="M801" s="402" t="n"/>
      <c r="N801" s="402" t="n"/>
      <c r="O801" s="402" t="n">
        <v>0</v>
      </c>
      <c r="P801" s="402" t="n">
        <v>0</v>
      </c>
      <c r="Q801" s="402" t="n">
        <v>0</v>
      </c>
      <c r="R801" s="402" t="n">
        <v>0</v>
      </c>
      <c r="S801" s="402" t="n">
        <v>0</v>
      </c>
      <c r="T801" s="402" t="n">
        <v>0</v>
      </c>
      <c r="U801" s="402" t="n">
        <v>0</v>
      </c>
      <c r="V801" s="402" t="n">
        <v>0</v>
      </c>
      <c r="W801" s="402" t="n">
        <v>0</v>
      </c>
      <c r="X801" s="402" t="n">
        <v>0</v>
      </c>
      <c r="Y801" s="402" t="n">
        <v>0</v>
      </c>
      <c r="Z801" s="402" t="n"/>
      <c r="AA801" s="402" t="n"/>
      <c r="AB801" s="402" t="n"/>
      <c r="AC801" s="402" t="n"/>
      <c r="AD801" s="402" t="n"/>
      <c r="AE801" s="402" t="n"/>
      <c r="AF801" s="402" t="n"/>
      <c r="AG801" s="402" t="n"/>
      <c r="AH801" s="402" t="n"/>
      <c r="AI801" s="402" t="n"/>
      <c r="AJ801" s="402" t="n"/>
      <c r="AK801" s="402" t="n"/>
      <c r="AL801" s="402" t="n"/>
      <c r="AM801" s="402" t="n"/>
      <c r="AN801" s="402" t="n"/>
      <c r="AO801" s="402">
        <f>ROUND(BX801,0)</f>
        <v/>
      </c>
      <c r="AP801" s="402">
        <f>ROUND(BY801,0)</f>
        <v/>
      </c>
      <c r="AQ801" s="402">
        <f>ROUND(BZ801,0)</f>
        <v/>
      </c>
      <c r="AR801" s="402">
        <f>ROUND(CA801,0)</f>
        <v/>
      </c>
      <c r="AS801" s="402">
        <f>ROUND(CB801,0)</f>
        <v/>
      </c>
      <c r="AT801" s="402">
        <f>ROUND(CC801,0)</f>
        <v/>
      </c>
      <c r="AU801" s="402">
        <f>ROUND(CD801,0)</f>
        <v/>
      </c>
      <c r="AV801" s="402">
        <f>ROUND(CE801,0)</f>
        <v/>
      </c>
      <c r="AW801" s="402">
        <f>ROUND(CF801,0)</f>
        <v/>
      </c>
      <c r="AX801" s="402">
        <f>ROUND(CG801,0)</f>
        <v/>
      </c>
      <c r="AY801" s="402">
        <f>ROUND(CH801,0)</f>
        <v/>
      </c>
      <c r="AZ801" s="402">
        <f>ROUND(CI801,0)</f>
        <v/>
      </c>
      <c r="BA801" s="402">
        <f>ROUND(CJ801,0)</f>
        <v/>
      </c>
      <c r="BB801" s="402">
        <f>ROUND(CK801,0)</f>
        <v/>
      </c>
      <c r="BC801" s="402">
        <f>ROUND(CL801,0)</f>
        <v/>
      </c>
      <c r="BD801" s="402">
        <f>ROUND(CM801,0)</f>
        <v/>
      </c>
      <c r="BE801" s="402" t="n"/>
      <c r="BF801" s="402" t="n"/>
      <c r="BG801" s="402" t="n"/>
      <c r="BH801" s="402" t="n"/>
      <c r="BI801" s="402" t="n"/>
      <c r="BJ801" s="402" t="n"/>
      <c r="BK801" s="402" t="n"/>
      <c r="BL801" s="402" t="n"/>
      <c r="BM801" s="402" t="n"/>
      <c r="BN801" s="402" t="n"/>
      <c r="BO801" s="402" t="n"/>
      <c r="BP801" s="402" t="n"/>
      <c r="BQ801" s="402" t="n"/>
      <c r="BR801" s="402" t="n"/>
      <c r="BS801" s="402" t="n"/>
      <c r="BT801" s="402" t="n"/>
      <c r="BU801" s="402" t="n"/>
      <c r="BV801" s="402" t="n"/>
      <c r="BW801" s="402" t="n"/>
      <c r="BX801" s="402" t="n"/>
      <c r="BY801" s="402" t="n"/>
      <c r="BZ801" s="402" t="n"/>
      <c r="CA801" s="402" t="n"/>
      <c r="CB801" s="402" t="n"/>
      <c r="CC801" s="402" t="n"/>
      <c r="CD801" s="402" t="n"/>
      <c r="CE801" s="402" t="n"/>
      <c r="CF801" s="402" t="n"/>
      <c r="CG801" s="402" t="n"/>
      <c r="CH801" s="402" t="n"/>
      <c r="CI801" s="402" t="n"/>
      <c r="CJ801" s="402" t="n"/>
      <c r="CK801" s="402" t="n"/>
      <c r="CL801" s="402" t="n"/>
      <c r="CM801" s="402" t="n"/>
      <c r="CN801" s="402" t="n"/>
      <c r="CO801" s="402" t="n"/>
      <c r="CP801" s="402" t="n"/>
      <c r="CQ801" s="402" t="n"/>
      <c r="CR801" s="402" t="n"/>
      <c r="CS801" s="402" t="n"/>
      <c r="CT801" s="402" t="n"/>
      <c r="CU801" s="402" t="n"/>
      <c r="CV801" s="402" t="n"/>
      <c r="CW801" s="402" t="n"/>
      <c r="CX801" s="402" t="n"/>
      <c r="CY801" s="402" t="n"/>
      <c r="CZ801" s="402" t="n"/>
      <c r="DA801" s="402" t="n"/>
      <c r="DB801" s="402" t="n"/>
      <c r="DC801" s="402" t="n"/>
      <c r="DD801" s="402" t="n"/>
      <c r="DE801" s="402" t="n"/>
      <c r="DF801" s="402" t="n"/>
      <c r="DG801" s="403" t="n"/>
      <c r="DH801" s="403" t="n"/>
      <c r="DI801" s="403" t="n"/>
      <c r="DJ801" s="403" t="n"/>
      <c r="DK801" s="403" t="n"/>
      <c r="DL801" s="403" t="n"/>
      <c r="DM801" s="403" t="n"/>
      <c r="DN801" s="403" t="n"/>
      <c r="DO801" s="403" t="n"/>
      <c r="DP801" s="403" t="n"/>
      <c r="DQ801" s="403" t="n"/>
      <c r="DR801" s="403" t="n"/>
      <c r="DS801" s="403" t="n"/>
      <c r="DT801" s="403" t="n"/>
      <c r="DU801" s="403" t="n"/>
      <c r="DV801" s="403" t="n"/>
      <c r="DW801" s="403" t="n"/>
      <c r="DX801" s="403" t="n"/>
      <c r="DY801" s="403" t="n"/>
      <c r="DZ801" s="403" t="n"/>
      <c r="EA801" s="403" t="n"/>
      <c r="EB801" s="403" t="n"/>
      <c r="EC801" s="403" t="n"/>
      <c r="ED801" s="403" t="n"/>
      <c r="EE801" s="403" t="n"/>
      <c r="EF801" s="403" t="n"/>
      <c r="EG801" s="403" t="n"/>
      <c r="EH801" s="403" t="n"/>
      <c r="EI801" s="403" t="n"/>
      <c r="EJ801" s="403" t="n"/>
      <c r="EK801" s="403" t="n"/>
      <c r="EL801" s="403" t="n"/>
      <c r="EM801" s="403" t="n"/>
      <c r="EN801" s="403" t="n"/>
      <c r="EO801" s="403" t="n"/>
      <c r="EP801" s="403" t="n"/>
      <c r="EQ801" s="403" t="n"/>
      <c r="ER801" s="403" t="n"/>
      <c r="ES801" s="403" t="n"/>
      <c r="ET801" s="403" t="n"/>
      <c r="EU801" s="403" t="n"/>
      <c r="EV801" s="403" t="n"/>
      <c r="EW801" s="403" t="n"/>
      <c r="EX801" s="403" t="n"/>
      <c r="EY801" s="403" t="n"/>
      <c r="EZ801" s="403" t="n"/>
      <c r="FA801" s="403" t="n"/>
      <c r="FB801" s="403" t="n"/>
      <c r="FC801" s="403" t="n"/>
      <c r="FD801" s="403" t="n"/>
      <c r="FE801" s="403" t="n"/>
      <c r="FF801" s="403" t="n"/>
      <c r="FG801" s="403" t="n"/>
      <c r="FH801" s="403" t="n"/>
      <c r="FI801" s="403" t="n"/>
      <c r="FJ801" s="403" t="n"/>
      <c r="FK801" s="403" t="n"/>
      <c r="FL801" s="403" t="n"/>
      <c r="FM801" s="403" t="n"/>
      <c r="FN801" s="403" t="n"/>
      <c r="FO801" s="403" t="n"/>
      <c r="FP801" s="403" t="n"/>
      <c r="FQ801" s="403" t="n"/>
      <c r="FR801" s="403" t="n"/>
      <c r="FS801" s="403" t="n"/>
      <c r="FT801" s="403" t="n"/>
      <c r="FU801" s="403" t="n"/>
      <c r="FV801" s="403" t="n"/>
      <c r="FW801" s="403" t="n"/>
      <c r="FX801" s="403" t="n"/>
      <c r="FY801" s="403" t="n"/>
      <c r="FZ801" s="403" t="n"/>
      <c r="GA801" s="403" t="n"/>
      <c r="GB801" s="403" t="n"/>
      <c r="GC801" s="403" t="n"/>
      <c r="GD801" s="403" t="n"/>
      <c r="GE801" s="403" t="n"/>
      <c r="GF801" s="403" t="n"/>
      <c r="GG801" s="403" t="n"/>
      <c r="GH801" s="403" t="n"/>
      <c r="GI801" s="403" t="n"/>
      <c r="GJ801" s="403" t="n"/>
      <c r="GK801" s="403" t="n"/>
      <c r="GL801" s="403" t="n"/>
      <c r="GM801" s="403" t="n"/>
      <c r="GN801" s="403" t="n"/>
      <c r="GO801" s="403" t="n"/>
      <c r="GP801" s="403" t="n"/>
      <c r="GQ801" s="403" t="n"/>
      <c r="GR801" s="403" t="n"/>
      <c r="GS801" s="403" t="n"/>
      <c r="GT801" s="403" t="n"/>
      <c r="GU801" s="403" t="n"/>
      <c r="GV801" s="403" t="n"/>
      <c r="GW801" s="403" t="n"/>
      <c r="GX801" s="403" t="n">
        <v>0</v>
      </c>
    </row>
    <row r="802"/>
    <row r="803">
      <c r="A803" s="404" t="n">
        <v>50</v>
      </c>
      <c r="B803" s="404" t="n">
        <v>0</v>
      </c>
      <c r="C803" s="404" t="n">
        <v>0</v>
      </c>
      <c r="D803" s="404" t="n">
        <v>1</v>
      </c>
      <c r="E803" s="404" t="n">
        <v>201</v>
      </c>
      <c r="F803" s="404">
        <f>ROUND(Source!O801,O803)</f>
        <v/>
      </c>
      <c r="G803" s="404" t="inlineStr">
        <is>
          <t>ПЗ</t>
        </is>
      </c>
      <c r="H803" s="404" t="inlineStr">
        <is>
          <t>Прямые затраты</t>
        </is>
      </c>
      <c r="I803" s="404" t="n"/>
      <c r="J803" s="404" t="n"/>
      <c r="K803" s="404" t="n">
        <v>201</v>
      </c>
      <c r="L803" s="404" t="n">
        <v>1</v>
      </c>
      <c r="M803" s="404" t="n">
        <v>3</v>
      </c>
      <c r="N803" s="404" t="inlineStr"/>
      <c r="O803" s="404" t="n">
        <v>0</v>
      </c>
      <c r="P803" s="404" t="n"/>
      <c r="Q803" s="404" t="n"/>
      <c r="R803" s="404" t="n"/>
      <c r="S803" s="404" t="n"/>
      <c r="T803" s="404" t="n"/>
      <c r="U803" s="404" t="n"/>
      <c r="V803" s="404" t="n"/>
      <c r="W803" s="404" t="n">
        <v>0</v>
      </c>
      <c r="X803" s="404" t="n">
        <v>1</v>
      </c>
      <c r="Y803" s="404" t="n">
        <v>0</v>
      </c>
      <c r="Z803" s="404" t="n"/>
      <c r="AA803" s="404" t="n"/>
      <c r="AB803" s="404" t="n"/>
    </row>
    <row r="804">
      <c r="A804" s="404" t="n">
        <v>50</v>
      </c>
      <c r="B804" s="404" t="n">
        <v>0</v>
      </c>
      <c r="C804" s="404" t="n">
        <v>0</v>
      </c>
      <c r="D804" s="404" t="n">
        <v>1</v>
      </c>
      <c r="E804" s="404" t="n">
        <v>202</v>
      </c>
      <c r="F804" s="404">
        <f>ROUND(Source!P801,O804)</f>
        <v/>
      </c>
      <c r="G804" s="404" t="inlineStr">
        <is>
          <t>СтМатОб</t>
        </is>
      </c>
      <c r="H804" s="404" t="inlineStr">
        <is>
          <t>Стоимость материальных ресурсов (всего)</t>
        </is>
      </c>
      <c r="I804" s="404" t="n"/>
      <c r="J804" s="404" t="n"/>
      <c r="K804" s="404" t="n">
        <v>202</v>
      </c>
      <c r="L804" s="404" t="n">
        <v>2</v>
      </c>
      <c r="M804" s="404" t="n">
        <v>3</v>
      </c>
      <c r="N804" s="404" t="inlineStr"/>
      <c r="O804" s="404" t="n">
        <v>0</v>
      </c>
      <c r="P804" s="404" t="n"/>
      <c r="Q804" s="404" t="n"/>
      <c r="R804" s="404" t="n"/>
      <c r="S804" s="404" t="n"/>
      <c r="T804" s="404" t="n"/>
      <c r="U804" s="404" t="n"/>
      <c r="V804" s="404" t="n"/>
      <c r="W804" s="404" t="n">
        <v>0</v>
      </c>
      <c r="X804" s="404" t="n">
        <v>1</v>
      </c>
      <c r="Y804" s="404" t="n">
        <v>0</v>
      </c>
      <c r="Z804" s="404" t="n"/>
      <c r="AA804" s="404" t="n"/>
      <c r="AB804" s="404" t="n"/>
    </row>
    <row r="805">
      <c r="A805" s="404" t="n">
        <v>50</v>
      </c>
      <c r="B805" s="404" t="n">
        <v>0</v>
      </c>
      <c r="C805" s="404" t="n">
        <v>0</v>
      </c>
      <c r="D805" s="404" t="n">
        <v>1</v>
      </c>
      <c r="E805" s="404" t="n">
        <v>222</v>
      </c>
      <c r="F805" s="404">
        <f>ROUND(Source!AO801,O805)</f>
        <v/>
      </c>
      <c r="G805" s="404" t="inlineStr">
        <is>
          <t>СтМатОбЗак</t>
        </is>
      </c>
      <c r="H805" s="404" t="inlineStr">
        <is>
          <t>Стоимость материалов и оборудования заказчика</t>
        </is>
      </c>
      <c r="I805" s="404" t="n"/>
      <c r="J805" s="404" t="n"/>
      <c r="K805" s="404" t="n">
        <v>222</v>
      </c>
      <c r="L805" s="404" t="n">
        <v>3</v>
      </c>
      <c r="M805" s="404" t="n">
        <v>3</v>
      </c>
      <c r="N805" s="404" t="inlineStr"/>
      <c r="O805" s="404" t="n">
        <v>0</v>
      </c>
      <c r="P805" s="404" t="n"/>
      <c r="Q805" s="404" t="n"/>
      <c r="R805" s="404" t="n"/>
      <c r="S805" s="404" t="n"/>
      <c r="T805" s="404" t="n"/>
      <c r="U805" s="404" t="n"/>
      <c r="V805" s="404" t="n"/>
      <c r="W805" s="404" t="n">
        <v>0</v>
      </c>
      <c r="X805" s="404" t="n">
        <v>1</v>
      </c>
      <c r="Y805" s="404" t="n">
        <v>0</v>
      </c>
      <c r="Z805" s="404" t="n"/>
      <c r="AA805" s="404" t="n"/>
      <c r="AB805" s="404" t="n"/>
    </row>
    <row r="806">
      <c r="A806" s="404" t="n">
        <v>50</v>
      </c>
      <c r="B806" s="404" t="n">
        <v>0</v>
      </c>
      <c r="C806" s="404" t="n">
        <v>0</v>
      </c>
      <c r="D806" s="404" t="n">
        <v>1</v>
      </c>
      <c r="E806" s="404" t="n">
        <v>225</v>
      </c>
      <c r="F806" s="404">
        <f>ROUND(Source!AV801,O806)</f>
        <v/>
      </c>
      <c r="G806" s="404" t="inlineStr">
        <is>
          <t>СтМатОбПод</t>
        </is>
      </c>
      <c r="H806" s="404" t="inlineStr">
        <is>
          <t>Стоимость материалов и оборудования подрядчика</t>
        </is>
      </c>
      <c r="I806" s="404" t="n"/>
      <c r="J806" s="404" t="n"/>
      <c r="K806" s="404" t="n">
        <v>225</v>
      </c>
      <c r="L806" s="404" t="n">
        <v>4</v>
      </c>
      <c r="M806" s="404" t="n">
        <v>3</v>
      </c>
      <c r="N806" s="404" t="inlineStr"/>
      <c r="O806" s="404" t="n">
        <v>0</v>
      </c>
      <c r="P806" s="404" t="n"/>
      <c r="Q806" s="404" t="n"/>
      <c r="R806" s="404" t="n"/>
      <c r="S806" s="404" t="n"/>
      <c r="T806" s="404" t="n"/>
      <c r="U806" s="404" t="n"/>
      <c r="V806" s="404" t="n"/>
      <c r="W806" s="404" t="n">
        <v>0</v>
      </c>
      <c r="X806" s="404" t="n">
        <v>1</v>
      </c>
      <c r="Y806" s="404" t="n">
        <v>0</v>
      </c>
      <c r="Z806" s="404" t="n"/>
      <c r="AA806" s="404" t="n"/>
      <c r="AB806" s="404" t="n"/>
    </row>
    <row r="807">
      <c r="A807" s="404" t="n">
        <v>50</v>
      </c>
      <c r="B807" s="404" t="n">
        <v>0</v>
      </c>
      <c r="C807" s="404" t="n">
        <v>0</v>
      </c>
      <c r="D807" s="404" t="n">
        <v>1</v>
      </c>
      <c r="E807" s="404" t="n">
        <v>226</v>
      </c>
      <c r="F807" s="404">
        <f>ROUND(Source!AW801,O807)</f>
        <v/>
      </c>
      <c r="G807" s="404" t="inlineStr">
        <is>
          <t>СтМат</t>
        </is>
      </c>
      <c r="H807" s="404" t="inlineStr">
        <is>
          <t>Стоимость материалов (всего)</t>
        </is>
      </c>
      <c r="I807" s="404" t="n"/>
      <c r="J807" s="404" t="n"/>
      <c r="K807" s="404" t="n">
        <v>226</v>
      </c>
      <c r="L807" s="404" t="n">
        <v>5</v>
      </c>
      <c r="M807" s="404" t="n">
        <v>3</v>
      </c>
      <c r="N807" s="404" t="inlineStr"/>
      <c r="O807" s="404" t="n">
        <v>0</v>
      </c>
      <c r="P807" s="404" t="n"/>
      <c r="Q807" s="404" t="n"/>
      <c r="R807" s="404" t="n"/>
      <c r="S807" s="404" t="n"/>
      <c r="T807" s="404" t="n"/>
      <c r="U807" s="404" t="n"/>
      <c r="V807" s="404" t="n"/>
      <c r="W807" s="404" t="n">
        <v>0</v>
      </c>
      <c r="X807" s="404" t="n">
        <v>1</v>
      </c>
      <c r="Y807" s="404" t="n">
        <v>0</v>
      </c>
      <c r="Z807" s="404" t="n"/>
      <c r="AA807" s="404" t="n"/>
      <c r="AB807" s="404" t="n"/>
    </row>
    <row r="808">
      <c r="A808" s="404" t="n">
        <v>50</v>
      </c>
      <c r="B808" s="404" t="n">
        <v>0</v>
      </c>
      <c r="C808" s="404" t="n">
        <v>0</v>
      </c>
      <c r="D808" s="404" t="n">
        <v>1</v>
      </c>
      <c r="E808" s="404" t="n">
        <v>227</v>
      </c>
      <c r="F808" s="404">
        <f>ROUND(Source!AX801,O808)</f>
        <v/>
      </c>
      <c r="G808" s="404" t="inlineStr">
        <is>
          <t>СтМатЗак</t>
        </is>
      </c>
      <c r="H808" s="404" t="inlineStr">
        <is>
          <t>Стоимость материалов заказчика</t>
        </is>
      </c>
      <c r="I808" s="404" t="n"/>
      <c r="J808" s="404" t="n"/>
      <c r="K808" s="404" t="n">
        <v>227</v>
      </c>
      <c r="L808" s="404" t="n">
        <v>6</v>
      </c>
      <c r="M808" s="404" t="n">
        <v>3</v>
      </c>
      <c r="N808" s="404" t="inlineStr"/>
      <c r="O808" s="404" t="n">
        <v>0</v>
      </c>
      <c r="P808" s="404" t="n"/>
      <c r="Q808" s="404" t="n"/>
      <c r="R808" s="404" t="n"/>
      <c r="S808" s="404" t="n"/>
      <c r="T808" s="404" t="n"/>
      <c r="U808" s="404" t="n"/>
      <c r="V808" s="404" t="n"/>
      <c r="W808" s="404" t="n">
        <v>0</v>
      </c>
      <c r="X808" s="404" t="n">
        <v>1</v>
      </c>
      <c r="Y808" s="404" t="n">
        <v>0</v>
      </c>
      <c r="Z808" s="404" t="n"/>
      <c r="AA808" s="404" t="n"/>
      <c r="AB808" s="404" t="n"/>
    </row>
    <row r="809">
      <c r="A809" s="404" t="n">
        <v>50</v>
      </c>
      <c r="B809" s="404" t="n">
        <v>0</v>
      </c>
      <c r="C809" s="404" t="n">
        <v>0</v>
      </c>
      <c r="D809" s="404" t="n">
        <v>1</v>
      </c>
      <c r="E809" s="404" t="n">
        <v>228</v>
      </c>
      <c r="F809" s="404">
        <f>ROUND(Source!AY801,O809)</f>
        <v/>
      </c>
      <c r="G809" s="404" t="inlineStr">
        <is>
          <t>СтМатПод</t>
        </is>
      </c>
      <c r="H809" s="404" t="inlineStr">
        <is>
          <t>Стоимость материалов подрядчика</t>
        </is>
      </c>
      <c r="I809" s="404" t="n"/>
      <c r="J809" s="404" t="n"/>
      <c r="K809" s="404" t="n">
        <v>228</v>
      </c>
      <c r="L809" s="404" t="n">
        <v>7</v>
      </c>
      <c r="M809" s="404" t="n">
        <v>3</v>
      </c>
      <c r="N809" s="404" t="inlineStr"/>
      <c r="O809" s="404" t="n">
        <v>0</v>
      </c>
      <c r="P809" s="404" t="n"/>
      <c r="Q809" s="404" t="n"/>
      <c r="R809" s="404" t="n"/>
      <c r="S809" s="404" t="n"/>
      <c r="T809" s="404" t="n"/>
      <c r="U809" s="404" t="n"/>
      <c r="V809" s="404" t="n"/>
      <c r="W809" s="404" t="n">
        <v>0</v>
      </c>
      <c r="X809" s="404" t="n">
        <v>1</v>
      </c>
      <c r="Y809" s="404" t="n">
        <v>0</v>
      </c>
      <c r="Z809" s="404" t="n"/>
      <c r="AA809" s="404" t="n"/>
      <c r="AB809" s="404" t="n"/>
    </row>
    <row r="810">
      <c r="A810" s="404" t="n">
        <v>50</v>
      </c>
      <c r="B810" s="404" t="n">
        <v>0</v>
      </c>
      <c r="C810" s="404" t="n">
        <v>0</v>
      </c>
      <c r="D810" s="404" t="n">
        <v>1</v>
      </c>
      <c r="E810" s="404" t="n">
        <v>216</v>
      </c>
      <c r="F810" s="404">
        <f>ROUND(Source!AP801,O810)</f>
        <v/>
      </c>
      <c r="G810" s="404" t="inlineStr">
        <is>
          <t>Оборуд</t>
        </is>
      </c>
      <c r="H810" s="404" t="inlineStr">
        <is>
          <t>Стоимость оборудования (всего)</t>
        </is>
      </c>
      <c r="I810" s="404" t="n"/>
      <c r="J810" s="404" t="n"/>
      <c r="K810" s="404" t="n">
        <v>216</v>
      </c>
      <c r="L810" s="404" t="n">
        <v>8</v>
      </c>
      <c r="M810" s="404" t="n">
        <v>3</v>
      </c>
      <c r="N810" s="404" t="inlineStr"/>
      <c r="O810" s="404" t="n">
        <v>0</v>
      </c>
      <c r="P810" s="404" t="n"/>
      <c r="Q810" s="404" t="n"/>
      <c r="R810" s="404" t="n"/>
      <c r="S810" s="404" t="n"/>
      <c r="T810" s="404" t="n"/>
      <c r="U810" s="404" t="n"/>
      <c r="V810" s="404" t="n"/>
      <c r="W810" s="404" t="n">
        <v>0</v>
      </c>
      <c r="X810" s="404" t="n">
        <v>1</v>
      </c>
      <c r="Y810" s="404" t="n">
        <v>0</v>
      </c>
      <c r="Z810" s="404" t="n"/>
      <c r="AA810" s="404" t="n"/>
      <c r="AB810" s="404" t="n"/>
    </row>
    <row r="811">
      <c r="A811" s="404" t="n">
        <v>50</v>
      </c>
      <c r="B811" s="404" t="n">
        <v>0</v>
      </c>
      <c r="C811" s="404" t="n">
        <v>0</v>
      </c>
      <c r="D811" s="404" t="n">
        <v>1</v>
      </c>
      <c r="E811" s="404" t="n">
        <v>223</v>
      </c>
      <c r="F811" s="404">
        <f>ROUND(Source!AQ801,O811)</f>
        <v/>
      </c>
      <c r="G811" s="404" t="inlineStr">
        <is>
          <t>ОборудЗак</t>
        </is>
      </c>
      <c r="H811" s="404" t="inlineStr">
        <is>
          <t>Стоимость оборудования заказчика</t>
        </is>
      </c>
      <c r="I811" s="404" t="n"/>
      <c r="J811" s="404" t="n"/>
      <c r="K811" s="404" t="n">
        <v>223</v>
      </c>
      <c r="L811" s="404" t="n">
        <v>9</v>
      </c>
      <c r="M811" s="404" t="n">
        <v>3</v>
      </c>
      <c r="N811" s="404" t="inlineStr"/>
      <c r="O811" s="404" t="n">
        <v>0</v>
      </c>
      <c r="P811" s="404" t="n"/>
      <c r="Q811" s="404" t="n"/>
      <c r="R811" s="404" t="n"/>
      <c r="S811" s="404" t="n"/>
      <c r="T811" s="404" t="n"/>
      <c r="U811" s="404" t="n"/>
      <c r="V811" s="404" t="n"/>
      <c r="W811" s="404" t="n">
        <v>0</v>
      </c>
      <c r="X811" s="404" t="n">
        <v>1</v>
      </c>
      <c r="Y811" s="404" t="n">
        <v>0</v>
      </c>
      <c r="Z811" s="404" t="n"/>
      <c r="AA811" s="404" t="n"/>
      <c r="AB811" s="404" t="n"/>
    </row>
    <row r="812">
      <c r="A812" s="404" t="n">
        <v>50</v>
      </c>
      <c r="B812" s="404" t="n">
        <v>0</v>
      </c>
      <c r="C812" s="404" t="n">
        <v>0</v>
      </c>
      <c r="D812" s="404" t="n">
        <v>1</v>
      </c>
      <c r="E812" s="404" t="n">
        <v>229</v>
      </c>
      <c r="F812" s="404">
        <f>ROUND(Source!AZ801,O812)</f>
        <v/>
      </c>
      <c r="G812" s="404" t="inlineStr">
        <is>
          <t>ОборудПод</t>
        </is>
      </c>
      <c r="H812" s="404" t="inlineStr">
        <is>
          <t>Стоимость оборудования подрядчика</t>
        </is>
      </c>
      <c r="I812" s="404" t="n"/>
      <c r="J812" s="404" t="n"/>
      <c r="K812" s="404" t="n">
        <v>229</v>
      </c>
      <c r="L812" s="404" t="n">
        <v>10</v>
      </c>
      <c r="M812" s="404" t="n">
        <v>3</v>
      </c>
      <c r="N812" s="404" t="inlineStr"/>
      <c r="O812" s="404" t="n">
        <v>0</v>
      </c>
      <c r="P812" s="404" t="n"/>
      <c r="Q812" s="404" t="n"/>
      <c r="R812" s="404" t="n"/>
      <c r="S812" s="404" t="n"/>
      <c r="T812" s="404" t="n"/>
      <c r="U812" s="404" t="n"/>
      <c r="V812" s="404" t="n"/>
      <c r="W812" s="404" t="n">
        <v>0</v>
      </c>
      <c r="X812" s="404" t="n">
        <v>1</v>
      </c>
      <c r="Y812" s="404" t="n">
        <v>0</v>
      </c>
      <c r="Z812" s="404" t="n"/>
      <c r="AA812" s="404" t="n"/>
      <c r="AB812" s="404" t="n"/>
    </row>
    <row r="813">
      <c r="A813" s="404" t="n">
        <v>50</v>
      </c>
      <c r="B813" s="404" t="n">
        <v>0</v>
      </c>
      <c r="C813" s="404" t="n">
        <v>0</v>
      </c>
      <c r="D813" s="404" t="n">
        <v>1</v>
      </c>
      <c r="E813" s="404" t="n">
        <v>203</v>
      </c>
      <c r="F813" s="404">
        <f>ROUND(Source!Q801,O813)</f>
        <v/>
      </c>
      <c r="G813" s="404" t="inlineStr">
        <is>
          <t>ЭММ</t>
        </is>
      </c>
      <c r="H813" s="404" t="inlineStr">
        <is>
          <t>Эксплуатация машин</t>
        </is>
      </c>
      <c r="I813" s="404" t="n"/>
      <c r="J813" s="404" t="n"/>
      <c r="K813" s="404" t="n">
        <v>203</v>
      </c>
      <c r="L813" s="404" t="n">
        <v>11</v>
      </c>
      <c r="M813" s="404" t="n">
        <v>3</v>
      </c>
      <c r="N813" s="404" t="inlineStr"/>
      <c r="O813" s="404" t="n">
        <v>0</v>
      </c>
      <c r="P813" s="404" t="n"/>
      <c r="Q813" s="404" t="n"/>
      <c r="R813" s="404" t="n"/>
      <c r="S813" s="404" t="n"/>
      <c r="T813" s="404" t="n"/>
      <c r="U813" s="404" t="n"/>
      <c r="V813" s="404" t="n"/>
      <c r="W813" s="404" t="n">
        <v>0</v>
      </c>
      <c r="X813" s="404" t="n">
        <v>1</v>
      </c>
      <c r="Y813" s="404" t="n">
        <v>0</v>
      </c>
      <c r="Z813" s="404" t="n"/>
      <c r="AA813" s="404" t="n"/>
      <c r="AB813" s="404" t="n"/>
    </row>
    <row r="814">
      <c r="A814" s="404" t="n">
        <v>50</v>
      </c>
      <c r="B814" s="404" t="n">
        <v>0</v>
      </c>
      <c r="C814" s="404" t="n">
        <v>0</v>
      </c>
      <c r="D814" s="404" t="n">
        <v>1</v>
      </c>
      <c r="E814" s="404" t="n">
        <v>231</v>
      </c>
      <c r="F814" s="404">
        <f>ROUND(Source!BB801,O814)</f>
        <v/>
      </c>
      <c r="G814" s="404" t="inlineStr">
        <is>
          <t>ЭММсНРиСП</t>
        </is>
      </c>
      <c r="H814" s="404" t="inlineStr">
        <is>
          <t>Эксплуатация машин по ТСН-2001.16</t>
        </is>
      </c>
      <c r="I814" s="404" t="n"/>
      <c r="J814" s="404" t="n"/>
      <c r="K814" s="404" t="n">
        <v>231</v>
      </c>
      <c r="L814" s="404" t="n">
        <v>12</v>
      </c>
      <c r="M814" s="404" t="n">
        <v>3</v>
      </c>
      <c r="N814" s="404" t="inlineStr"/>
      <c r="O814" s="404" t="n">
        <v>0</v>
      </c>
      <c r="P814" s="404" t="n"/>
      <c r="Q814" s="404" t="n"/>
      <c r="R814" s="404" t="n"/>
      <c r="S814" s="404" t="n"/>
      <c r="T814" s="404" t="n"/>
      <c r="U814" s="404" t="n"/>
      <c r="V814" s="404" t="n"/>
      <c r="W814" s="404" t="n">
        <v>0</v>
      </c>
      <c r="X814" s="404" t="n">
        <v>1</v>
      </c>
      <c r="Y814" s="404" t="n">
        <v>0</v>
      </c>
      <c r="Z814" s="404" t="n"/>
      <c r="AA814" s="404" t="n"/>
      <c r="AB814" s="404" t="n"/>
    </row>
    <row r="815">
      <c r="A815" s="404" t="n">
        <v>50</v>
      </c>
      <c r="B815" s="404" t="n">
        <v>0</v>
      </c>
      <c r="C815" s="404" t="n">
        <v>0</v>
      </c>
      <c r="D815" s="404" t="n">
        <v>1</v>
      </c>
      <c r="E815" s="404" t="n">
        <v>204</v>
      </c>
      <c r="F815" s="404">
        <f>ROUND(Source!R801,O815)</f>
        <v/>
      </c>
      <c r="G815" s="404" t="inlineStr">
        <is>
          <t>ЗПМ</t>
        </is>
      </c>
      <c r="H815" s="404" t="inlineStr">
        <is>
          <t>ЗП машинистов</t>
        </is>
      </c>
      <c r="I815" s="404" t="n"/>
      <c r="J815" s="404" t="n"/>
      <c r="K815" s="404" t="n">
        <v>204</v>
      </c>
      <c r="L815" s="404" t="n">
        <v>13</v>
      </c>
      <c r="M815" s="404" t="n">
        <v>3</v>
      </c>
      <c r="N815" s="404" t="inlineStr"/>
      <c r="O815" s="404" t="n">
        <v>0</v>
      </c>
      <c r="P815" s="404" t="n"/>
      <c r="Q815" s="404" t="n"/>
      <c r="R815" s="404" t="n"/>
      <c r="S815" s="404" t="n"/>
      <c r="T815" s="404" t="n"/>
      <c r="U815" s="404" t="n"/>
      <c r="V815" s="404" t="n"/>
      <c r="W815" s="404" t="n">
        <v>0</v>
      </c>
      <c r="X815" s="404" t="n">
        <v>1</v>
      </c>
      <c r="Y815" s="404" t="n">
        <v>0</v>
      </c>
      <c r="Z815" s="404" t="n"/>
      <c r="AA815" s="404" t="n"/>
      <c r="AB815" s="404" t="n"/>
    </row>
    <row r="816">
      <c r="A816" s="404" t="n">
        <v>50</v>
      </c>
      <c r="B816" s="404" t="n">
        <v>0</v>
      </c>
      <c r="C816" s="404" t="n">
        <v>0</v>
      </c>
      <c r="D816" s="404" t="n">
        <v>1</v>
      </c>
      <c r="E816" s="404" t="n">
        <v>205</v>
      </c>
      <c r="F816" s="404">
        <f>ROUND(Source!S801,O816)</f>
        <v/>
      </c>
      <c r="G816" s="404" t="inlineStr">
        <is>
          <t>ОЗП</t>
        </is>
      </c>
      <c r="H816" s="404" t="inlineStr">
        <is>
          <t>Основная ЗП рабочих</t>
        </is>
      </c>
      <c r="I816" s="404" t="n"/>
      <c r="J816" s="404" t="n"/>
      <c r="K816" s="404" t="n">
        <v>205</v>
      </c>
      <c r="L816" s="404" t="n">
        <v>14</v>
      </c>
      <c r="M816" s="404" t="n">
        <v>3</v>
      </c>
      <c r="N816" s="404" t="inlineStr"/>
      <c r="O816" s="404" t="n">
        <v>0</v>
      </c>
      <c r="P816" s="404" t="n"/>
      <c r="Q816" s="404" t="n"/>
      <c r="R816" s="404" t="n"/>
      <c r="S816" s="404" t="n"/>
      <c r="T816" s="404" t="n"/>
      <c r="U816" s="404" t="n"/>
      <c r="V816" s="404" t="n"/>
      <c r="W816" s="404" t="n">
        <v>0</v>
      </c>
      <c r="X816" s="404" t="n">
        <v>1</v>
      </c>
      <c r="Y816" s="404" t="n">
        <v>0</v>
      </c>
      <c r="Z816" s="404" t="n"/>
      <c r="AA816" s="404" t="n"/>
      <c r="AB816" s="404" t="n"/>
    </row>
    <row r="817">
      <c r="A817" s="404" t="n">
        <v>50</v>
      </c>
      <c r="B817" s="404" t="n">
        <v>0</v>
      </c>
      <c r="C817" s="404" t="n">
        <v>0</v>
      </c>
      <c r="D817" s="404" t="n">
        <v>1</v>
      </c>
      <c r="E817" s="404" t="n">
        <v>232</v>
      </c>
      <c r="F817" s="404">
        <f>ROUND(Source!BC801,O817)</f>
        <v/>
      </c>
      <c r="G817" s="404" t="inlineStr">
        <is>
          <t>ОЗПсНРиСП</t>
        </is>
      </c>
      <c r="H817" s="404" t="inlineStr">
        <is>
          <t>Основная ЗП рабочих по ТСН-2001.16</t>
        </is>
      </c>
      <c r="I817" s="404" t="n"/>
      <c r="J817" s="404" t="n"/>
      <c r="K817" s="404" t="n">
        <v>232</v>
      </c>
      <c r="L817" s="404" t="n">
        <v>15</v>
      </c>
      <c r="M817" s="404" t="n">
        <v>3</v>
      </c>
      <c r="N817" s="404" t="inlineStr"/>
      <c r="O817" s="404" t="n">
        <v>0</v>
      </c>
      <c r="P817" s="404" t="n"/>
      <c r="Q817" s="404" t="n"/>
      <c r="R817" s="404" t="n"/>
      <c r="S817" s="404" t="n"/>
      <c r="T817" s="404" t="n"/>
      <c r="U817" s="404" t="n"/>
      <c r="V817" s="404" t="n"/>
      <c r="W817" s="404" t="n">
        <v>0</v>
      </c>
      <c r="X817" s="404" t="n">
        <v>1</v>
      </c>
      <c r="Y817" s="404" t="n">
        <v>0</v>
      </c>
      <c r="Z817" s="404" t="n"/>
      <c r="AA817" s="404" t="n"/>
      <c r="AB817" s="404" t="n"/>
    </row>
    <row r="818">
      <c r="A818" s="404" t="n">
        <v>50</v>
      </c>
      <c r="B818" s="404" t="n">
        <v>0</v>
      </c>
      <c r="C818" s="404" t="n">
        <v>0</v>
      </c>
      <c r="D818" s="404" t="n">
        <v>1</v>
      </c>
      <c r="E818" s="404" t="n">
        <v>214</v>
      </c>
      <c r="F818" s="404">
        <f>ROUND(Source!AS801,O818)</f>
        <v/>
      </c>
      <c r="G818" s="404" t="inlineStr">
        <is>
          <t>Строит</t>
        </is>
      </c>
      <c r="H818" s="404" t="inlineStr">
        <is>
          <t>Строительные работы с НР и СП</t>
        </is>
      </c>
      <c r="I818" s="404" t="n"/>
      <c r="J818" s="404" t="n"/>
      <c r="K818" s="404" t="n">
        <v>214</v>
      </c>
      <c r="L818" s="404" t="n">
        <v>16</v>
      </c>
      <c r="M818" s="404" t="n">
        <v>3</v>
      </c>
      <c r="N818" s="404" t="inlineStr"/>
      <c r="O818" s="404" t="n">
        <v>0</v>
      </c>
      <c r="P818" s="404" t="n"/>
      <c r="Q818" s="404" t="n"/>
      <c r="R818" s="404" t="n"/>
      <c r="S818" s="404" t="n"/>
      <c r="T818" s="404" t="n"/>
      <c r="U818" s="404" t="n"/>
      <c r="V818" s="404" t="n"/>
      <c r="W818" s="404" t="n">
        <v>0</v>
      </c>
      <c r="X818" s="404" t="n">
        <v>1</v>
      </c>
      <c r="Y818" s="404" t="n">
        <v>0</v>
      </c>
      <c r="Z818" s="404" t="n"/>
      <c r="AA818" s="404" t="n"/>
      <c r="AB818" s="404" t="n"/>
    </row>
    <row r="819">
      <c r="A819" s="404" t="n">
        <v>50</v>
      </c>
      <c r="B819" s="404" t="n">
        <v>0</v>
      </c>
      <c r="C819" s="404" t="n">
        <v>0</v>
      </c>
      <c r="D819" s="404" t="n">
        <v>1</v>
      </c>
      <c r="E819" s="404" t="n">
        <v>215</v>
      </c>
      <c r="F819" s="404">
        <f>ROUND(Source!AT801,O819)</f>
        <v/>
      </c>
      <c r="G819" s="404" t="inlineStr">
        <is>
          <t>Монтаж</t>
        </is>
      </c>
      <c r="H819" s="404" t="inlineStr">
        <is>
          <t>Монтажные работы с НР и СП</t>
        </is>
      </c>
      <c r="I819" s="404" t="n"/>
      <c r="J819" s="404" t="n"/>
      <c r="K819" s="404" t="n">
        <v>215</v>
      </c>
      <c r="L819" s="404" t="n">
        <v>17</v>
      </c>
      <c r="M819" s="404" t="n">
        <v>3</v>
      </c>
      <c r="N819" s="404" t="inlineStr"/>
      <c r="O819" s="404" t="n">
        <v>0</v>
      </c>
      <c r="P819" s="404" t="n"/>
      <c r="Q819" s="404" t="n"/>
      <c r="R819" s="404" t="n"/>
      <c r="S819" s="404" t="n"/>
      <c r="T819" s="404" t="n"/>
      <c r="U819" s="404" t="n"/>
      <c r="V819" s="404" t="n"/>
      <c r="W819" s="404" t="n">
        <v>0</v>
      </c>
      <c r="X819" s="404" t="n">
        <v>1</v>
      </c>
      <c r="Y819" s="404" t="n">
        <v>0</v>
      </c>
      <c r="Z819" s="404" t="n"/>
      <c r="AA819" s="404" t="n"/>
      <c r="AB819" s="404" t="n"/>
    </row>
    <row r="820">
      <c r="A820" s="404" t="n">
        <v>50</v>
      </c>
      <c r="B820" s="404" t="n">
        <v>0</v>
      </c>
      <c r="C820" s="404" t="n">
        <v>0</v>
      </c>
      <c r="D820" s="404" t="n">
        <v>1</v>
      </c>
      <c r="E820" s="404" t="n">
        <v>217</v>
      </c>
      <c r="F820" s="404">
        <f>ROUND(Source!AU801,O820)</f>
        <v/>
      </c>
      <c r="G820" s="404" t="inlineStr">
        <is>
          <t>Прочие</t>
        </is>
      </c>
      <c r="H820" s="404" t="inlineStr">
        <is>
          <t>Прочие работы с НР и СП</t>
        </is>
      </c>
      <c r="I820" s="404" t="n"/>
      <c r="J820" s="404" t="n"/>
      <c r="K820" s="404" t="n">
        <v>217</v>
      </c>
      <c r="L820" s="404" t="n">
        <v>18</v>
      </c>
      <c r="M820" s="404" t="n">
        <v>3</v>
      </c>
      <c r="N820" s="404" t="inlineStr"/>
      <c r="O820" s="404" t="n">
        <v>0</v>
      </c>
      <c r="P820" s="404" t="n"/>
      <c r="Q820" s="404" t="n"/>
      <c r="R820" s="404" t="n"/>
      <c r="S820" s="404" t="n"/>
      <c r="T820" s="404" t="n"/>
      <c r="U820" s="404" t="n"/>
      <c r="V820" s="404" t="n"/>
      <c r="W820" s="404" t="n">
        <v>0</v>
      </c>
      <c r="X820" s="404" t="n">
        <v>1</v>
      </c>
      <c r="Y820" s="404" t="n">
        <v>0</v>
      </c>
      <c r="Z820" s="404" t="n"/>
      <c r="AA820" s="404" t="n"/>
      <c r="AB820" s="404" t="n"/>
    </row>
    <row r="821">
      <c r="A821" s="404" t="n">
        <v>50</v>
      </c>
      <c r="B821" s="404" t="n">
        <v>0</v>
      </c>
      <c r="C821" s="404" t="n">
        <v>0</v>
      </c>
      <c r="D821" s="404" t="n">
        <v>1</v>
      </c>
      <c r="E821" s="404" t="n">
        <v>230</v>
      </c>
      <c r="F821" s="404">
        <f>ROUND(Source!BA801,O821)</f>
        <v/>
      </c>
      <c r="G821" s="404" t="inlineStr">
        <is>
          <t>ПрочиеЗатр</t>
        </is>
      </c>
      <c r="H821" s="404" t="inlineStr">
        <is>
          <t>Прочие затраты по ТСН-2001.16</t>
        </is>
      </c>
      <c r="I821" s="404" t="n"/>
      <c r="J821" s="404" t="n"/>
      <c r="K821" s="404" t="n">
        <v>230</v>
      </c>
      <c r="L821" s="404" t="n">
        <v>19</v>
      </c>
      <c r="M821" s="404" t="n">
        <v>3</v>
      </c>
      <c r="N821" s="404" t="inlineStr"/>
      <c r="O821" s="404" t="n">
        <v>0</v>
      </c>
      <c r="P821" s="404" t="n"/>
      <c r="Q821" s="404" t="n"/>
      <c r="R821" s="404" t="n"/>
      <c r="S821" s="404" t="n"/>
      <c r="T821" s="404" t="n"/>
      <c r="U821" s="404" t="n"/>
      <c r="V821" s="404" t="n"/>
      <c r="W821" s="404" t="n">
        <v>0</v>
      </c>
      <c r="X821" s="404" t="n">
        <v>1</v>
      </c>
      <c r="Y821" s="404" t="n">
        <v>0</v>
      </c>
      <c r="Z821" s="404" t="n"/>
      <c r="AA821" s="404" t="n"/>
      <c r="AB821" s="404" t="n"/>
    </row>
    <row r="822">
      <c r="A822" s="404" t="n">
        <v>50</v>
      </c>
      <c r="B822" s="404" t="n">
        <v>0</v>
      </c>
      <c r="C822" s="404" t="n">
        <v>0</v>
      </c>
      <c r="D822" s="404" t="n">
        <v>1</v>
      </c>
      <c r="E822" s="404" t="n">
        <v>206</v>
      </c>
      <c r="F822" s="404">
        <f>ROUND(Source!T801,O822)</f>
        <v/>
      </c>
      <c r="G822" s="404" t="inlineStr">
        <is>
          <t>ВозврМат</t>
        </is>
      </c>
      <c r="H822" s="404" t="inlineStr">
        <is>
          <t>Возврат материалов</t>
        </is>
      </c>
      <c r="I822" s="404" t="n"/>
      <c r="J822" s="404" t="n"/>
      <c r="K822" s="404" t="n">
        <v>206</v>
      </c>
      <c r="L822" s="404" t="n">
        <v>20</v>
      </c>
      <c r="M822" s="404" t="n">
        <v>3</v>
      </c>
      <c r="N822" s="404" t="inlineStr"/>
      <c r="O822" s="404" t="n">
        <v>0</v>
      </c>
      <c r="P822" s="404" t="n"/>
      <c r="Q822" s="404" t="n"/>
      <c r="R822" s="404" t="n"/>
      <c r="S822" s="404" t="n"/>
      <c r="T822" s="404" t="n"/>
      <c r="U822" s="404" t="n"/>
      <c r="V822" s="404" t="n"/>
      <c r="W822" s="404" t="n">
        <v>0</v>
      </c>
      <c r="X822" s="404" t="n">
        <v>1</v>
      </c>
      <c r="Y822" s="404" t="n">
        <v>0</v>
      </c>
      <c r="Z822" s="404" t="n"/>
      <c r="AA822" s="404" t="n"/>
      <c r="AB822" s="404" t="n"/>
    </row>
    <row r="823">
      <c r="A823" s="404" t="n">
        <v>50</v>
      </c>
      <c r="B823" s="404" t="n">
        <v>0</v>
      </c>
      <c r="C823" s="404" t="n">
        <v>0</v>
      </c>
      <c r="D823" s="404" t="n">
        <v>1</v>
      </c>
      <c r="E823" s="404" t="n">
        <v>207</v>
      </c>
      <c r="F823" s="404">
        <f>ROUND(Source!U801,O823)</f>
        <v/>
      </c>
      <c r="G823" s="404" t="inlineStr">
        <is>
          <t>ТрудСтр</t>
        </is>
      </c>
      <c r="H823" s="404" t="inlineStr">
        <is>
          <t>Трудозатраты строителей</t>
        </is>
      </c>
      <c r="I823" s="404" t="n"/>
      <c r="J823" s="404" t="n"/>
      <c r="K823" s="404" t="n">
        <v>207</v>
      </c>
      <c r="L823" s="404" t="n">
        <v>21</v>
      </c>
      <c r="M823" s="404" t="n">
        <v>3</v>
      </c>
      <c r="N823" s="404" t="inlineStr"/>
      <c r="O823" s="404" t="n">
        <v>7</v>
      </c>
      <c r="P823" s="404" t="n"/>
      <c r="Q823" s="404" t="n"/>
      <c r="R823" s="404" t="n"/>
      <c r="S823" s="404" t="n"/>
      <c r="T823" s="404" t="n"/>
      <c r="U823" s="404" t="n"/>
      <c r="V823" s="404" t="n"/>
      <c r="W823" s="404" t="n">
        <v>0</v>
      </c>
      <c r="X823" s="404" t="n">
        <v>1</v>
      </c>
      <c r="Y823" s="404" t="n">
        <v>0</v>
      </c>
      <c r="Z823" s="404" t="n"/>
      <c r="AA823" s="404" t="n"/>
      <c r="AB823" s="404" t="n"/>
    </row>
    <row r="824">
      <c r="A824" s="404" t="n">
        <v>50</v>
      </c>
      <c r="B824" s="404" t="n">
        <v>0</v>
      </c>
      <c r="C824" s="404" t="n">
        <v>0</v>
      </c>
      <c r="D824" s="404" t="n">
        <v>1</v>
      </c>
      <c r="E824" s="404" t="n">
        <v>208</v>
      </c>
      <c r="F824" s="404">
        <f>ROUND(Source!V801,O824)</f>
        <v/>
      </c>
      <c r="G824" s="404" t="inlineStr">
        <is>
          <t>ТрудМаш</t>
        </is>
      </c>
      <c r="H824" s="404" t="inlineStr">
        <is>
          <t>Трудозатраты машинистов</t>
        </is>
      </c>
      <c r="I824" s="404" t="n"/>
      <c r="J824" s="404" t="n"/>
      <c r="K824" s="404" t="n">
        <v>208</v>
      </c>
      <c r="L824" s="404" t="n">
        <v>22</v>
      </c>
      <c r="M824" s="404" t="n">
        <v>3</v>
      </c>
      <c r="N824" s="404" t="inlineStr"/>
      <c r="O824" s="404" t="n">
        <v>7</v>
      </c>
      <c r="P824" s="404" t="n"/>
      <c r="Q824" s="404" t="n"/>
      <c r="R824" s="404" t="n"/>
      <c r="S824" s="404" t="n"/>
      <c r="T824" s="404" t="n"/>
      <c r="U824" s="404" t="n"/>
      <c r="V824" s="404" t="n"/>
      <c r="W824" s="404" t="n">
        <v>0</v>
      </c>
      <c r="X824" s="404" t="n">
        <v>1</v>
      </c>
      <c r="Y824" s="404" t="n">
        <v>0</v>
      </c>
      <c r="Z824" s="404" t="n"/>
      <c r="AA824" s="404" t="n"/>
      <c r="AB824" s="404" t="n"/>
    </row>
    <row r="825">
      <c r="A825" s="404" t="n">
        <v>50</v>
      </c>
      <c r="B825" s="404" t="n">
        <v>0</v>
      </c>
      <c r="C825" s="404" t="n">
        <v>0</v>
      </c>
      <c r="D825" s="404" t="n">
        <v>1</v>
      </c>
      <c r="E825" s="404" t="n">
        <v>209</v>
      </c>
      <c r="F825" s="404">
        <f>ROUND(Source!W801,O825)</f>
        <v/>
      </c>
      <c r="G825" s="404" t="inlineStr">
        <is>
          <t>ТранспМат</t>
        </is>
      </c>
      <c r="H825" s="404" t="inlineStr">
        <is>
          <t>Транспорт материалов</t>
        </is>
      </c>
      <c r="I825" s="404" t="n"/>
      <c r="J825" s="404" t="n"/>
      <c r="K825" s="404" t="n">
        <v>209</v>
      </c>
      <c r="L825" s="404" t="n">
        <v>23</v>
      </c>
      <c r="M825" s="404" t="n">
        <v>3</v>
      </c>
      <c r="N825" s="404" t="inlineStr"/>
      <c r="O825" s="404" t="n">
        <v>0</v>
      </c>
      <c r="P825" s="404" t="n"/>
      <c r="Q825" s="404" t="n"/>
      <c r="R825" s="404" t="n"/>
      <c r="S825" s="404" t="n"/>
      <c r="T825" s="404" t="n"/>
      <c r="U825" s="404" t="n"/>
      <c r="V825" s="404" t="n"/>
      <c r="W825" s="404" t="n">
        <v>0</v>
      </c>
      <c r="X825" s="404" t="n">
        <v>1</v>
      </c>
      <c r="Y825" s="404" t="n">
        <v>0</v>
      </c>
      <c r="Z825" s="404" t="n"/>
      <c r="AA825" s="404" t="n"/>
      <c r="AB825" s="404" t="n"/>
    </row>
    <row r="826">
      <c r="A826" s="404" t="n">
        <v>50</v>
      </c>
      <c r="B826" s="404" t="n">
        <v>0</v>
      </c>
      <c r="C826" s="404" t="n">
        <v>0</v>
      </c>
      <c r="D826" s="404" t="n">
        <v>1</v>
      </c>
      <c r="E826" s="404" t="n">
        <v>233</v>
      </c>
      <c r="F826" s="404">
        <f>ROUND(Source!BD801,O826)</f>
        <v/>
      </c>
      <c r="G826" s="404" t="inlineStr">
        <is>
          <t>Перевозка</t>
        </is>
      </c>
      <c r="H826" s="404" t="inlineStr">
        <is>
          <t>Перевозка грузов</t>
        </is>
      </c>
      <c r="I826" s="404" t="n"/>
      <c r="J826" s="404" t="n"/>
      <c r="K826" s="404" t="n">
        <v>233</v>
      </c>
      <c r="L826" s="404" t="n">
        <v>24</v>
      </c>
      <c r="M826" s="404" t="n">
        <v>3</v>
      </c>
      <c r="N826" s="404" t="inlineStr"/>
      <c r="O826" s="404" t="n">
        <v>0</v>
      </c>
      <c r="P826" s="404" t="n"/>
      <c r="Q826" s="404" t="n"/>
      <c r="R826" s="404" t="n"/>
      <c r="S826" s="404" t="n"/>
      <c r="T826" s="404" t="n"/>
      <c r="U826" s="404" t="n"/>
      <c r="V826" s="404" t="n"/>
      <c r="W826" s="404" t="n">
        <v>0</v>
      </c>
      <c r="X826" s="404" t="n">
        <v>1</v>
      </c>
      <c r="Y826" s="404" t="n">
        <v>0</v>
      </c>
      <c r="Z826" s="404" t="n"/>
      <c r="AA826" s="404" t="n"/>
      <c r="AB826" s="404" t="n"/>
    </row>
    <row r="827">
      <c r="A827" s="404" t="n">
        <v>50</v>
      </c>
      <c r="B827" s="404" t="n">
        <v>0</v>
      </c>
      <c r="C827" s="404" t="n">
        <v>0</v>
      </c>
      <c r="D827" s="404" t="n">
        <v>1</v>
      </c>
      <c r="E827" s="404" t="n">
        <v>210</v>
      </c>
      <c r="F827" s="404">
        <f>ROUND(Source!X801,O827)</f>
        <v/>
      </c>
      <c r="G827" s="404" t="inlineStr">
        <is>
          <t>НР</t>
        </is>
      </c>
      <c r="H827" s="404" t="inlineStr">
        <is>
          <t>Накладные расходы</t>
        </is>
      </c>
      <c r="I827" s="404" t="n"/>
      <c r="J827" s="404" t="n"/>
      <c r="K827" s="404" t="n">
        <v>210</v>
      </c>
      <c r="L827" s="404" t="n">
        <v>25</v>
      </c>
      <c r="M827" s="404" t="n">
        <v>3</v>
      </c>
      <c r="N827" s="404" t="inlineStr"/>
      <c r="O827" s="404" t="n">
        <v>0</v>
      </c>
      <c r="P827" s="404" t="n"/>
      <c r="Q827" s="404" t="n"/>
      <c r="R827" s="404" t="n"/>
      <c r="S827" s="404" t="n"/>
      <c r="T827" s="404" t="n"/>
      <c r="U827" s="404" t="n"/>
      <c r="V827" s="404" t="n"/>
      <c r="W827" s="404" t="n">
        <v>0</v>
      </c>
      <c r="X827" s="404" t="n">
        <v>1</v>
      </c>
      <c r="Y827" s="404" t="n">
        <v>0</v>
      </c>
      <c r="Z827" s="404" t="n"/>
      <c r="AA827" s="404" t="n"/>
      <c r="AB827" s="404" t="n"/>
    </row>
    <row r="828">
      <c r="A828" s="404" t="n">
        <v>50</v>
      </c>
      <c r="B828" s="404" t="n">
        <v>0</v>
      </c>
      <c r="C828" s="404" t="n">
        <v>0</v>
      </c>
      <c r="D828" s="404" t="n">
        <v>1</v>
      </c>
      <c r="E828" s="404" t="n">
        <v>211</v>
      </c>
      <c r="F828" s="404">
        <f>ROUND(Source!Y801,O828)</f>
        <v/>
      </c>
      <c r="G828" s="404" t="inlineStr">
        <is>
          <t>СмПриб</t>
        </is>
      </c>
      <c r="H828" s="404" t="inlineStr">
        <is>
          <t>Сметная прибыль</t>
        </is>
      </c>
      <c r="I828" s="404" t="n"/>
      <c r="J828" s="404" t="n"/>
      <c r="K828" s="404" t="n">
        <v>211</v>
      </c>
      <c r="L828" s="404" t="n">
        <v>26</v>
      </c>
      <c r="M828" s="404" t="n">
        <v>3</v>
      </c>
      <c r="N828" s="404" t="inlineStr"/>
      <c r="O828" s="404" t="n">
        <v>0</v>
      </c>
      <c r="P828" s="404" t="n"/>
      <c r="Q828" s="404" t="n"/>
      <c r="R828" s="404" t="n"/>
      <c r="S828" s="404" t="n"/>
      <c r="T828" s="404" t="n"/>
      <c r="U828" s="404" t="n"/>
      <c r="V828" s="404" t="n"/>
      <c r="W828" s="404" t="n">
        <v>0</v>
      </c>
      <c r="X828" s="404" t="n">
        <v>1</v>
      </c>
      <c r="Y828" s="404" t="n">
        <v>0</v>
      </c>
      <c r="Z828" s="404" t="n"/>
      <c r="AA828" s="404" t="n"/>
      <c r="AB828" s="404" t="n"/>
    </row>
    <row r="829">
      <c r="A829" s="404" t="n">
        <v>50</v>
      </c>
      <c r="B829" s="404" t="n">
        <v>0</v>
      </c>
      <c r="C829" s="404" t="n">
        <v>0</v>
      </c>
      <c r="D829" s="404" t="n">
        <v>1</v>
      </c>
      <c r="E829" s="404" t="n">
        <v>224</v>
      </c>
      <c r="F829" s="404">
        <f>ROUND(Source!AR801,O829)</f>
        <v/>
      </c>
      <c r="G829" s="404" t="inlineStr">
        <is>
          <t>Всего</t>
        </is>
      </c>
      <c r="H829" s="404" t="inlineStr">
        <is>
          <t>Всего с НР и СП</t>
        </is>
      </c>
      <c r="I829" s="404" t="n"/>
      <c r="J829" s="404" t="n"/>
      <c r="K829" s="404" t="n">
        <v>224</v>
      </c>
      <c r="L829" s="404" t="n">
        <v>27</v>
      </c>
      <c r="M829" s="404" t="n">
        <v>3</v>
      </c>
      <c r="N829" s="404" t="inlineStr"/>
      <c r="O829" s="404" t="n">
        <v>0</v>
      </c>
      <c r="P829" s="404" t="n"/>
      <c r="Q829" s="404" t="n"/>
      <c r="R829" s="404" t="n"/>
      <c r="S829" s="404" t="n"/>
      <c r="T829" s="404" t="n"/>
      <c r="U829" s="404" t="n"/>
      <c r="V829" s="404" t="n"/>
      <c r="W829" s="404" t="n">
        <v>0</v>
      </c>
      <c r="X829" s="404" t="n">
        <v>1</v>
      </c>
      <c r="Y829" s="404" t="n">
        <v>0</v>
      </c>
      <c r="Z829" s="404" t="n"/>
      <c r="AA829" s="404" t="n"/>
      <c r="AB829" s="404" t="n"/>
    </row>
    <row r="830">
      <c r="A830" s="404" t="n">
        <v>50</v>
      </c>
      <c r="B830" s="404" t="n">
        <v>0</v>
      </c>
      <c r="C830" s="404" t="n">
        <v>0</v>
      </c>
      <c r="D830" s="404" t="n">
        <v>2</v>
      </c>
      <c r="E830" s="404" t="n">
        <v>0</v>
      </c>
      <c r="F830" s="404">
        <f>ROUND(F829,O830)</f>
        <v/>
      </c>
      <c r="G830" s="404" t="inlineStr">
        <is>
          <t>и1</t>
        </is>
      </c>
      <c r="H830" s="404" t="inlineStr">
        <is>
          <t>Итого</t>
        </is>
      </c>
      <c r="I830" s="404" t="n"/>
      <c r="J830" s="404" t="n"/>
      <c r="K830" s="404" t="n">
        <v>212</v>
      </c>
      <c r="L830" s="404" t="n">
        <v>28</v>
      </c>
      <c r="M830" s="404" t="n">
        <v>0</v>
      </c>
      <c r="N830" s="404" t="inlineStr"/>
      <c r="O830" s="404" t="n">
        <v>0</v>
      </c>
      <c r="P830" s="404" t="n"/>
      <c r="Q830" s="404" t="n"/>
      <c r="R830" s="404" t="n"/>
      <c r="S830" s="404" t="n"/>
      <c r="T830" s="404" t="n"/>
      <c r="U830" s="404" t="n"/>
      <c r="V830" s="404" t="n"/>
      <c r="W830" s="404" t="n">
        <v>0</v>
      </c>
      <c r="X830" s="404" t="n">
        <v>1</v>
      </c>
      <c r="Y830" s="404" t="n">
        <v>0</v>
      </c>
      <c r="Z830" s="404" t="n"/>
      <c r="AA830" s="404" t="n"/>
      <c r="AB830" s="404" t="n"/>
    </row>
    <row r="831">
      <c r="A831" s="404" t="n">
        <v>50</v>
      </c>
      <c r="B831" s="404" t="n">
        <v>0</v>
      </c>
      <c r="C831" s="404" t="n">
        <v>0</v>
      </c>
      <c r="D831" s="404" t="n">
        <v>2</v>
      </c>
      <c r="E831" s="404" t="n">
        <v>0</v>
      </c>
      <c r="F831" s="404">
        <f>ROUND(F830*0.22,O831)</f>
        <v/>
      </c>
      <c r="G831" s="404" t="inlineStr">
        <is>
          <t>и2</t>
        </is>
      </c>
      <c r="H831" s="404" t="inlineStr">
        <is>
          <t>НДС 22%</t>
        </is>
      </c>
      <c r="I831" s="404" t="n"/>
      <c r="J831" s="404" t="n"/>
      <c r="K831" s="404" t="n">
        <v>212</v>
      </c>
      <c r="L831" s="404" t="n">
        <v>29</v>
      </c>
      <c r="M831" s="404" t="n">
        <v>0</v>
      </c>
      <c r="N831" s="404" t="inlineStr"/>
      <c r="O831" s="404" t="n">
        <v>0</v>
      </c>
      <c r="P831" s="404" t="n"/>
      <c r="Q831" s="404" t="n"/>
      <c r="R831" s="404" t="n"/>
      <c r="S831" s="404" t="n"/>
      <c r="T831" s="404" t="n"/>
      <c r="U831" s="404" t="n"/>
      <c r="V831" s="404" t="n"/>
      <c r="W831" s="404" t="n">
        <v>0</v>
      </c>
      <c r="X831" s="404" t="n">
        <v>1</v>
      </c>
      <c r="Y831" s="404" t="n">
        <v>0</v>
      </c>
      <c r="Z831" s="404" t="n"/>
      <c r="AA831" s="404" t="n"/>
      <c r="AB831" s="404" t="n"/>
    </row>
    <row r="832">
      <c r="A832" s="404" t="n">
        <v>50</v>
      </c>
      <c r="B832" s="404" t="n">
        <v>0</v>
      </c>
      <c r="C832" s="404" t="n">
        <v>0</v>
      </c>
      <c r="D832" s="404" t="n">
        <v>2</v>
      </c>
      <c r="E832" s="404" t="n">
        <v>213</v>
      </c>
      <c r="F832" s="404">
        <f>ROUND(F830+F831,O832)</f>
        <v/>
      </c>
      <c r="G832" s="404" t="inlineStr">
        <is>
          <t>и3</t>
        </is>
      </c>
      <c r="H832" s="404" t="inlineStr">
        <is>
          <t>Всего</t>
        </is>
      </c>
      <c r="I832" s="404" t="n"/>
      <c r="J832" s="404" t="n"/>
      <c r="K832" s="404" t="n">
        <v>212</v>
      </c>
      <c r="L832" s="404" t="n">
        <v>30</v>
      </c>
      <c r="M832" s="404" t="n">
        <v>0</v>
      </c>
      <c r="N832" s="404" t="inlineStr"/>
      <c r="O832" s="404" t="n">
        <v>0</v>
      </c>
      <c r="P832" s="404" t="n"/>
      <c r="Q832" s="404" t="n"/>
      <c r="R832" s="404" t="n"/>
      <c r="S832" s="404" t="n"/>
      <c r="T832" s="404" t="n"/>
      <c r="U832" s="404" t="n"/>
      <c r="V832" s="404" t="n"/>
      <c r="W832" s="404" t="n">
        <v>0</v>
      </c>
      <c r="X832" s="404" t="n">
        <v>1</v>
      </c>
      <c r="Y832" s="404" t="n">
        <v>0</v>
      </c>
      <c r="Z832" s="404" t="n"/>
      <c r="AA832" s="404" t="n"/>
      <c r="AB832" s="404" t="n"/>
    </row>
    <row r="833"/>
    <row r="834">
      <c r="A834" s="401" t="n">
        <v>3</v>
      </c>
      <c r="B834" s="401" t="n">
        <v>0</v>
      </c>
      <c r="C834" s="401" t="n"/>
      <c r="D834" s="401">
        <f>ROW(A850)</f>
        <v/>
      </c>
      <c r="E834" s="401" t="n"/>
      <c r="F834" s="401" t="inlineStr">
        <is>
          <t>Новая локальная смета</t>
        </is>
      </c>
      <c r="G834" s="401" t="inlineStr">
        <is>
          <t>Механизаторов 9</t>
        </is>
      </c>
      <c r="H834" s="401" t="inlineStr"/>
      <c r="I834" s="401" t="n">
        <v>0</v>
      </c>
      <c r="J834" s="401" t="inlineStr"/>
      <c r="K834" s="401" t="n">
        <v>0</v>
      </c>
      <c r="L834" s="401" t="inlineStr">
        <is>
          <t>Новая локальная смета</t>
        </is>
      </c>
      <c r="M834" s="401" t="inlineStr"/>
      <c r="N834" s="401" t="n"/>
      <c r="O834" s="401" t="n"/>
      <c r="P834" s="401" t="n"/>
      <c r="Q834" s="401" t="n"/>
      <c r="R834" s="401" t="n"/>
      <c r="S834" s="401" t="n">
        <v>0</v>
      </c>
      <c r="T834" s="401" t="n"/>
      <c r="U834" s="401" t="inlineStr"/>
      <c r="V834" s="401" t="n">
        <v>0</v>
      </c>
      <c r="W834" s="401" t="n"/>
      <c r="X834" s="401" t="n"/>
      <c r="Y834" s="401" t="n"/>
      <c r="Z834" s="401" t="n"/>
      <c r="AA834" s="401" t="n"/>
      <c r="AB834" s="401" t="inlineStr"/>
      <c r="AC834" s="401" t="inlineStr"/>
      <c r="AD834" s="401" t="inlineStr"/>
      <c r="AE834" s="401" t="inlineStr"/>
      <c r="AF834" s="401" t="inlineStr"/>
      <c r="AG834" s="401" t="inlineStr"/>
      <c r="AH834" s="401" t="n"/>
      <c r="AI834" s="401" t="n"/>
      <c r="AJ834" s="401" t="n"/>
      <c r="AK834" s="401" t="n"/>
      <c r="AL834" s="401" t="n"/>
      <c r="AM834" s="401" t="n"/>
      <c r="AN834" s="401" t="n"/>
      <c r="AO834" s="401" t="n"/>
      <c r="AP834" s="401" t="inlineStr"/>
      <c r="AQ834" s="401" t="inlineStr"/>
      <c r="AR834" s="401" t="inlineStr"/>
      <c r="AS834" s="401" t="n"/>
      <c r="AT834" s="401" t="n"/>
      <c r="AU834" s="401" t="n"/>
      <c r="AV834" s="401" t="n"/>
      <c r="AW834" s="401" t="n"/>
      <c r="AX834" s="401" t="n"/>
      <c r="AY834" s="401" t="n"/>
      <c r="AZ834" s="401" t="inlineStr"/>
      <c r="BA834" s="401" t="n"/>
      <c r="BB834" s="401" t="inlineStr"/>
      <c r="BC834" s="401" t="inlineStr"/>
      <c r="BD834" s="401" t="inlineStr"/>
      <c r="BE834" s="401" t="inlineStr"/>
      <c r="BF834" s="401" t="inlineStr"/>
      <c r="BG834" s="401" t="inlineStr"/>
      <c r="BH834" s="401" t="inlineStr"/>
      <c r="BI834" s="401" t="inlineStr"/>
      <c r="BJ834" s="401" t="inlineStr"/>
      <c r="BK834" s="401" t="inlineStr"/>
      <c r="BL834" s="401" t="inlineStr"/>
      <c r="BM834" s="401" t="inlineStr"/>
      <c r="BN834" s="401" t="inlineStr"/>
      <c r="BO834" s="401" t="inlineStr"/>
      <c r="BP834" s="401" t="inlineStr"/>
      <c r="BQ834" s="401" t="n"/>
      <c r="BR834" s="401" t="n"/>
      <c r="BS834" s="401" t="n"/>
      <c r="BT834" s="401" t="n"/>
      <c r="BU834" s="401" t="n"/>
      <c r="BV834" s="401" t="n"/>
      <c r="BW834" s="401" t="n"/>
      <c r="BX834" s="401" t="n">
        <v>0</v>
      </c>
      <c r="BY834" s="401" t="n"/>
      <c r="BZ834" s="401" t="n"/>
      <c r="CA834" s="401" t="n"/>
      <c r="CB834" s="401" t="n"/>
      <c r="CC834" s="401" t="n"/>
      <c r="CD834" s="401" t="n"/>
      <c r="CE834" s="401" t="n"/>
      <c r="CF834" s="401" t="n">
        <v>0</v>
      </c>
      <c r="CG834" s="401" t="n">
        <v>0</v>
      </c>
      <c r="CH834" s="401" t="n"/>
      <c r="CI834" s="401" t="inlineStr"/>
      <c r="CJ834" s="401" t="inlineStr"/>
      <c r="CK834" t="inlineStr"/>
      <c r="CL834" t="inlineStr"/>
      <c r="CM834" t="inlineStr"/>
      <c r="CN834" t="inlineStr"/>
      <c r="CO834" t="inlineStr"/>
      <c r="CP834" t="inlineStr"/>
      <c r="CQ834" t="inlineStr"/>
    </row>
    <row r="835"/>
    <row r="836">
      <c r="A836" s="402" t="n">
        <v>52</v>
      </c>
      <c r="B836" s="402">
        <f>B850</f>
        <v/>
      </c>
      <c r="C836" s="402">
        <f>C850</f>
        <v/>
      </c>
      <c r="D836" s="402">
        <f>D850</f>
        <v/>
      </c>
      <c r="E836" s="402">
        <f>E850</f>
        <v/>
      </c>
      <c r="F836" s="402">
        <f>F850</f>
        <v/>
      </c>
      <c r="G836" s="402">
        <f>G850</f>
        <v/>
      </c>
      <c r="H836" s="402" t="n"/>
      <c r="I836" s="402" t="n"/>
      <c r="J836" s="402" t="n"/>
      <c r="K836" s="402" t="n"/>
      <c r="L836" s="402" t="n"/>
      <c r="M836" s="402" t="n"/>
      <c r="N836" s="402" t="n"/>
      <c r="O836" s="402">
        <f>O850</f>
        <v/>
      </c>
      <c r="P836" s="402">
        <f>P850</f>
        <v/>
      </c>
      <c r="Q836" s="402">
        <f>Q850</f>
        <v/>
      </c>
      <c r="R836" s="402">
        <f>R850</f>
        <v/>
      </c>
      <c r="S836" s="402">
        <f>S850</f>
        <v/>
      </c>
      <c r="T836" s="402">
        <f>T850</f>
        <v/>
      </c>
      <c r="U836" s="402">
        <f>U850</f>
        <v/>
      </c>
      <c r="V836" s="402">
        <f>V850</f>
        <v/>
      </c>
      <c r="W836" s="402">
        <f>W850</f>
        <v/>
      </c>
      <c r="X836" s="402">
        <f>X850</f>
        <v/>
      </c>
      <c r="Y836" s="402">
        <f>Y850</f>
        <v/>
      </c>
      <c r="Z836" s="402">
        <f>Z850</f>
        <v/>
      </c>
      <c r="AA836" s="402">
        <f>AA850</f>
        <v/>
      </c>
      <c r="AB836" s="402">
        <f>AB850</f>
        <v/>
      </c>
      <c r="AC836" s="402">
        <f>AC850</f>
        <v/>
      </c>
      <c r="AD836" s="402">
        <f>AD850</f>
        <v/>
      </c>
      <c r="AE836" s="402">
        <f>AE850</f>
        <v/>
      </c>
      <c r="AF836" s="402">
        <f>AF850</f>
        <v/>
      </c>
      <c r="AG836" s="402">
        <f>AG850</f>
        <v/>
      </c>
      <c r="AH836" s="402">
        <f>AH850</f>
        <v/>
      </c>
      <c r="AI836" s="402">
        <f>AI850</f>
        <v/>
      </c>
      <c r="AJ836" s="402">
        <f>AJ850</f>
        <v/>
      </c>
      <c r="AK836" s="402">
        <f>AK850</f>
        <v/>
      </c>
      <c r="AL836" s="402">
        <f>AL850</f>
        <v/>
      </c>
      <c r="AM836" s="402">
        <f>AM850</f>
        <v/>
      </c>
      <c r="AN836" s="402">
        <f>AN850</f>
        <v/>
      </c>
      <c r="AO836" s="402">
        <f>AO850</f>
        <v/>
      </c>
      <c r="AP836" s="402">
        <f>AP850</f>
        <v/>
      </c>
      <c r="AQ836" s="402">
        <f>AQ850</f>
        <v/>
      </c>
      <c r="AR836" s="402">
        <f>AR850</f>
        <v/>
      </c>
      <c r="AS836" s="402">
        <f>AS850</f>
        <v/>
      </c>
      <c r="AT836" s="402">
        <f>AT850</f>
        <v/>
      </c>
      <c r="AU836" s="402">
        <f>AU850</f>
        <v/>
      </c>
      <c r="AV836" s="402">
        <f>AV850</f>
        <v/>
      </c>
      <c r="AW836" s="402">
        <f>AW850</f>
        <v/>
      </c>
      <c r="AX836" s="402">
        <f>AX850</f>
        <v/>
      </c>
      <c r="AY836" s="402">
        <f>AY850</f>
        <v/>
      </c>
      <c r="AZ836" s="402">
        <f>AZ850</f>
        <v/>
      </c>
      <c r="BA836" s="402">
        <f>BA850</f>
        <v/>
      </c>
      <c r="BB836" s="402">
        <f>BB850</f>
        <v/>
      </c>
      <c r="BC836" s="402">
        <f>BC850</f>
        <v/>
      </c>
      <c r="BD836" s="402">
        <f>BD850</f>
        <v/>
      </c>
      <c r="BE836" s="402">
        <f>BE850</f>
        <v/>
      </c>
      <c r="BF836" s="402">
        <f>BF850</f>
        <v/>
      </c>
      <c r="BG836" s="402">
        <f>BG850</f>
        <v/>
      </c>
      <c r="BH836" s="402">
        <f>BH850</f>
        <v/>
      </c>
      <c r="BI836" s="402">
        <f>BI850</f>
        <v/>
      </c>
      <c r="BJ836" s="402">
        <f>BJ850</f>
        <v/>
      </c>
      <c r="BK836" s="402">
        <f>BK850</f>
        <v/>
      </c>
      <c r="BL836" s="402">
        <f>BL850</f>
        <v/>
      </c>
      <c r="BM836" s="402">
        <f>BM850</f>
        <v/>
      </c>
      <c r="BN836" s="402">
        <f>BN850</f>
        <v/>
      </c>
      <c r="BO836" s="402">
        <f>BO850</f>
        <v/>
      </c>
      <c r="BP836" s="402">
        <f>BP850</f>
        <v/>
      </c>
      <c r="BQ836" s="402">
        <f>BQ850</f>
        <v/>
      </c>
      <c r="BR836" s="402">
        <f>BR850</f>
        <v/>
      </c>
      <c r="BS836" s="402">
        <f>BS850</f>
        <v/>
      </c>
      <c r="BT836" s="402">
        <f>BT850</f>
        <v/>
      </c>
      <c r="BU836" s="402">
        <f>BU850</f>
        <v/>
      </c>
      <c r="BV836" s="402">
        <f>BV850</f>
        <v/>
      </c>
      <c r="BW836" s="402">
        <f>BW850</f>
        <v/>
      </c>
      <c r="BX836" s="402">
        <f>BX850</f>
        <v/>
      </c>
      <c r="BY836" s="402">
        <f>BY850</f>
        <v/>
      </c>
      <c r="BZ836" s="402">
        <f>BZ850</f>
        <v/>
      </c>
      <c r="CA836" s="402">
        <f>CA850</f>
        <v/>
      </c>
      <c r="CB836" s="402">
        <f>CB850</f>
        <v/>
      </c>
      <c r="CC836" s="402">
        <f>CC850</f>
        <v/>
      </c>
      <c r="CD836" s="402">
        <f>CD850</f>
        <v/>
      </c>
      <c r="CE836" s="402">
        <f>CE850</f>
        <v/>
      </c>
      <c r="CF836" s="402">
        <f>CF850</f>
        <v/>
      </c>
      <c r="CG836" s="402">
        <f>CG850</f>
        <v/>
      </c>
      <c r="CH836" s="402">
        <f>CH850</f>
        <v/>
      </c>
      <c r="CI836" s="402">
        <f>CI850</f>
        <v/>
      </c>
      <c r="CJ836" s="402">
        <f>CJ850</f>
        <v/>
      </c>
      <c r="CK836" s="402">
        <f>CK850</f>
        <v/>
      </c>
      <c r="CL836" s="402">
        <f>CL850</f>
        <v/>
      </c>
      <c r="CM836" s="402">
        <f>CM850</f>
        <v/>
      </c>
      <c r="CN836" s="402">
        <f>CN850</f>
        <v/>
      </c>
      <c r="CO836" s="402">
        <f>CO850</f>
        <v/>
      </c>
      <c r="CP836" s="402">
        <f>CP850</f>
        <v/>
      </c>
      <c r="CQ836" s="402">
        <f>CQ850</f>
        <v/>
      </c>
      <c r="CR836" s="402">
        <f>CR850</f>
        <v/>
      </c>
      <c r="CS836" s="402">
        <f>CS850</f>
        <v/>
      </c>
      <c r="CT836" s="402">
        <f>CT850</f>
        <v/>
      </c>
      <c r="CU836" s="402">
        <f>CU850</f>
        <v/>
      </c>
      <c r="CV836" s="402">
        <f>CV850</f>
        <v/>
      </c>
      <c r="CW836" s="402">
        <f>CW850</f>
        <v/>
      </c>
      <c r="CX836" s="402">
        <f>CX850</f>
        <v/>
      </c>
      <c r="CY836" s="402">
        <f>CY850</f>
        <v/>
      </c>
      <c r="CZ836" s="402">
        <f>CZ850</f>
        <v/>
      </c>
      <c r="DA836" s="402">
        <f>DA850</f>
        <v/>
      </c>
      <c r="DB836" s="402">
        <f>DB850</f>
        <v/>
      </c>
      <c r="DC836" s="402">
        <f>DC850</f>
        <v/>
      </c>
      <c r="DD836" s="402">
        <f>DD850</f>
        <v/>
      </c>
      <c r="DE836" s="402">
        <f>DE850</f>
        <v/>
      </c>
      <c r="DF836" s="402">
        <f>DF850</f>
        <v/>
      </c>
      <c r="DG836" s="403">
        <f>DG850</f>
        <v/>
      </c>
      <c r="DH836" s="403">
        <f>DH850</f>
        <v/>
      </c>
      <c r="DI836" s="403">
        <f>DI850</f>
        <v/>
      </c>
      <c r="DJ836" s="403">
        <f>DJ850</f>
        <v/>
      </c>
      <c r="DK836" s="403">
        <f>DK850</f>
        <v/>
      </c>
      <c r="DL836" s="403">
        <f>DL850</f>
        <v/>
      </c>
      <c r="DM836" s="403">
        <f>DM850</f>
        <v/>
      </c>
      <c r="DN836" s="403">
        <f>DN850</f>
        <v/>
      </c>
      <c r="DO836" s="403">
        <f>DO850</f>
        <v/>
      </c>
      <c r="DP836" s="403">
        <f>DP850</f>
        <v/>
      </c>
      <c r="DQ836" s="403">
        <f>DQ850</f>
        <v/>
      </c>
      <c r="DR836" s="403">
        <f>DR850</f>
        <v/>
      </c>
      <c r="DS836" s="403">
        <f>DS850</f>
        <v/>
      </c>
      <c r="DT836" s="403">
        <f>DT850</f>
        <v/>
      </c>
      <c r="DU836" s="403">
        <f>DU850</f>
        <v/>
      </c>
      <c r="DV836" s="403">
        <f>DV850</f>
        <v/>
      </c>
      <c r="DW836" s="403">
        <f>DW850</f>
        <v/>
      </c>
      <c r="DX836" s="403">
        <f>DX850</f>
        <v/>
      </c>
      <c r="DY836" s="403">
        <f>DY850</f>
        <v/>
      </c>
      <c r="DZ836" s="403">
        <f>DZ850</f>
        <v/>
      </c>
      <c r="EA836" s="403">
        <f>EA850</f>
        <v/>
      </c>
      <c r="EB836" s="403">
        <f>EB850</f>
        <v/>
      </c>
      <c r="EC836" s="403">
        <f>EC850</f>
        <v/>
      </c>
      <c r="ED836" s="403">
        <f>ED850</f>
        <v/>
      </c>
      <c r="EE836" s="403">
        <f>EE850</f>
        <v/>
      </c>
      <c r="EF836" s="403">
        <f>EF850</f>
        <v/>
      </c>
      <c r="EG836" s="403">
        <f>EG850</f>
        <v/>
      </c>
      <c r="EH836" s="403">
        <f>EH850</f>
        <v/>
      </c>
      <c r="EI836" s="403">
        <f>EI850</f>
        <v/>
      </c>
      <c r="EJ836" s="403">
        <f>EJ850</f>
        <v/>
      </c>
      <c r="EK836" s="403">
        <f>EK850</f>
        <v/>
      </c>
      <c r="EL836" s="403">
        <f>EL850</f>
        <v/>
      </c>
      <c r="EM836" s="403">
        <f>EM850</f>
        <v/>
      </c>
      <c r="EN836" s="403">
        <f>EN850</f>
        <v/>
      </c>
      <c r="EO836" s="403">
        <f>EO850</f>
        <v/>
      </c>
      <c r="EP836" s="403">
        <f>EP850</f>
        <v/>
      </c>
      <c r="EQ836" s="403">
        <f>EQ850</f>
        <v/>
      </c>
      <c r="ER836" s="403">
        <f>ER850</f>
        <v/>
      </c>
      <c r="ES836" s="403">
        <f>ES850</f>
        <v/>
      </c>
      <c r="ET836" s="403">
        <f>ET850</f>
        <v/>
      </c>
      <c r="EU836" s="403">
        <f>EU850</f>
        <v/>
      </c>
      <c r="EV836" s="403">
        <f>EV850</f>
        <v/>
      </c>
      <c r="EW836" s="403">
        <f>EW850</f>
        <v/>
      </c>
      <c r="EX836" s="403">
        <f>EX850</f>
        <v/>
      </c>
      <c r="EY836" s="403">
        <f>EY850</f>
        <v/>
      </c>
      <c r="EZ836" s="403">
        <f>EZ850</f>
        <v/>
      </c>
      <c r="FA836" s="403">
        <f>FA850</f>
        <v/>
      </c>
      <c r="FB836" s="403">
        <f>FB850</f>
        <v/>
      </c>
      <c r="FC836" s="403">
        <f>FC850</f>
        <v/>
      </c>
      <c r="FD836" s="403">
        <f>FD850</f>
        <v/>
      </c>
      <c r="FE836" s="403">
        <f>FE850</f>
        <v/>
      </c>
      <c r="FF836" s="403">
        <f>FF850</f>
        <v/>
      </c>
      <c r="FG836" s="403">
        <f>FG850</f>
        <v/>
      </c>
      <c r="FH836" s="403">
        <f>FH850</f>
        <v/>
      </c>
      <c r="FI836" s="403">
        <f>FI850</f>
        <v/>
      </c>
      <c r="FJ836" s="403">
        <f>FJ850</f>
        <v/>
      </c>
      <c r="FK836" s="403">
        <f>FK850</f>
        <v/>
      </c>
      <c r="FL836" s="403">
        <f>FL850</f>
        <v/>
      </c>
      <c r="FM836" s="403">
        <f>FM850</f>
        <v/>
      </c>
      <c r="FN836" s="403">
        <f>FN850</f>
        <v/>
      </c>
      <c r="FO836" s="403">
        <f>FO850</f>
        <v/>
      </c>
      <c r="FP836" s="403">
        <f>FP850</f>
        <v/>
      </c>
      <c r="FQ836" s="403">
        <f>FQ850</f>
        <v/>
      </c>
      <c r="FR836" s="403">
        <f>FR850</f>
        <v/>
      </c>
      <c r="FS836" s="403">
        <f>FS850</f>
        <v/>
      </c>
      <c r="FT836" s="403">
        <f>FT850</f>
        <v/>
      </c>
      <c r="FU836" s="403">
        <f>FU850</f>
        <v/>
      </c>
      <c r="FV836" s="403">
        <f>FV850</f>
        <v/>
      </c>
      <c r="FW836" s="403">
        <f>FW850</f>
        <v/>
      </c>
      <c r="FX836" s="403">
        <f>FX850</f>
        <v/>
      </c>
      <c r="FY836" s="403">
        <f>FY850</f>
        <v/>
      </c>
      <c r="FZ836" s="403">
        <f>FZ850</f>
        <v/>
      </c>
      <c r="GA836" s="403">
        <f>GA850</f>
        <v/>
      </c>
      <c r="GB836" s="403">
        <f>GB850</f>
        <v/>
      </c>
      <c r="GC836" s="403">
        <f>GC850</f>
        <v/>
      </c>
      <c r="GD836" s="403">
        <f>GD850</f>
        <v/>
      </c>
      <c r="GE836" s="403">
        <f>GE850</f>
        <v/>
      </c>
      <c r="GF836" s="403">
        <f>GF850</f>
        <v/>
      </c>
      <c r="GG836" s="403">
        <f>GG850</f>
        <v/>
      </c>
      <c r="GH836" s="403">
        <f>GH850</f>
        <v/>
      </c>
      <c r="GI836" s="403">
        <f>GI850</f>
        <v/>
      </c>
      <c r="GJ836" s="403">
        <f>GJ850</f>
        <v/>
      </c>
      <c r="GK836" s="403">
        <f>GK850</f>
        <v/>
      </c>
      <c r="GL836" s="403">
        <f>GL850</f>
        <v/>
      </c>
      <c r="GM836" s="403">
        <f>GM850</f>
        <v/>
      </c>
      <c r="GN836" s="403">
        <f>GN850</f>
        <v/>
      </c>
      <c r="GO836" s="403">
        <f>GO850</f>
        <v/>
      </c>
      <c r="GP836" s="403">
        <f>GP850</f>
        <v/>
      </c>
      <c r="GQ836" s="403">
        <f>GQ850</f>
        <v/>
      </c>
      <c r="GR836" s="403">
        <f>GR850</f>
        <v/>
      </c>
      <c r="GS836" s="403">
        <f>GS850</f>
        <v/>
      </c>
      <c r="GT836" s="403">
        <f>GT850</f>
        <v/>
      </c>
      <c r="GU836" s="403">
        <f>GU850</f>
        <v/>
      </c>
      <c r="GV836" s="403">
        <f>GV850</f>
        <v/>
      </c>
      <c r="GW836" s="403">
        <f>GW850</f>
        <v/>
      </c>
      <c r="GX836" s="403">
        <f>GX850</f>
        <v/>
      </c>
    </row>
    <row r="837"/>
    <row r="838">
      <c r="A838" t="n">
        <v>17</v>
      </c>
      <c r="B838" t="n">
        <v>0</v>
      </c>
      <c r="C838">
        <f>ROW(SmtRes!A456)</f>
        <v/>
      </c>
      <c r="D838">
        <f>ROW(EtalonRes!A418)</f>
        <v/>
      </c>
      <c r="E838" t="inlineStr">
        <is>
          <t>1</t>
        </is>
      </c>
      <c r="F838" t="inlineStr">
        <is>
          <t>65-10-1</t>
        </is>
      </c>
      <c r="G838" t="inlineStr">
        <is>
          <t>Очистка канализационной сети внутренней</t>
        </is>
      </c>
      <c r="H838" t="inlineStr">
        <is>
          <t>100 м трубопровода</t>
        </is>
      </c>
      <c r="I838">
        <f>ROUND(ROUND(15/100,4),7)</f>
        <v/>
      </c>
      <c r="J838" t="n">
        <v>0</v>
      </c>
      <c r="K838">
        <f>ROUND(ROUND(15/100,4),7)</f>
        <v/>
      </c>
      <c r="O838">
        <f>ROUND(CP838,0)</f>
        <v/>
      </c>
      <c r="P838">
        <f>ROUND(CQ838*I838,0)</f>
        <v/>
      </c>
      <c r="Q838">
        <f>(ROUND((ROUND(((ET838)*I838),0)*BB838),0)+ROUND((ROUND(((AE838-(EU838))*I838),0)*BS838),0))</f>
        <v/>
      </c>
      <c r="R838">
        <f>(ROUND((ROUND(((EU838)*I838),0)*BS838),0)+ROUND((ROUND(((AE838-(EU838))*I838),0)*BS838),0))</f>
        <v/>
      </c>
      <c r="S838">
        <f>ROUND(CT838*I838,0)</f>
        <v/>
      </c>
      <c r="T838">
        <f>ROUND(CU838*I838,0)</f>
        <v/>
      </c>
      <c r="U838">
        <f>ROUND(CV838*I838,7)</f>
        <v/>
      </c>
      <c r="V838">
        <f>ROUND(CW838*I838,7)</f>
        <v/>
      </c>
      <c r="W838">
        <f>ROUND(CX838*I838,0)</f>
        <v/>
      </c>
      <c r="X838">
        <f>ROUND(CY838,0)</f>
        <v/>
      </c>
      <c r="Y838">
        <f>ROUND(CZ838,0)</f>
        <v/>
      </c>
      <c r="AA838" t="n">
        <v>78869116</v>
      </c>
      <c r="AB838">
        <f>ROUND((AC838+AD838+AF838),2)</f>
        <v/>
      </c>
      <c r="AC838">
        <f>ROUND((ES838),2)</f>
        <v/>
      </c>
      <c r="AD838">
        <f>ROUND((((ET838)-(EU838))+AE838),2)</f>
        <v/>
      </c>
      <c r="AE838">
        <f>ROUND((EU838),2)</f>
        <v/>
      </c>
      <c r="AF838">
        <f>ROUND((EV838),2)</f>
        <v/>
      </c>
      <c r="AG838">
        <f>ROUND((AP838),2)</f>
        <v/>
      </c>
      <c r="AH838">
        <f>(EW838)</f>
        <v/>
      </c>
      <c r="AI838">
        <f>(EX838)</f>
        <v/>
      </c>
      <c r="AJ838">
        <f>(AS838)</f>
        <v/>
      </c>
      <c r="AK838" t="n">
        <v>403.3</v>
      </c>
      <c r="AL838" t="n">
        <v>139.36</v>
      </c>
      <c r="AM838" t="n">
        <v>0.87</v>
      </c>
      <c r="AN838" t="n">
        <v>0</v>
      </c>
      <c r="AO838" t="n">
        <v>263.07</v>
      </c>
      <c r="AP838" t="n">
        <v>0</v>
      </c>
      <c r="AQ838" t="n">
        <v>32.2</v>
      </c>
      <c r="AR838" t="n">
        <v>0</v>
      </c>
      <c r="AS838" t="n">
        <v>0</v>
      </c>
      <c r="AT838" t="n">
        <v>103</v>
      </c>
      <c r="AU838" t="n">
        <v>52</v>
      </c>
      <c r="AV838" t="n">
        <v>1</v>
      </c>
      <c r="AW838" t="n">
        <v>1</v>
      </c>
      <c r="AZ838" t="n">
        <v>1</v>
      </c>
      <c r="BA838" t="n">
        <v>52.25</v>
      </c>
      <c r="BB838" t="n">
        <v>25.03</v>
      </c>
      <c r="BC838" t="n">
        <v>11.85</v>
      </c>
      <c r="BD838" t="inlineStr"/>
      <c r="BE838" t="inlineStr"/>
      <c r="BF838" t="inlineStr"/>
      <c r="BG838" t="inlineStr"/>
      <c r="BH838" t="n">
        <v>0</v>
      </c>
      <c r="BI838" t="n">
        <v>1</v>
      </c>
      <c r="BJ838" t="inlineStr">
        <is>
          <t>ТЕРр Московской обл., 65-10-1, приказ Минстроя России №675/пр от 28.02.2017 № 263/пр</t>
        </is>
      </c>
      <c r="BM838" t="n">
        <v>65007</v>
      </c>
      <c r="BN838" t="n">
        <v>0</v>
      </c>
      <c r="BO838" t="inlineStr">
        <is>
          <t>65-10-1</t>
        </is>
      </c>
      <c r="BP838" t="n">
        <v>1</v>
      </c>
      <c r="BQ838" t="n">
        <v>6</v>
      </c>
      <c r="BR838" t="n">
        <v>0</v>
      </c>
      <c r="BS838" t="n">
        <v>52.25</v>
      </c>
      <c r="BT838" t="n">
        <v>1</v>
      </c>
      <c r="BU838" t="n">
        <v>1</v>
      </c>
      <c r="BV838" t="n">
        <v>1</v>
      </c>
      <c r="BW838" t="n">
        <v>1</v>
      </c>
      <c r="BX838" t="n">
        <v>1</v>
      </c>
      <c r="BY838" t="inlineStr"/>
      <c r="BZ838" t="n">
        <v>103</v>
      </c>
      <c r="CA838" t="n">
        <v>52</v>
      </c>
      <c r="CB838" t="inlineStr"/>
      <c r="CE838" t="n">
        <v>12</v>
      </c>
      <c r="CF838" t="n">
        <v>0</v>
      </c>
      <c r="CG838" t="n">
        <v>0</v>
      </c>
      <c r="CM838" t="n">
        <v>0</v>
      </c>
      <c r="CN838" t="inlineStr"/>
      <c r="CO838" t="n">
        <v>0</v>
      </c>
      <c r="CP838">
        <f>(P838+Q838+S838)</f>
        <v/>
      </c>
      <c r="CQ838">
        <f>AC838*BC838</f>
        <v/>
      </c>
      <c r="CR838">
        <f>(ROUND((ROUND(((ET838)*1),0)*BB838),0)+ROUND((ROUND(((AE838-(EU838))*1),0)*BS838),0))</f>
        <v/>
      </c>
      <c r="CS838">
        <f>(ROUND((ROUND(((EU838)*1),0)*BS838),0)+ROUND((ROUND(((AE838-(EU838))*1),0)*BS838),0))</f>
        <v/>
      </c>
      <c r="CT838">
        <f>AF838*BA838</f>
        <v/>
      </c>
      <c r="CU838">
        <f>AG838</f>
        <v/>
      </c>
      <c r="CV838">
        <f>AH838</f>
        <v/>
      </c>
      <c r="CW838">
        <f>AI838</f>
        <v/>
      </c>
      <c r="CX838">
        <f>AJ838</f>
        <v/>
      </c>
      <c r="CY838">
        <f>(((S838+R838)*AT838)/100)</f>
        <v/>
      </c>
      <c r="CZ838">
        <f>(((S838+R838)*AU838)/100)</f>
        <v/>
      </c>
      <c r="DC838" t="inlineStr"/>
      <c r="DD838" t="inlineStr"/>
      <c r="DE838" t="inlineStr"/>
      <c r="DF838" t="inlineStr"/>
      <c r="DG838" t="inlineStr"/>
      <c r="DH838" t="inlineStr"/>
      <c r="DI838" t="inlineStr"/>
      <c r="DJ838" t="inlineStr"/>
      <c r="DK838" t="inlineStr"/>
      <c r="DL838" t="inlineStr"/>
      <c r="DM838" t="inlineStr"/>
      <c r="DN838" t="n">
        <v>0</v>
      </c>
      <c r="DO838" t="n">
        <v>0</v>
      </c>
      <c r="DP838" t="n">
        <v>1</v>
      </c>
      <c r="DQ838" t="n">
        <v>1</v>
      </c>
      <c r="DU838" t="n">
        <v>1013</v>
      </c>
      <c r="DV838" t="inlineStr">
        <is>
          <t>100 м трубопровода</t>
        </is>
      </c>
      <c r="DW838" t="inlineStr">
        <is>
          <t>100 м трубопровода</t>
        </is>
      </c>
      <c r="DX838" t="n">
        <v>1</v>
      </c>
      <c r="DZ838" t="inlineStr"/>
      <c r="EA838" t="inlineStr"/>
      <c r="EB838" t="inlineStr"/>
      <c r="EC838" t="inlineStr"/>
      <c r="EE838" t="n">
        <v>78726000</v>
      </c>
      <c r="EF838" t="n">
        <v>6</v>
      </c>
      <c r="EG838" t="inlineStr">
        <is>
          <t>Ремонтно-строительные работы</t>
        </is>
      </c>
      <c r="EH838" t="n">
        <v>99</v>
      </c>
      <c r="EI838" t="inlineStr">
        <is>
          <t>Внутренние санитарно-технические работы</t>
        </is>
      </c>
      <c r="EJ838" t="n">
        <v>1</v>
      </c>
      <c r="EK838" t="n">
        <v>65007</v>
      </c>
      <c r="EL838" t="inlineStr">
        <is>
          <t>Внутренние санитарнотехнические работы: смена труб, санприборов, запорной арматуры и другое</t>
        </is>
      </c>
      <c r="EM838" t="inlineStr">
        <is>
          <t>рФЕР-65</t>
        </is>
      </c>
      <c r="EO838" t="inlineStr"/>
      <c r="EQ838" t="n">
        <v>0</v>
      </c>
      <c r="ER838" t="n">
        <v>403.3</v>
      </c>
      <c r="ES838" t="n">
        <v>139.36</v>
      </c>
      <c r="ET838" t="n">
        <v>0.87</v>
      </c>
      <c r="EU838" t="n">
        <v>0</v>
      </c>
      <c r="EV838" t="n">
        <v>263.07</v>
      </c>
      <c r="EW838" t="n">
        <v>32.2</v>
      </c>
      <c r="EX838" t="n">
        <v>0</v>
      </c>
      <c r="EY838" t="n">
        <v>0</v>
      </c>
      <c r="FQ838" t="n">
        <v>0</v>
      </c>
      <c r="FR838" t="n">
        <v>0</v>
      </c>
      <c r="FS838" t="n">
        <v>0</v>
      </c>
      <c r="FX838" t="n">
        <v>103</v>
      </c>
      <c r="FY838" t="n">
        <v>52</v>
      </c>
      <c r="GA838" t="inlineStr"/>
      <c r="GD838" t="n">
        <v>1</v>
      </c>
      <c r="GF838" t="n">
        <v>-66904957</v>
      </c>
      <c r="GG838" t="n">
        <v>2</v>
      </c>
      <c r="GH838" t="n">
        <v>1</v>
      </c>
      <c r="GI838" t="n">
        <v>2</v>
      </c>
      <c r="GJ838" t="n">
        <v>0</v>
      </c>
      <c r="GK838" t="n">
        <v>0</v>
      </c>
      <c r="GL838">
        <f>ROUND(IF(AND(BH838=3,BI838=3,FS838&lt;&gt;0),P838,0),0)</f>
        <v/>
      </c>
      <c r="GM838">
        <f>ROUND(O838+X838+Y838,0)+GX838</f>
        <v/>
      </c>
      <c r="GN838">
        <f>IF(OR(BI838=0,BI838=1),GM838-GX838,0)</f>
        <v/>
      </c>
      <c r="GO838">
        <f>IF(BI838=2,GM838-GX838,0)</f>
        <v/>
      </c>
      <c r="GP838">
        <f>IF(BI838=4,GM838-GX838,0)</f>
        <v/>
      </c>
      <c r="GR838" t="n">
        <v>0</v>
      </c>
      <c r="GS838" t="n">
        <v>3</v>
      </c>
      <c r="GT838" t="n">
        <v>0</v>
      </c>
      <c r="GU838" t="inlineStr"/>
      <c r="GV838">
        <f>ROUND((GT838),2)</f>
        <v/>
      </c>
      <c r="GW838" t="n">
        <v>1</v>
      </c>
      <c r="GX838">
        <f>ROUND(HC838*I838,0)</f>
        <v/>
      </c>
      <c r="HA838" t="n">
        <v>0</v>
      </c>
      <c r="HB838" t="n">
        <v>0</v>
      </c>
      <c r="HC838">
        <f>GV838*GW838</f>
        <v/>
      </c>
      <c r="HE838" t="inlineStr"/>
      <c r="HF838" t="inlineStr"/>
      <c r="HM838" t="inlineStr"/>
      <c r="HN838" t="inlineStr">
        <is>
          <t>Пр/812-099.2-1</t>
        </is>
      </c>
      <c r="HO838" t="inlineStr">
        <is>
          <t>Пр/774-099.2</t>
        </is>
      </c>
      <c r="HP838" t="inlineStr">
        <is>
          <t>Внутренние санитарнотехнические работы: смена труб, санприборов, запорной арматуры и другое</t>
        </is>
      </c>
      <c r="HQ838" t="inlineStr">
        <is>
          <t>Внутренние санитарнотехнические работы: смена труб, санприборов, запорной арматуры и другое</t>
        </is>
      </c>
      <c r="HS838" t="n">
        <v>0</v>
      </c>
      <c r="IK838" t="n">
        <v>0</v>
      </c>
    </row>
    <row r="839">
      <c r="A839" t="n">
        <v>17</v>
      </c>
      <c r="B839" t="n">
        <v>0</v>
      </c>
      <c r="C839">
        <f>ROW(SmtRes!A467)</f>
        <v/>
      </c>
      <c r="D839">
        <f>ROW(EtalonRes!A425)</f>
        <v/>
      </c>
      <c r="E839" t="inlineStr">
        <is>
          <t>2</t>
        </is>
      </c>
      <c r="F839" t="inlineStr">
        <is>
          <t>65-5-1</t>
        </is>
      </c>
      <c r="G839" t="inlineStr">
        <is>
          <t>Смена вентилей и клапанов обратных муфтовых диаметром до 20 мм</t>
        </is>
      </c>
      <c r="H839" t="inlineStr">
        <is>
          <t>100 шт.</t>
        </is>
      </c>
      <c r="I839">
        <f>ROUND(ROUND(2/100,4),7)</f>
        <v/>
      </c>
      <c r="J839" t="n">
        <v>0</v>
      </c>
      <c r="K839">
        <f>ROUND(ROUND(2/100,4),7)</f>
        <v/>
      </c>
      <c r="O839">
        <f>ROUND(CP839,0)</f>
        <v/>
      </c>
      <c r="P839">
        <f>ROUND(CQ839*I839,0)</f>
        <v/>
      </c>
      <c r="Q839">
        <f>(ROUND((ROUND(((ET839)*I839),0)*BB839),0)+ROUND((ROUND(((AE839-(EU839))*I839),0)*BS839),0))</f>
        <v/>
      </c>
      <c r="R839">
        <f>(ROUND((ROUND(((EU839)*I839),0)*BS839),0)+ROUND((ROUND(((AE839-(EU839))*I839),0)*BS839),0))</f>
        <v/>
      </c>
      <c r="S839">
        <f>ROUND(CT839*I839,0)</f>
        <v/>
      </c>
      <c r="T839">
        <f>ROUND(CU839*I839,0)</f>
        <v/>
      </c>
      <c r="U839">
        <f>ROUND(CV839*I839,7)</f>
        <v/>
      </c>
      <c r="V839">
        <f>ROUND(CW839*I839,7)</f>
        <v/>
      </c>
      <c r="W839">
        <f>ROUND(CX839*I839,0)</f>
        <v/>
      </c>
      <c r="X839">
        <f>ROUND(CY839,0)</f>
        <v/>
      </c>
      <c r="Y839">
        <f>ROUND(CZ839,0)</f>
        <v/>
      </c>
      <c r="AA839" t="n">
        <v>78869116</v>
      </c>
      <c r="AB839">
        <f>ROUND((AC839+AD839+AF839),2)</f>
        <v/>
      </c>
      <c r="AC839">
        <f>ROUND((ES839),2)</f>
        <v/>
      </c>
      <c r="AD839">
        <f>ROUND((((ET839)-(EU839))+AE839),2)</f>
        <v/>
      </c>
      <c r="AE839">
        <f>ROUND((EU839),2)</f>
        <v/>
      </c>
      <c r="AF839">
        <f>ROUND((EV839),2)</f>
        <v/>
      </c>
      <c r="AG839">
        <f>ROUND((AP839),2)</f>
        <v/>
      </c>
      <c r="AH839">
        <f>(EW839)</f>
        <v/>
      </c>
      <c r="AI839">
        <f>(EX839)</f>
        <v/>
      </c>
      <c r="AJ839">
        <f>(AS839)</f>
        <v/>
      </c>
      <c r="AK839" t="n">
        <v>2979.16</v>
      </c>
      <c r="AL839" t="n">
        <v>2240.13</v>
      </c>
      <c r="AM839" t="n">
        <v>4.36</v>
      </c>
      <c r="AN839" t="n">
        <v>0</v>
      </c>
      <c r="AO839" t="n">
        <v>734.67</v>
      </c>
      <c r="AP839" t="n">
        <v>0</v>
      </c>
      <c r="AQ839" t="n">
        <v>81</v>
      </c>
      <c r="AR839" t="n">
        <v>0</v>
      </c>
      <c r="AS839" t="n">
        <v>0</v>
      </c>
      <c r="AT839" t="n">
        <v>103</v>
      </c>
      <c r="AU839" t="n">
        <v>52</v>
      </c>
      <c r="AV839" t="n">
        <v>1</v>
      </c>
      <c r="AW839" t="n">
        <v>1</v>
      </c>
      <c r="AZ839" t="n">
        <v>1</v>
      </c>
      <c r="BA839" t="n">
        <v>52.25</v>
      </c>
      <c r="BB839" t="n">
        <v>24.98</v>
      </c>
      <c r="BC839" t="n">
        <v>10.16</v>
      </c>
      <c r="BD839" t="inlineStr"/>
      <c r="BE839" t="inlineStr"/>
      <c r="BF839" t="inlineStr"/>
      <c r="BG839" t="inlineStr"/>
      <c r="BH839" t="n">
        <v>0</v>
      </c>
      <c r="BI839" t="n">
        <v>1</v>
      </c>
      <c r="BJ839" t="inlineStr">
        <is>
          <t>ТЕРр Московской обл., 65-5-1, приказ Минстроя России №675/пр от 28.02.2017 № 263/пр</t>
        </is>
      </c>
      <c r="BM839" t="n">
        <v>65007</v>
      </c>
      <c r="BN839" t="n">
        <v>0</v>
      </c>
      <c r="BO839" t="inlineStr">
        <is>
          <t>65-5-1</t>
        </is>
      </c>
      <c r="BP839" t="n">
        <v>1</v>
      </c>
      <c r="BQ839" t="n">
        <v>6</v>
      </c>
      <c r="BR839" t="n">
        <v>0</v>
      </c>
      <c r="BS839" t="n">
        <v>52.25</v>
      </c>
      <c r="BT839" t="n">
        <v>1</v>
      </c>
      <c r="BU839" t="n">
        <v>1</v>
      </c>
      <c r="BV839" t="n">
        <v>1</v>
      </c>
      <c r="BW839" t="n">
        <v>1</v>
      </c>
      <c r="BX839" t="n">
        <v>1</v>
      </c>
      <c r="BY839" t="inlineStr"/>
      <c r="BZ839" t="n">
        <v>103</v>
      </c>
      <c r="CA839" t="n">
        <v>52</v>
      </c>
      <c r="CB839" t="inlineStr"/>
      <c r="CE839" t="n">
        <v>12</v>
      </c>
      <c r="CF839" t="n">
        <v>0</v>
      </c>
      <c r="CG839" t="n">
        <v>0</v>
      </c>
      <c r="CM839" t="n">
        <v>0</v>
      </c>
      <c r="CN839" t="inlineStr"/>
      <c r="CO839" t="n">
        <v>0</v>
      </c>
      <c r="CP839">
        <f>(P839+Q839+S839)</f>
        <v/>
      </c>
      <c r="CQ839">
        <f>AC839*BC839</f>
        <v/>
      </c>
      <c r="CR839">
        <f>(ROUND((ROUND(((ET839)*1),0)*BB839),0)+ROUND((ROUND(((AE839-(EU839))*1),0)*BS839),0))</f>
        <v/>
      </c>
      <c r="CS839">
        <f>(ROUND((ROUND(((EU839)*1),0)*BS839),0)+ROUND((ROUND(((AE839-(EU839))*1),0)*BS839),0))</f>
        <v/>
      </c>
      <c r="CT839">
        <f>AF839*BA839</f>
        <v/>
      </c>
      <c r="CU839">
        <f>AG839</f>
        <v/>
      </c>
      <c r="CV839">
        <f>AH839</f>
        <v/>
      </c>
      <c r="CW839">
        <f>AI839</f>
        <v/>
      </c>
      <c r="CX839">
        <f>AJ839</f>
        <v/>
      </c>
      <c r="CY839">
        <f>(((S839+R839)*AT839)/100)</f>
        <v/>
      </c>
      <c r="CZ839">
        <f>(((S839+R839)*AU839)/100)</f>
        <v/>
      </c>
      <c r="DC839" t="inlineStr"/>
      <c r="DD839" t="inlineStr"/>
      <c r="DE839" t="inlineStr"/>
      <c r="DF839" t="inlineStr"/>
      <c r="DG839" t="inlineStr"/>
      <c r="DH839" t="inlineStr"/>
      <c r="DI839" t="inlineStr"/>
      <c r="DJ839" t="inlineStr"/>
      <c r="DK839" t="inlineStr"/>
      <c r="DL839" t="inlineStr"/>
      <c r="DM839" t="inlineStr"/>
      <c r="DN839" t="n">
        <v>0</v>
      </c>
      <c r="DO839" t="n">
        <v>0</v>
      </c>
      <c r="DP839" t="n">
        <v>1</v>
      </c>
      <c r="DQ839" t="n">
        <v>1</v>
      </c>
      <c r="DU839" t="n">
        <v>1010</v>
      </c>
      <c r="DV839" t="inlineStr">
        <is>
          <t>100 шт.</t>
        </is>
      </c>
      <c r="DW839" t="inlineStr">
        <is>
          <t>100 шт.</t>
        </is>
      </c>
      <c r="DX839" t="n">
        <v>100</v>
      </c>
      <c r="DZ839" t="inlineStr"/>
      <c r="EA839" t="inlineStr"/>
      <c r="EB839" t="inlineStr"/>
      <c r="EC839" t="inlineStr"/>
      <c r="EE839" t="n">
        <v>78726000</v>
      </c>
      <c r="EF839" t="n">
        <v>6</v>
      </c>
      <c r="EG839" t="inlineStr">
        <is>
          <t>Ремонтно-строительные работы</t>
        </is>
      </c>
      <c r="EH839" t="n">
        <v>99</v>
      </c>
      <c r="EI839" t="inlineStr">
        <is>
          <t>Внутренние санитарно-технические работы</t>
        </is>
      </c>
      <c r="EJ839" t="n">
        <v>1</v>
      </c>
      <c r="EK839" t="n">
        <v>65007</v>
      </c>
      <c r="EL839" t="inlineStr">
        <is>
          <t>Внутренние санитарнотехнические работы: смена труб, санприборов, запорной арматуры и другое</t>
        </is>
      </c>
      <c r="EM839" t="inlineStr">
        <is>
          <t>рФЕР-65</t>
        </is>
      </c>
      <c r="EO839" t="inlineStr"/>
      <c r="EQ839" t="n">
        <v>0</v>
      </c>
      <c r="ER839" t="n">
        <v>2979.16</v>
      </c>
      <c r="ES839" t="n">
        <v>2240.13</v>
      </c>
      <c r="ET839" t="n">
        <v>4.36</v>
      </c>
      <c r="EU839" t="n">
        <v>0</v>
      </c>
      <c r="EV839" t="n">
        <v>734.67</v>
      </c>
      <c r="EW839" t="n">
        <v>81</v>
      </c>
      <c r="EX839" t="n">
        <v>0</v>
      </c>
      <c r="EY839" t="n">
        <v>0</v>
      </c>
      <c r="FQ839" t="n">
        <v>0</v>
      </c>
      <c r="FR839" t="n">
        <v>0</v>
      </c>
      <c r="FS839" t="n">
        <v>0</v>
      </c>
      <c r="FX839" t="n">
        <v>103</v>
      </c>
      <c r="FY839" t="n">
        <v>52</v>
      </c>
      <c r="GA839" t="inlineStr"/>
      <c r="GD839" t="n">
        <v>1</v>
      </c>
      <c r="GF839" t="n">
        <v>152852496</v>
      </c>
      <c r="GG839" t="n">
        <v>2</v>
      </c>
      <c r="GH839" t="n">
        <v>1</v>
      </c>
      <c r="GI839" t="n">
        <v>2</v>
      </c>
      <c r="GJ839" t="n">
        <v>0</v>
      </c>
      <c r="GK839" t="n">
        <v>0</v>
      </c>
      <c r="GL839">
        <f>ROUND(IF(AND(BH839=3,BI839=3,FS839&lt;&gt;0),P839,0),0)</f>
        <v/>
      </c>
      <c r="GM839">
        <f>ROUND(O839+X839+Y839,0)+GX839</f>
        <v/>
      </c>
      <c r="GN839">
        <f>IF(OR(BI839=0,BI839=1),GM839-GX839,0)</f>
        <v/>
      </c>
      <c r="GO839">
        <f>IF(BI839=2,GM839-GX839,0)</f>
        <v/>
      </c>
      <c r="GP839">
        <f>IF(BI839=4,GM839-GX839,0)</f>
        <v/>
      </c>
      <c r="GR839" t="n">
        <v>0</v>
      </c>
      <c r="GS839" t="n">
        <v>3</v>
      </c>
      <c r="GT839" t="n">
        <v>0</v>
      </c>
      <c r="GU839" t="inlineStr"/>
      <c r="GV839">
        <f>ROUND((GT839),2)</f>
        <v/>
      </c>
      <c r="GW839" t="n">
        <v>1</v>
      </c>
      <c r="GX839">
        <f>ROUND(HC839*I839,0)</f>
        <v/>
      </c>
      <c r="HA839" t="n">
        <v>0</v>
      </c>
      <c r="HB839" t="n">
        <v>0</v>
      </c>
      <c r="HC839">
        <f>GV839*GW839</f>
        <v/>
      </c>
      <c r="HE839" t="inlineStr"/>
      <c r="HF839" t="inlineStr"/>
      <c r="HM839" t="inlineStr"/>
      <c r="HN839" t="inlineStr">
        <is>
          <t>Пр/812-099.2-1</t>
        </is>
      </c>
      <c r="HO839" t="inlineStr">
        <is>
          <t>Пр/774-099.2</t>
        </is>
      </c>
      <c r="HP839" t="inlineStr">
        <is>
          <t>Внутренние санитарнотехнические работы: смена труб, санприборов, запорной арматуры и другое</t>
        </is>
      </c>
      <c r="HQ839" t="inlineStr">
        <is>
          <t>Внутренние санитарнотехнические работы: смена труб, санприборов, запорной арматуры и другое</t>
        </is>
      </c>
      <c r="HS839" t="n">
        <v>0</v>
      </c>
      <c r="IK839" t="n">
        <v>0</v>
      </c>
    </row>
    <row r="840">
      <c r="A840" t="n">
        <v>18</v>
      </c>
      <c r="B840" t="n">
        <v>0</v>
      </c>
      <c r="C840" t="n">
        <v>467</v>
      </c>
      <c r="E840" t="inlineStr">
        <is>
          <t>2,1</t>
        </is>
      </c>
      <c r="F840" t="inlineStr">
        <is>
          <t>509-9899</t>
        </is>
      </c>
      <c r="G840" t="inlineStr">
        <is>
          <t>Строительный мусор и масса возвратных материалов</t>
        </is>
      </c>
      <c r="H840" t="inlineStr">
        <is>
          <t>т</t>
        </is>
      </c>
      <c r="I840">
        <f>I839*J840</f>
        <v/>
      </c>
      <c r="J840" t="n">
        <v>0.04</v>
      </c>
      <c r="K840" t="n">
        <v>0.04</v>
      </c>
      <c r="O840">
        <f>ROUND(CP840,0)</f>
        <v/>
      </c>
      <c r="P840">
        <f>ROUND(CQ840*I840,0)</f>
        <v/>
      </c>
      <c r="Q840">
        <f>(ROUND((ROUND(((ET840)*I840),0)*BB840),0)+ROUND((ROUND(((AE840-(EU840))*I840),0)*BS840),0))</f>
        <v/>
      </c>
      <c r="R840">
        <f>(ROUND((ROUND(((EU840)*I840),0)*BS840),0)+ROUND((ROUND(((AE840-(EU840))*I840),0)*BS840),0))</f>
        <v/>
      </c>
      <c r="S840">
        <f>ROUND(CT840*I840,0)</f>
        <v/>
      </c>
      <c r="T840">
        <f>ROUND(CU840*I840,0)</f>
        <v/>
      </c>
      <c r="U840">
        <f>ROUND(CV840*I840,7)</f>
        <v/>
      </c>
      <c r="V840">
        <f>ROUND(CW840*I840,7)</f>
        <v/>
      </c>
      <c r="W840">
        <f>ROUND(CX840*I840,0)</f>
        <v/>
      </c>
      <c r="X840">
        <f>ROUND(CY840,0)</f>
        <v/>
      </c>
      <c r="Y840">
        <f>ROUND(CZ840,0)</f>
        <v/>
      </c>
      <c r="AA840" t="n">
        <v>78869116</v>
      </c>
      <c r="AB840">
        <f>ROUND((AC840+AD840+AF840),2)</f>
        <v/>
      </c>
      <c r="AC840">
        <f>ROUND((ES840),2)</f>
        <v/>
      </c>
      <c r="AD840">
        <f>ROUND((((ET840)-(EU840))+AE840),2)</f>
        <v/>
      </c>
      <c r="AE840">
        <f>ROUND((EU840),2)</f>
        <v/>
      </c>
      <c r="AF840">
        <f>ROUND((EV840),2)</f>
        <v/>
      </c>
      <c r="AG840">
        <f>ROUND((AP840),2)</f>
        <v/>
      </c>
      <c r="AH840">
        <f>(EW840)</f>
        <v/>
      </c>
      <c r="AI840">
        <f>(EX840)</f>
        <v/>
      </c>
      <c r="AJ840">
        <f>(AS840)</f>
        <v/>
      </c>
      <c r="AK840" t="n">
        <v>0</v>
      </c>
      <c r="AL840" t="n">
        <v>0</v>
      </c>
      <c r="AM840" t="n">
        <v>0</v>
      </c>
      <c r="AN840" t="n">
        <v>0</v>
      </c>
      <c r="AO840" t="n">
        <v>0</v>
      </c>
      <c r="AP840" t="n">
        <v>0</v>
      </c>
      <c r="AQ840" t="n">
        <v>0</v>
      </c>
      <c r="AR840" t="n">
        <v>0</v>
      </c>
      <c r="AS840" t="n">
        <v>0</v>
      </c>
      <c r="AT840" t="n">
        <v>103</v>
      </c>
      <c r="AU840" t="n">
        <v>52</v>
      </c>
      <c r="AV840" t="n">
        <v>1</v>
      </c>
      <c r="AW840" t="n">
        <v>1</v>
      </c>
      <c r="AZ840" t="n">
        <v>1</v>
      </c>
      <c r="BA840" t="n">
        <v>1</v>
      </c>
      <c r="BB840" t="n">
        <v>1</v>
      </c>
      <c r="BC840" t="n">
        <v>1</v>
      </c>
      <c r="BD840" t="inlineStr"/>
      <c r="BE840" t="inlineStr"/>
      <c r="BF840" t="inlineStr"/>
      <c r="BG840" t="inlineStr"/>
      <c r="BH840" t="n">
        <v>3</v>
      </c>
      <c r="BI840" t="n">
        <v>1</v>
      </c>
      <c r="BJ840" t="inlineStr">
        <is>
          <t>ТССЦ Московской обл., 509-9899, приказ Минстроя России №675/пр от 28.02.2017 № 258/пр</t>
        </is>
      </c>
      <c r="BM840" t="n">
        <v>65007</v>
      </c>
      <c r="BN840" t="n">
        <v>0</v>
      </c>
      <c r="BO840" t="inlineStr"/>
      <c r="BP840" t="n">
        <v>0</v>
      </c>
      <c r="BQ840" t="n">
        <v>6</v>
      </c>
      <c r="BR840" t="n">
        <v>0</v>
      </c>
      <c r="BS840" t="n">
        <v>1</v>
      </c>
      <c r="BT840" t="n">
        <v>1</v>
      </c>
      <c r="BU840" t="n">
        <v>1</v>
      </c>
      <c r="BV840" t="n">
        <v>1</v>
      </c>
      <c r="BW840" t="n">
        <v>1</v>
      </c>
      <c r="BX840" t="n">
        <v>1</v>
      </c>
      <c r="BY840" t="inlineStr"/>
      <c r="BZ840" t="n">
        <v>103</v>
      </c>
      <c r="CA840" t="n">
        <v>52</v>
      </c>
      <c r="CB840" t="inlineStr"/>
      <c r="CE840" t="n">
        <v>12</v>
      </c>
      <c r="CF840" t="n">
        <v>0</v>
      </c>
      <c r="CG840" t="n">
        <v>0</v>
      </c>
      <c r="CM840" t="n">
        <v>0</v>
      </c>
      <c r="CN840" t="inlineStr"/>
      <c r="CO840" t="n">
        <v>0</v>
      </c>
      <c r="CP840">
        <f>(P840+Q840+S840)</f>
        <v/>
      </c>
      <c r="CQ840">
        <f>AC840*BC840</f>
        <v/>
      </c>
      <c r="CR840">
        <f>(ROUND((ROUND(((ET840)*1),0)*BB840),0)+ROUND((ROUND(((AE840-(EU840))*1),0)*BS840),0))</f>
        <v/>
      </c>
      <c r="CS840">
        <f>(ROUND((ROUND(((EU840)*1),0)*BS840),0)+ROUND((ROUND(((AE840-(EU840))*1),0)*BS840),0))</f>
        <v/>
      </c>
      <c r="CT840">
        <f>AF840*BA840</f>
        <v/>
      </c>
      <c r="CU840">
        <f>AG840</f>
        <v/>
      </c>
      <c r="CV840">
        <f>AH840</f>
        <v/>
      </c>
      <c r="CW840">
        <f>AI840</f>
        <v/>
      </c>
      <c r="CX840">
        <f>AJ840</f>
        <v/>
      </c>
      <c r="CY840">
        <f>(((S840+R840)*AT840)/100)</f>
        <v/>
      </c>
      <c r="CZ840">
        <f>(((S840+R840)*AU840)/100)</f>
        <v/>
      </c>
      <c r="DC840" t="inlineStr"/>
      <c r="DD840" t="inlineStr"/>
      <c r="DE840" t="inlineStr"/>
      <c r="DF840" t="inlineStr"/>
      <c r="DG840" t="inlineStr"/>
      <c r="DH840" t="inlineStr"/>
      <c r="DI840" t="inlineStr"/>
      <c r="DJ840" t="inlineStr"/>
      <c r="DK840" t="inlineStr"/>
      <c r="DL840" t="inlineStr"/>
      <c r="DM840" t="inlineStr"/>
      <c r="DN840" t="n">
        <v>0</v>
      </c>
      <c r="DO840" t="n">
        <v>0</v>
      </c>
      <c r="DP840" t="n">
        <v>1</v>
      </c>
      <c r="DQ840" t="n">
        <v>1</v>
      </c>
      <c r="DU840" t="n">
        <v>1009</v>
      </c>
      <c r="DV840" t="inlineStr">
        <is>
          <t>т</t>
        </is>
      </c>
      <c r="DW840" t="inlineStr">
        <is>
          <t>т</t>
        </is>
      </c>
      <c r="DX840" t="n">
        <v>1000</v>
      </c>
      <c r="DZ840" t="inlineStr"/>
      <c r="EA840" t="inlineStr"/>
      <c r="EB840" t="inlineStr"/>
      <c r="EC840" t="inlineStr"/>
      <c r="EE840" t="n">
        <v>78726000</v>
      </c>
      <c r="EF840" t="n">
        <v>6</v>
      </c>
      <c r="EG840" t="inlineStr">
        <is>
          <t>Ремонтно-строительные работы</t>
        </is>
      </c>
      <c r="EH840" t="n">
        <v>99</v>
      </c>
      <c r="EI840" t="inlineStr">
        <is>
          <t>Внутренние санитарно-технические работы</t>
        </is>
      </c>
      <c r="EJ840" t="n">
        <v>1</v>
      </c>
      <c r="EK840" t="n">
        <v>65007</v>
      </c>
      <c r="EL840" t="inlineStr">
        <is>
          <t>Внутренние санитарнотехнические работы: смена труб, санприборов, запорной арматуры и другое</t>
        </is>
      </c>
      <c r="EM840" t="inlineStr">
        <is>
          <t>рФЕР-65</t>
        </is>
      </c>
      <c r="EO840" t="inlineStr"/>
      <c r="EQ840" t="n">
        <v>0</v>
      </c>
      <c r="ER840" t="n">
        <v>0</v>
      </c>
      <c r="ES840" t="n">
        <v>0</v>
      </c>
      <c r="ET840" t="n">
        <v>0</v>
      </c>
      <c r="EU840" t="n">
        <v>0</v>
      </c>
      <c r="EV840" t="n">
        <v>0</v>
      </c>
      <c r="EW840" t="n">
        <v>0</v>
      </c>
      <c r="EX840" t="n">
        <v>0</v>
      </c>
      <c r="FQ840" t="n">
        <v>0</v>
      </c>
      <c r="FR840" t="n">
        <v>0</v>
      </c>
      <c r="FS840" t="n">
        <v>0</v>
      </c>
      <c r="FX840" t="n">
        <v>103</v>
      </c>
      <c r="FY840" t="n">
        <v>52</v>
      </c>
      <c r="GA840" t="inlineStr"/>
      <c r="GD840" t="n">
        <v>1</v>
      </c>
      <c r="GF840" t="n">
        <v>1839160745</v>
      </c>
      <c r="GG840" t="n">
        <v>2</v>
      </c>
      <c r="GH840" t="n">
        <v>1</v>
      </c>
      <c r="GI840" t="n">
        <v>-2</v>
      </c>
      <c r="GJ840" t="n">
        <v>0</v>
      </c>
      <c r="GK840" t="n">
        <v>0</v>
      </c>
      <c r="GL840">
        <f>ROUND(IF(AND(BH840=3,BI840=3,FS840&lt;&gt;0),P840,0),0)</f>
        <v/>
      </c>
      <c r="GM840">
        <f>ROUND(O840+X840+Y840,0)+GX840</f>
        <v/>
      </c>
      <c r="GN840">
        <f>IF(OR(BI840=0,BI840=1),GM840-GX840,0)</f>
        <v/>
      </c>
      <c r="GO840">
        <f>IF(BI840=2,GM840-GX840,0)</f>
        <v/>
      </c>
      <c r="GP840">
        <f>IF(BI840=4,GM840-GX840,0)</f>
        <v/>
      </c>
      <c r="GR840" t="n">
        <v>0</v>
      </c>
      <c r="GS840" t="n">
        <v>3</v>
      </c>
      <c r="GT840" t="n">
        <v>0</v>
      </c>
      <c r="GU840" t="inlineStr"/>
      <c r="GV840">
        <f>ROUND((GT840),2)</f>
        <v/>
      </c>
      <c r="GW840" t="n">
        <v>1</v>
      </c>
      <c r="GX840">
        <f>ROUND(HC840*I840,0)</f>
        <v/>
      </c>
      <c r="HA840" t="n">
        <v>0</v>
      </c>
      <c r="HB840" t="n">
        <v>0</v>
      </c>
      <c r="HC840">
        <f>GV840*GW840</f>
        <v/>
      </c>
      <c r="HE840" t="inlineStr"/>
      <c r="HF840" t="inlineStr"/>
      <c r="HM840" t="inlineStr"/>
      <c r="HN840" t="inlineStr">
        <is>
          <t>Пр/812-099.2-1</t>
        </is>
      </c>
      <c r="HO840" t="inlineStr">
        <is>
          <t>Пр/774-099.2</t>
        </is>
      </c>
      <c r="HP840" t="inlineStr">
        <is>
          <t>Внутренние санитарнотехнические работы: смена труб, санприборов, запорной арматуры и другое</t>
        </is>
      </c>
      <c r="HQ840" t="inlineStr">
        <is>
          <t>Внутренние санитарнотехнические работы: смена труб, санприборов, запорной арматуры и другое</t>
        </is>
      </c>
      <c r="HS840" t="n">
        <v>0</v>
      </c>
      <c r="IK840" t="n">
        <v>0</v>
      </c>
    </row>
    <row r="841">
      <c r="A841" t="n">
        <v>18</v>
      </c>
      <c r="B841" t="n">
        <v>0</v>
      </c>
      <c r="C841" t="n">
        <v>462</v>
      </c>
      <c r="E841" t="inlineStr">
        <is>
          <t>2,2</t>
        </is>
      </c>
      <c r="F841" t="inlineStr">
        <is>
          <t>302-0062</t>
        </is>
      </c>
      <c r="G841" t="inlineStr">
        <is>
          <t>Кран шаровый муфтовый Valtec для воды диаметром 15 мм, тип в/в</t>
        </is>
      </c>
      <c r="H841" t="inlineStr">
        <is>
          <t>шт.</t>
        </is>
      </c>
      <c r="I841">
        <f>I839*J841</f>
        <v/>
      </c>
      <c r="J841" t="n">
        <v>50</v>
      </c>
      <c r="K841" t="n">
        <v>50</v>
      </c>
      <c r="O841">
        <f>ROUND(CP841,0)</f>
        <v/>
      </c>
      <c r="P841">
        <f>ROUND(CQ841*I841,0)</f>
        <v/>
      </c>
      <c r="Q841">
        <f>(ROUND((ROUND(((ET841)*I841),0)*BB841),0)+ROUND((ROUND(((AE841-(EU841))*I841),0)*BS841),0))</f>
        <v/>
      </c>
      <c r="R841">
        <f>(ROUND((ROUND(((EU841)*I841),0)*BS841),0)+ROUND((ROUND(((AE841-(EU841))*I841),0)*BS841),0))</f>
        <v/>
      </c>
      <c r="S841">
        <f>ROUND(CT841*I841,0)</f>
        <v/>
      </c>
      <c r="T841">
        <f>ROUND(CU841*I841,0)</f>
        <v/>
      </c>
      <c r="U841">
        <f>ROUND(CV841*I841,7)</f>
        <v/>
      </c>
      <c r="V841">
        <f>ROUND(CW841*I841,7)</f>
        <v/>
      </c>
      <c r="W841">
        <f>ROUND(CX841*I841,0)</f>
        <v/>
      </c>
      <c r="X841">
        <f>ROUND(CY841,0)</f>
        <v/>
      </c>
      <c r="Y841">
        <f>ROUND(CZ841,0)</f>
        <v/>
      </c>
      <c r="AA841" t="n">
        <v>78869116</v>
      </c>
      <c r="AB841">
        <f>ROUND((AC841+AD841+AF841),2)</f>
        <v/>
      </c>
      <c r="AC841">
        <f>ROUND((ES841),2)</f>
        <v/>
      </c>
      <c r="AD841">
        <f>ROUND((((ET841)-(EU841))+AE841),2)</f>
        <v/>
      </c>
      <c r="AE841">
        <f>ROUND((EU841),2)</f>
        <v/>
      </c>
      <c r="AF841">
        <f>ROUND((EV841),2)</f>
        <v/>
      </c>
      <c r="AG841">
        <f>ROUND((AP841),2)</f>
        <v/>
      </c>
      <c r="AH841">
        <f>(EW841)</f>
        <v/>
      </c>
      <c r="AI841">
        <f>(EX841)</f>
        <v/>
      </c>
      <c r="AJ841">
        <f>(AS841)</f>
        <v/>
      </c>
      <c r="AK841" t="n">
        <v>28.53</v>
      </c>
      <c r="AL841" t="n">
        <v>28.53</v>
      </c>
      <c r="AM841" t="n">
        <v>0</v>
      </c>
      <c r="AN841" t="n">
        <v>0</v>
      </c>
      <c r="AO841" t="n">
        <v>0</v>
      </c>
      <c r="AP841" t="n">
        <v>0</v>
      </c>
      <c r="AQ841" t="n">
        <v>0</v>
      </c>
      <c r="AR841" t="n">
        <v>0</v>
      </c>
      <c r="AS841" t="n">
        <v>0.01</v>
      </c>
      <c r="AT841" t="n">
        <v>103</v>
      </c>
      <c r="AU841" t="n">
        <v>52</v>
      </c>
      <c r="AV841" t="n">
        <v>1</v>
      </c>
      <c r="AW841" t="n">
        <v>1</v>
      </c>
      <c r="AZ841" t="n">
        <v>1</v>
      </c>
      <c r="BA841" t="n">
        <v>1</v>
      </c>
      <c r="BB841" t="n">
        <v>1</v>
      </c>
      <c r="BC841" t="n">
        <v>13.47</v>
      </c>
      <c r="BD841" t="inlineStr"/>
      <c r="BE841" t="inlineStr"/>
      <c r="BF841" t="inlineStr"/>
      <c r="BG841" t="inlineStr"/>
      <c r="BH841" t="n">
        <v>3</v>
      </c>
      <c r="BI841" t="n">
        <v>1</v>
      </c>
      <c r="BJ841" t="inlineStr">
        <is>
          <t>ТССЦ Московской обл., 302-0062, приказ Минстроя России №675/пр от 28.02.2017 № 256/пр</t>
        </is>
      </c>
      <c r="BM841" t="n">
        <v>65007</v>
      </c>
      <c r="BN841" t="n">
        <v>0</v>
      </c>
      <c r="BO841" t="inlineStr">
        <is>
          <t>302-0062</t>
        </is>
      </c>
      <c r="BP841" t="n">
        <v>1</v>
      </c>
      <c r="BQ841" t="n">
        <v>6</v>
      </c>
      <c r="BR841" t="n">
        <v>0</v>
      </c>
      <c r="BS841" t="n">
        <v>1</v>
      </c>
      <c r="BT841" t="n">
        <v>1</v>
      </c>
      <c r="BU841" t="n">
        <v>1</v>
      </c>
      <c r="BV841" t="n">
        <v>1</v>
      </c>
      <c r="BW841" t="n">
        <v>1</v>
      </c>
      <c r="BX841" t="n">
        <v>1</v>
      </c>
      <c r="BY841" t="inlineStr"/>
      <c r="BZ841" t="n">
        <v>103</v>
      </c>
      <c r="CA841" t="n">
        <v>52</v>
      </c>
      <c r="CB841" t="inlineStr"/>
      <c r="CE841" t="n">
        <v>12</v>
      </c>
      <c r="CF841" t="n">
        <v>0</v>
      </c>
      <c r="CG841" t="n">
        <v>0</v>
      </c>
      <c r="CM841" t="n">
        <v>0</v>
      </c>
      <c r="CN841" t="inlineStr"/>
      <c r="CO841" t="n">
        <v>0</v>
      </c>
      <c r="CP841">
        <f>(P841+Q841+S841)</f>
        <v/>
      </c>
      <c r="CQ841">
        <f>AC841*BC841</f>
        <v/>
      </c>
      <c r="CR841">
        <f>(ROUND((ROUND(((ET841)*1),0)*BB841),0)+ROUND((ROUND(((AE841-(EU841))*1),0)*BS841),0))</f>
        <v/>
      </c>
      <c r="CS841">
        <f>(ROUND((ROUND(((EU841)*1),0)*BS841),0)+ROUND((ROUND(((AE841-(EU841))*1),0)*BS841),0))</f>
        <v/>
      </c>
      <c r="CT841">
        <f>AF841*BA841</f>
        <v/>
      </c>
      <c r="CU841">
        <f>AG841</f>
        <v/>
      </c>
      <c r="CV841">
        <f>AH841</f>
        <v/>
      </c>
      <c r="CW841">
        <f>AI841</f>
        <v/>
      </c>
      <c r="CX841">
        <f>AJ841</f>
        <v/>
      </c>
      <c r="CY841">
        <f>(((S841+R841)*AT841)/100)</f>
        <v/>
      </c>
      <c r="CZ841">
        <f>(((S841+R841)*AU841)/100)</f>
        <v/>
      </c>
      <c r="DC841" t="inlineStr"/>
      <c r="DD841" t="inlineStr"/>
      <c r="DE841" t="inlineStr"/>
      <c r="DF841" t="inlineStr"/>
      <c r="DG841" t="inlineStr"/>
      <c r="DH841" t="inlineStr"/>
      <c r="DI841" t="inlineStr"/>
      <c r="DJ841" t="inlineStr"/>
      <c r="DK841" t="inlineStr"/>
      <c r="DL841" t="inlineStr"/>
      <c r="DM841" t="inlineStr"/>
      <c r="DN841" t="n">
        <v>0</v>
      </c>
      <c r="DO841" t="n">
        <v>0</v>
      </c>
      <c r="DP841" t="n">
        <v>1</v>
      </c>
      <c r="DQ841" t="n">
        <v>1</v>
      </c>
      <c r="DU841" t="n">
        <v>1010</v>
      </c>
      <c r="DV841" t="inlineStr">
        <is>
          <t>шт.</t>
        </is>
      </c>
      <c r="DW841" t="inlineStr">
        <is>
          <t>шт.</t>
        </is>
      </c>
      <c r="DX841" t="n">
        <v>1</v>
      </c>
      <c r="DZ841" t="inlineStr"/>
      <c r="EA841" t="inlineStr"/>
      <c r="EB841" t="inlineStr"/>
      <c r="EC841" t="inlineStr"/>
      <c r="EE841" t="n">
        <v>78726000</v>
      </c>
      <c r="EF841" t="n">
        <v>6</v>
      </c>
      <c r="EG841" t="inlineStr">
        <is>
          <t>Ремонтно-строительные работы</t>
        </is>
      </c>
      <c r="EH841" t="n">
        <v>99</v>
      </c>
      <c r="EI841" t="inlineStr">
        <is>
          <t>Внутренние санитарно-технические работы</t>
        </is>
      </c>
      <c r="EJ841" t="n">
        <v>1</v>
      </c>
      <c r="EK841" t="n">
        <v>65007</v>
      </c>
      <c r="EL841" t="inlineStr">
        <is>
          <t>Внутренние санитарнотехнические работы: смена труб, санприборов, запорной арматуры и другое</t>
        </is>
      </c>
      <c r="EM841" t="inlineStr">
        <is>
          <t>рФЕР-65</t>
        </is>
      </c>
      <c r="EO841" t="inlineStr"/>
      <c r="EQ841" t="n">
        <v>0</v>
      </c>
      <c r="ER841" t="n">
        <v>28.53</v>
      </c>
      <c r="ES841" t="n">
        <v>28.53</v>
      </c>
      <c r="ET841" t="n">
        <v>0</v>
      </c>
      <c r="EU841" t="n">
        <v>0</v>
      </c>
      <c r="EV841" t="n">
        <v>0</v>
      </c>
      <c r="EW841" t="n">
        <v>0</v>
      </c>
      <c r="EX841" t="n">
        <v>0</v>
      </c>
      <c r="FQ841" t="n">
        <v>0</v>
      </c>
      <c r="FR841" t="n">
        <v>0</v>
      </c>
      <c r="FS841" t="n">
        <v>0</v>
      </c>
      <c r="FX841" t="n">
        <v>103</v>
      </c>
      <c r="FY841" t="n">
        <v>52</v>
      </c>
      <c r="GA841" t="inlineStr"/>
      <c r="GD841" t="n">
        <v>1</v>
      </c>
      <c r="GF841" t="n">
        <v>-1687406522</v>
      </c>
      <c r="GG841" t="n">
        <v>2</v>
      </c>
      <c r="GH841" t="n">
        <v>1</v>
      </c>
      <c r="GI841" t="n">
        <v>2</v>
      </c>
      <c r="GJ841" t="n">
        <v>0</v>
      </c>
      <c r="GK841" t="n">
        <v>0</v>
      </c>
      <c r="GL841">
        <f>ROUND(IF(AND(BH841=3,BI841=3,FS841&lt;&gt;0),P841,0),0)</f>
        <v/>
      </c>
      <c r="GM841">
        <f>ROUND(O841+X841+Y841,0)+GX841</f>
        <v/>
      </c>
      <c r="GN841">
        <f>IF(OR(BI841=0,BI841=1),GM841-GX841,0)</f>
        <v/>
      </c>
      <c r="GO841">
        <f>IF(BI841=2,GM841-GX841,0)</f>
        <v/>
      </c>
      <c r="GP841">
        <f>IF(BI841=4,GM841-GX841,0)</f>
        <v/>
      </c>
      <c r="GR841" t="n">
        <v>0</v>
      </c>
      <c r="GS841" t="n">
        <v>3</v>
      </c>
      <c r="GT841" t="n">
        <v>0</v>
      </c>
      <c r="GU841" t="inlineStr"/>
      <c r="GV841">
        <f>ROUND((GT841),2)</f>
        <v/>
      </c>
      <c r="GW841" t="n">
        <v>1</v>
      </c>
      <c r="GX841">
        <f>ROUND(HC841*I841,0)</f>
        <v/>
      </c>
      <c r="HA841" t="n">
        <v>0</v>
      </c>
      <c r="HB841" t="n">
        <v>0</v>
      </c>
      <c r="HC841">
        <f>GV841*GW841</f>
        <v/>
      </c>
      <c r="HE841" t="inlineStr"/>
      <c r="HF841" t="inlineStr"/>
      <c r="HM841" t="inlineStr"/>
      <c r="HN841" t="inlineStr">
        <is>
          <t>Пр/812-099.2-1</t>
        </is>
      </c>
      <c r="HO841" t="inlineStr">
        <is>
          <t>Пр/774-099.2</t>
        </is>
      </c>
      <c r="HP841" t="inlineStr">
        <is>
          <t>Внутренние санитарнотехнические работы: смена труб, санприборов, запорной арматуры и другое</t>
        </is>
      </c>
      <c r="HQ841" t="inlineStr">
        <is>
          <t>Внутренние санитарнотехнические работы: смена труб, санприборов, запорной арматуры и другое</t>
        </is>
      </c>
      <c r="HS841" t="n">
        <v>0</v>
      </c>
      <c r="IK841" t="n">
        <v>0</v>
      </c>
    </row>
    <row r="842">
      <c r="A842" t="n">
        <v>18</v>
      </c>
      <c r="B842" t="n">
        <v>0</v>
      </c>
      <c r="C842" t="n">
        <v>463</v>
      </c>
      <c r="E842" t="inlineStr">
        <is>
          <t>2,3</t>
        </is>
      </c>
      <c r="F842" t="inlineStr">
        <is>
          <t>302-0063</t>
        </is>
      </c>
      <c r="G842" t="inlineStr">
        <is>
          <t>Кран шаровый муфтовый Valtec для воды диаметром 20 мм, тип в/в</t>
        </is>
      </c>
      <c r="H842" t="inlineStr">
        <is>
          <t>шт.</t>
        </is>
      </c>
      <c r="I842">
        <f>I839*J842</f>
        <v/>
      </c>
      <c r="J842" t="n">
        <v>100</v>
      </c>
      <c r="K842" t="n">
        <v>100</v>
      </c>
      <c r="O842">
        <f>ROUND(CP842,0)</f>
        <v/>
      </c>
      <c r="P842">
        <f>ROUND(CQ842*I842,0)</f>
        <v/>
      </c>
      <c r="Q842">
        <f>(ROUND((ROUND(((ET842)*I842),0)*BB842),0)+ROUND((ROUND(((AE842-(EU842))*I842),0)*BS842),0))</f>
        <v/>
      </c>
      <c r="R842">
        <f>(ROUND((ROUND(((EU842)*I842),0)*BS842),0)+ROUND((ROUND(((AE842-(EU842))*I842),0)*BS842),0))</f>
        <v/>
      </c>
      <c r="S842">
        <f>ROUND(CT842*I842,0)</f>
        <v/>
      </c>
      <c r="T842">
        <f>ROUND(CU842*I842,0)</f>
        <v/>
      </c>
      <c r="U842">
        <f>ROUND(CV842*I842,7)</f>
        <v/>
      </c>
      <c r="V842">
        <f>ROUND(CW842*I842,7)</f>
        <v/>
      </c>
      <c r="W842">
        <f>ROUND(CX842*I842,0)</f>
        <v/>
      </c>
      <c r="X842">
        <f>ROUND(CY842,0)</f>
        <v/>
      </c>
      <c r="Y842">
        <f>ROUND(CZ842,0)</f>
        <v/>
      </c>
      <c r="AA842" t="n">
        <v>78869116</v>
      </c>
      <c r="AB842">
        <f>ROUND((AC842+AD842+AF842),2)</f>
        <v/>
      </c>
      <c r="AC842">
        <f>ROUND((ES842),2)</f>
        <v/>
      </c>
      <c r="AD842">
        <f>ROUND((((ET842)-(EU842))+AE842),2)</f>
        <v/>
      </c>
      <c r="AE842">
        <f>ROUND((EU842),2)</f>
        <v/>
      </c>
      <c r="AF842">
        <f>ROUND((EV842),2)</f>
        <v/>
      </c>
      <c r="AG842">
        <f>ROUND((AP842),2)</f>
        <v/>
      </c>
      <c r="AH842">
        <f>(EW842)</f>
        <v/>
      </c>
      <c r="AI842">
        <f>(EX842)</f>
        <v/>
      </c>
      <c r="AJ842">
        <f>(AS842)</f>
        <v/>
      </c>
      <c r="AK842" t="n">
        <v>42.46</v>
      </c>
      <c r="AL842" t="n">
        <v>42.46</v>
      </c>
      <c r="AM842" t="n">
        <v>0</v>
      </c>
      <c r="AN842" t="n">
        <v>0</v>
      </c>
      <c r="AO842" t="n">
        <v>0</v>
      </c>
      <c r="AP842" t="n">
        <v>0</v>
      </c>
      <c r="AQ842" t="n">
        <v>0</v>
      </c>
      <c r="AR842" t="n">
        <v>0</v>
      </c>
      <c r="AS842" t="n">
        <v>0.01</v>
      </c>
      <c r="AT842" t="n">
        <v>103</v>
      </c>
      <c r="AU842" t="n">
        <v>52</v>
      </c>
      <c r="AV842" t="n">
        <v>1</v>
      </c>
      <c r="AW842" t="n">
        <v>1</v>
      </c>
      <c r="AZ842" t="n">
        <v>1</v>
      </c>
      <c r="BA842" t="n">
        <v>1</v>
      </c>
      <c r="BB842" t="n">
        <v>1</v>
      </c>
      <c r="BC842" t="n">
        <v>13.78</v>
      </c>
      <c r="BD842" t="inlineStr"/>
      <c r="BE842" t="inlineStr"/>
      <c r="BF842" t="inlineStr"/>
      <c r="BG842" t="inlineStr"/>
      <c r="BH842" t="n">
        <v>3</v>
      </c>
      <c r="BI842" t="n">
        <v>1</v>
      </c>
      <c r="BJ842" t="inlineStr">
        <is>
          <t>ТССЦ Московской обл., 302-0063, приказ Минстроя России №675/пр от 28.02.2017 № 256/пр</t>
        </is>
      </c>
      <c r="BM842" t="n">
        <v>65007</v>
      </c>
      <c r="BN842" t="n">
        <v>0</v>
      </c>
      <c r="BO842" t="inlineStr">
        <is>
          <t>302-0063</t>
        </is>
      </c>
      <c r="BP842" t="n">
        <v>1</v>
      </c>
      <c r="BQ842" t="n">
        <v>6</v>
      </c>
      <c r="BR842" t="n">
        <v>0</v>
      </c>
      <c r="BS842" t="n">
        <v>1</v>
      </c>
      <c r="BT842" t="n">
        <v>1</v>
      </c>
      <c r="BU842" t="n">
        <v>1</v>
      </c>
      <c r="BV842" t="n">
        <v>1</v>
      </c>
      <c r="BW842" t="n">
        <v>1</v>
      </c>
      <c r="BX842" t="n">
        <v>1</v>
      </c>
      <c r="BY842" t="inlineStr"/>
      <c r="BZ842" t="n">
        <v>103</v>
      </c>
      <c r="CA842" t="n">
        <v>52</v>
      </c>
      <c r="CB842" t="inlineStr"/>
      <c r="CE842" t="n">
        <v>12</v>
      </c>
      <c r="CF842" t="n">
        <v>0</v>
      </c>
      <c r="CG842" t="n">
        <v>0</v>
      </c>
      <c r="CM842" t="n">
        <v>0</v>
      </c>
      <c r="CN842" t="inlineStr"/>
      <c r="CO842" t="n">
        <v>0</v>
      </c>
      <c r="CP842">
        <f>(P842+Q842+S842)</f>
        <v/>
      </c>
      <c r="CQ842">
        <f>AC842*BC842</f>
        <v/>
      </c>
      <c r="CR842">
        <f>(ROUND((ROUND(((ET842)*1),0)*BB842),0)+ROUND((ROUND(((AE842-(EU842))*1),0)*BS842),0))</f>
        <v/>
      </c>
      <c r="CS842">
        <f>(ROUND((ROUND(((EU842)*1),0)*BS842),0)+ROUND((ROUND(((AE842-(EU842))*1),0)*BS842),0))</f>
        <v/>
      </c>
      <c r="CT842">
        <f>AF842*BA842</f>
        <v/>
      </c>
      <c r="CU842">
        <f>AG842</f>
        <v/>
      </c>
      <c r="CV842">
        <f>AH842</f>
        <v/>
      </c>
      <c r="CW842">
        <f>AI842</f>
        <v/>
      </c>
      <c r="CX842">
        <f>AJ842</f>
        <v/>
      </c>
      <c r="CY842">
        <f>(((S842+R842)*AT842)/100)</f>
        <v/>
      </c>
      <c r="CZ842">
        <f>(((S842+R842)*AU842)/100)</f>
        <v/>
      </c>
      <c r="DC842" t="inlineStr"/>
      <c r="DD842" t="inlineStr"/>
      <c r="DE842" t="inlineStr"/>
      <c r="DF842" t="inlineStr"/>
      <c r="DG842" t="inlineStr"/>
      <c r="DH842" t="inlineStr"/>
      <c r="DI842" t="inlineStr"/>
      <c r="DJ842" t="inlineStr"/>
      <c r="DK842" t="inlineStr"/>
      <c r="DL842" t="inlineStr"/>
      <c r="DM842" t="inlineStr"/>
      <c r="DN842" t="n">
        <v>0</v>
      </c>
      <c r="DO842" t="n">
        <v>0</v>
      </c>
      <c r="DP842" t="n">
        <v>1</v>
      </c>
      <c r="DQ842" t="n">
        <v>1</v>
      </c>
      <c r="DU842" t="n">
        <v>1010</v>
      </c>
      <c r="DV842" t="inlineStr">
        <is>
          <t>шт.</t>
        </is>
      </c>
      <c r="DW842" t="inlineStr">
        <is>
          <t>шт.</t>
        </is>
      </c>
      <c r="DX842" t="n">
        <v>1</v>
      </c>
      <c r="DZ842" t="inlineStr"/>
      <c r="EA842" t="inlineStr"/>
      <c r="EB842" t="inlineStr"/>
      <c r="EC842" t="inlineStr"/>
      <c r="EE842" t="n">
        <v>78726000</v>
      </c>
      <c r="EF842" t="n">
        <v>6</v>
      </c>
      <c r="EG842" t="inlineStr">
        <is>
          <t>Ремонтно-строительные работы</t>
        </is>
      </c>
      <c r="EH842" t="n">
        <v>99</v>
      </c>
      <c r="EI842" t="inlineStr">
        <is>
          <t>Внутренние санитарно-технические работы</t>
        </is>
      </c>
      <c r="EJ842" t="n">
        <v>1</v>
      </c>
      <c r="EK842" t="n">
        <v>65007</v>
      </c>
      <c r="EL842" t="inlineStr">
        <is>
          <t>Внутренние санитарнотехнические работы: смена труб, санприборов, запорной арматуры и другое</t>
        </is>
      </c>
      <c r="EM842" t="inlineStr">
        <is>
          <t>рФЕР-65</t>
        </is>
      </c>
      <c r="EO842" t="inlineStr"/>
      <c r="EQ842" t="n">
        <v>0</v>
      </c>
      <c r="ER842" t="n">
        <v>42.46</v>
      </c>
      <c r="ES842" t="n">
        <v>42.46</v>
      </c>
      <c r="ET842" t="n">
        <v>0</v>
      </c>
      <c r="EU842" t="n">
        <v>0</v>
      </c>
      <c r="EV842" t="n">
        <v>0</v>
      </c>
      <c r="EW842" t="n">
        <v>0</v>
      </c>
      <c r="EX842" t="n">
        <v>0</v>
      </c>
      <c r="FQ842" t="n">
        <v>0</v>
      </c>
      <c r="FR842" t="n">
        <v>0</v>
      </c>
      <c r="FS842" t="n">
        <v>0</v>
      </c>
      <c r="FX842" t="n">
        <v>103</v>
      </c>
      <c r="FY842" t="n">
        <v>52</v>
      </c>
      <c r="GA842" t="inlineStr"/>
      <c r="GD842" t="n">
        <v>1</v>
      </c>
      <c r="GF842" t="n">
        <v>1037232740</v>
      </c>
      <c r="GG842" t="n">
        <v>2</v>
      </c>
      <c r="GH842" t="n">
        <v>1</v>
      </c>
      <c r="GI842" t="n">
        <v>2</v>
      </c>
      <c r="GJ842" t="n">
        <v>0</v>
      </c>
      <c r="GK842" t="n">
        <v>0</v>
      </c>
      <c r="GL842">
        <f>ROUND(IF(AND(BH842=3,BI842=3,FS842&lt;&gt;0),P842,0),0)</f>
        <v/>
      </c>
      <c r="GM842">
        <f>ROUND(O842+X842+Y842,0)+GX842</f>
        <v/>
      </c>
      <c r="GN842">
        <f>IF(OR(BI842=0,BI842=1),GM842-GX842,0)</f>
        <v/>
      </c>
      <c r="GO842">
        <f>IF(BI842=2,GM842-GX842,0)</f>
        <v/>
      </c>
      <c r="GP842">
        <f>IF(BI842=4,GM842-GX842,0)</f>
        <v/>
      </c>
      <c r="GR842" t="n">
        <v>0</v>
      </c>
      <c r="GS842" t="n">
        <v>3</v>
      </c>
      <c r="GT842" t="n">
        <v>0</v>
      </c>
      <c r="GU842" t="inlineStr"/>
      <c r="GV842">
        <f>ROUND((GT842),2)</f>
        <v/>
      </c>
      <c r="GW842" t="n">
        <v>1</v>
      </c>
      <c r="GX842">
        <f>ROUND(HC842*I842,0)</f>
        <v/>
      </c>
      <c r="HA842" t="n">
        <v>0</v>
      </c>
      <c r="HB842" t="n">
        <v>0</v>
      </c>
      <c r="HC842">
        <f>GV842*GW842</f>
        <v/>
      </c>
      <c r="HE842" t="inlineStr"/>
      <c r="HF842" t="inlineStr"/>
      <c r="HM842" t="inlineStr"/>
      <c r="HN842" t="inlineStr">
        <is>
          <t>Пр/812-099.2-1</t>
        </is>
      </c>
      <c r="HO842" t="inlineStr">
        <is>
          <t>Пр/774-099.2</t>
        </is>
      </c>
      <c r="HP842" t="inlineStr">
        <is>
          <t>Внутренние санитарнотехнические работы: смена труб, санприборов, запорной арматуры и другое</t>
        </is>
      </c>
      <c r="HQ842" t="inlineStr">
        <is>
          <t>Внутренние санитарнотехнические работы: смена труб, санприборов, запорной арматуры и другое</t>
        </is>
      </c>
      <c r="HS842" t="n">
        <v>0</v>
      </c>
      <c r="IK842" t="n">
        <v>0</v>
      </c>
    </row>
    <row r="843">
      <c r="A843" t="n">
        <v>18</v>
      </c>
      <c r="B843" t="n">
        <v>0</v>
      </c>
      <c r="C843" t="n">
        <v>464</v>
      </c>
      <c r="E843" t="inlineStr">
        <is>
          <t>2,4</t>
        </is>
      </c>
      <c r="F843" t="inlineStr">
        <is>
          <t>302-0064</t>
        </is>
      </c>
      <c r="G843" t="inlineStr">
        <is>
          <t>Кран шаровый муфтовый Valtec для воды диаметром 25 мм, тип в/в</t>
        </is>
      </c>
      <c r="H843" t="inlineStr">
        <is>
          <t>шт.</t>
        </is>
      </c>
      <c r="I843">
        <f>I839*J843</f>
        <v/>
      </c>
      <c r="J843" t="n">
        <v>50</v>
      </c>
      <c r="K843" t="n">
        <v>50</v>
      </c>
      <c r="O843">
        <f>ROUND(CP843,0)</f>
        <v/>
      </c>
      <c r="P843">
        <f>ROUND(CQ843*I843,0)</f>
        <v/>
      </c>
      <c r="Q843">
        <f>(ROUND((ROUND(((ET843)*I843),0)*BB843),0)+ROUND((ROUND(((AE843-(EU843))*I843),0)*BS843),0))</f>
        <v/>
      </c>
      <c r="R843">
        <f>(ROUND((ROUND(((EU843)*I843),0)*BS843),0)+ROUND((ROUND(((AE843-(EU843))*I843),0)*BS843),0))</f>
        <v/>
      </c>
      <c r="S843">
        <f>ROUND(CT843*I843,0)</f>
        <v/>
      </c>
      <c r="T843">
        <f>ROUND(CU843*I843,0)</f>
        <v/>
      </c>
      <c r="U843">
        <f>ROUND(CV843*I843,7)</f>
        <v/>
      </c>
      <c r="V843">
        <f>ROUND(CW843*I843,7)</f>
        <v/>
      </c>
      <c r="W843">
        <f>ROUND(CX843*I843,0)</f>
        <v/>
      </c>
      <c r="X843">
        <f>ROUND(CY843,0)</f>
        <v/>
      </c>
      <c r="Y843">
        <f>ROUND(CZ843,0)</f>
        <v/>
      </c>
      <c r="AA843" t="n">
        <v>78869116</v>
      </c>
      <c r="AB843">
        <f>ROUND((AC843+AD843+AF843),2)</f>
        <v/>
      </c>
      <c r="AC843">
        <f>ROUND((ES843),2)</f>
        <v/>
      </c>
      <c r="AD843">
        <f>ROUND((((ET843)-(EU843))+AE843),2)</f>
        <v/>
      </c>
      <c r="AE843">
        <f>ROUND((EU843),2)</f>
        <v/>
      </c>
      <c r="AF843">
        <f>ROUND((EV843),2)</f>
        <v/>
      </c>
      <c r="AG843">
        <f>ROUND((AP843),2)</f>
        <v/>
      </c>
      <c r="AH843">
        <f>(EW843)</f>
        <v/>
      </c>
      <c r="AI843">
        <f>(EX843)</f>
        <v/>
      </c>
      <c r="AJ843">
        <f>(AS843)</f>
        <v/>
      </c>
      <c r="AK843" t="n">
        <v>67.09</v>
      </c>
      <c r="AL843" t="n">
        <v>67.09</v>
      </c>
      <c r="AM843" t="n">
        <v>0</v>
      </c>
      <c r="AN843" t="n">
        <v>0</v>
      </c>
      <c r="AO843" t="n">
        <v>0</v>
      </c>
      <c r="AP843" t="n">
        <v>0</v>
      </c>
      <c r="AQ843" t="n">
        <v>0</v>
      </c>
      <c r="AR843" t="n">
        <v>0</v>
      </c>
      <c r="AS843" t="n">
        <v>0.02</v>
      </c>
      <c r="AT843" t="n">
        <v>103</v>
      </c>
      <c r="AU843" t="n">
        <v>52</v>
      </c>
      <c r="AV843" t="n">
        <v>1</v>
      </c>
      <c r="AW843" t="n">
        <v>1</v>
      </c>
      <c r="AZ843" t="n">
        <v>1</v>
      </c>
      <c r="BA843" t="n">
        <v>1</v>
      </c>
      <c r="BB843" t="n">
        <v>1</v>
      </c>
      <c r="BC843" t="n">
        <v>14.16</v>
      </c>
      <c r="BD843" t="inlineStr"/>
      <c r="BE843" t="inlineStr"/>
      <c r="BF843" t="inlineStr"/>
      <c r="BG843" t="inlineStr"/>
      <c r="BH843" t="n">
        <v>3</v>
      </c>
      <c r="BI843" t="n">
        <v>1</v>
      </c>
      <c r="BJ843" t="inlineStr">
        <is>
          <t>ТССЦ Московской обл., 302-0064, приказ Минстроя России №675/пр от 28.02.2017 № 256/пр</t>
        </is>
      </c>
      <c r="BM843" t="n">
        <v>65007</v>
      </c>
      <c r="BN843" t="n">
        <v>0</v>
      </c>
      <c r="BO843" t="inlineStr">
        <is>
          <t>302-0064</t>
        </is>
      </c>
      <c r="BP843" t="n">
        <v>1</v>
      </c>
      <c r="BQ843" t="n">
        <v>6</v>
      </c>
      <c r="BR843" t="n">
        <v>0</v>
      </c>
      <c r="BS843" t="n">
        <v>1</v>
      </c>
      <c r="BT843" t="n">
        <v>1</v>
      </c>
      <c r="BU843" t="n">
        <v>1</v>
      </c>
      <c r="BV843" t="n">
        <v>1</v>
      </c>
      <c r="BW843" t="n">
        <v>1</v>
      </c>
      <c r="BX843" t="n">
        <v>1</v>
      </c>
      <c r="BY843" t="inlineStr"/>
      <c r="BZ843" t="n">
        <v>103</v>
      </c>
      <c r="CA843" t="n">
        <v>52</v>
      </c>
      <c r="CB843" t="inlineStr"/>
      <c r="CE843" t="n">
        <v>12</v>
      </c>
      <c r="CF843" t="n">
        <v>0</v>
      </c>
      <c r="CG843" t="n">
        <v>0</v>
      </c>
      <c r="CM843" t="n">
        <v>0</v>
      </c>
      <c r="CN843" t="inlineStr"/>
      <c r="CO843" t="n">
        <v>0</v>
      </c>
      <c r="CP843">
        <f>(P843+Q843+S843)</f>
        <v/>
      </c>
      <c r="CQ843">
        <f>AC843*BC843</f>
        <v/>
      </c>
      <c r="CR843">
        <f>(ROUND((ROUND(((ET843)*1),0)*BB843),0)+ROUND((ROUND(((AE843-(EU843))*1),0)*BS843),0))</f>
        <v/>
      </c>
      <c r="CS843">
        <f>(ROUND((ROUND(((EU843)*1),0)*BS843),0)+ROUND((ROUND(((AE843-(EU843))*1),0)*BS843),0))</f>
        <v/>
      </c>
      <c r="CT843">
        <f>AF843*BA843</f>
        <v/>
      </c>
      <c r="CU843">
        <f>AG843</f>
        <v/>
      </c>
      <c r="CV843">
        <f>AH843</f>
        <v/>
      </c>
      <c r="CW843">
        <f>AI843</f>
        <v/>
      </c>
      <c r="CX843">
        <f>AJ843</f>
        <v/>
      </c>
      <c r="CY843">
        <f>(((S843+R843)*AT843)/100)</f>
        <v/>
      </c>
      <c r="CZ843">
        <f>(((S843+R843)*AU843)/100)</f>
        <v/>
      </c>
      <c r="DC843" t="inlineStr"/>
      <c r="DD843" t="inlineStr"/>
      <c r="DE843" t="inlineStr"/>
      <c r="DF843" t="inlineStr"/>
      <c r="DG843" t="inlineStr"/>
      <c r="DH843" t="inlineStr"/>
      <c r="DI843" t="inlineStr"/>
      <c r="DJ843" t="inlineStr"/>
      <c r="DK843" t="inlineStr"/>
      <c r="DL843" t="inlineStr"/>
      <c r="DM843" t="inlineStr"/>
      <c r="DN843" t="n">
        <v>0</v>
      </c>
      <c r="DO843" t="n">
        <v>0</v>
      </c>
      <c r="DP843" t="n">
        <v>1</v>
      </c>
      <c r="DQ843" t="n">
        <v>1</v>
      </c>
      <c r="DU843" t="n">
        <v>1010</v>
      </c>
      <c r="DV843" t="inlineStr">
        <is>
          <t>шт.</t>
        </is>
      </c>
      <c r="DW843" t="inlineStr">
        <is>
          <t>шт.</t>
        </is>
      </c>
      <c r="DX843" t="n">
        <v>1</v>
      </c>
      <c r="DZ843" t="inlineStr"/>
      <c r="EA843" t="inlineStr"/>
      <c r="EB843" t="inlineStr"/>
      <c r="EC843" t="inlineStr"/>
      <c r="EE843" t="n">
        <v>78726000</v>
      </c>
      <c r="EF843" t="n">
        <v>6</v>
      </c>
      <c r="EG843" t="inlineStr">
        <is>
          <t>Ремонтно-строительные работы</t>
        </is>
      </c>
      <c r="EH843" t="n">
        <v>99</v>
      </c>
      <c r="EI843" t="inlineStr">
        <is>
          <t>Внутренние санитарно-технические работы</t>
        </is>
      </c>
      <c r="EJ843" t="n">
        <v>1</v>
      </c>
      <c r="EK843" t="n">
        <v>65007</v>
      </c>
      <c r="EL843" t="inlineStr">
        <is>
          <t>Внутренние санитарнотехнические работы: смена труб, санприборов, запорной арматуры и другое</t>
        </is>
      </c>
      <c r="EM843" t="inlineStr">
        <is>
          <t>рФЕР-65</t>
        </is>
      </c>
      <c r="EO843" t="inlineStr"/>
      <c r="EQ843" t="n">
        <v>0</v>
      </c>
      <c r="ER843" t="n">
        <v>67.09</v>
      </c>
      <c r="ES843" t="n">
        <v>67.09</v>
      </c>
      <c r="ET843" t="n">
        <v>0</v>
      </c>
      <c r="EU843" t="n">
        <v>0</v>
      </c>
      <c r="EV843" t="n">
        <v>0</v>
      </c>
      <c r="EW843" t="n">
        <v>0</v>
      </c>
      <c r="EX843" t="n">
        <v>0</v>
      </c>
      <c r="FQ843" t="n">
        <v>0</v>
      </c>
      <c r="FR843" t="n">
        <v>0</v>
      </c>
      <c r="FS843" t="n">
        <v>0</v>
      </c>
      <c r="FX843" t="n">
        <v>103</v>
      </c>
      <c r="FY843" t="n">
        <v>52</v>
      </c>
      <c r="GA843" t="inlineStr"/>
      <c r="GD843" t="n">
        <v>1</v>
      </c>
      <c r="GF843" t="n">
        <v>1163367142</v>
      </c>
      <c r="GG843" t="n">
        <v>2</v>
      </c>
      <c r="GH843" t="n">
        <v>1</v>
      </c>
      <c r="GI843" t="n">
        <v>2</v>
      </c>
      <c r="GJ843" t="n">
        <v>0</v>
      </c>
      <c r="GK843" t="n">
        <v>0</v>
      </c>
      <c r="GL843">
        <f>ROUND(IF(AND(BH843=3,BI843=3,FS843&lt;&gt;0),P843,0),0)</f>
        <v/>
      </c>
      <c r="GM843">
        <f>ROUND(O843+X843+Y843,0)+GX843</f>
        <v/>
      </c>
      <c r="GN843">
        <f>IF(OR(BI843=0,BI843=1),GM843-GX843,0)</f>
        <v/>
      </c>
      <c r="GO843">
        <f>IF(BI843=2,GM843-GX843,0)</f>
        <v/>
      </c>
      <c r="GP843">
        <f>IF(BI843=4,GM843-GX843,0)</f>
        <v/>
      </c>
      <c r="GR843" t="n">
        <v>0</v>
      </c>
      <c r="GS843" t="n">
        <v>3</v>
      </c>
      <c r="GT843" t="n">
        <v>0</v>
      </c>
      <c r="GU843" t="inlineStr"/>
      <c r="GV843">
        <f>ROUND((GT843),2)</f>
        <v/>
      </c>
      <c r="GW843" t="n">
        <v>1</v>
      </c>
      <c r="GX843">
        <f>ROUND(HC843*I843,0)</f>
        <v/>
      </c>
      <c r="HA843" t="n">
        <v>0</v>
      </c>
      <c r="HB843" t="n">
        <v>0</v>
      </c>
      <c r="HC843">
        <f>GV843*GW843</f>
        <v/>
      </c>
      <c r="HE843" t="inlineStr"/>
      <c r="HF843" t="inlineStr"/>
      <c r="HM843" t="inlineStr"/>
      <c r="HN843" t="inlineStr">
        <is>
          <t>Пр/812-099.2-1</t>
        </is>
      </c>
      <c r="HO843" t="inlineStr">
        <is>
          <t>Пр/774-099.2</t>
        </is>
      </c>
      <c r="HP843" t="inlineStr">
        <is>
          <t>Внутренние санитарнотехнические работы: смена труб, санприборов, запорной арматуры и другое</t>
        </is>
      </c>
      <c r="HQ843" t="inlineStr">
        <is>
          <t>Внутренние санитарнотехнические работы: смена труб, санприборов, запорной арматуры и другое</t>
        </is>
      </c>
      <c r="HS843" t="n">
        <v>0</v>
      </c>
      <c r="IK843" t="n">
        <v>0</v>
      </c>
    </row>
    <row r="844">
      <c r="A844" t="n">
        <v>18</v>
      </c>
      <c r="B844" t="n">
        <v>0</v>
      </c>
      <c r="C844" t="n">
        <v>466</v>
      </c>
      <c r="E844" t="inlineStr">
        <is>
          <t>2,5</t>
        </is>
      </c>
      <c r="F844" t="inlineStr">
        <is>
          <t>507-5007</t>
        </is>
      </c>
      <c r="G844" t="inlineStr">
        <is>
          <t>Муфта полипропиленовая соединительная диаметром 20 мм</t>
        </is>
      </c>
      <c r="H844" t="inlineStr">
        <is>
          <t>10 шт.</t>
        </is>
      </c>
      <c r="I844">
        <f>I839*J844</f>
        <v/>
      </c>
      <c r="J844" t="n">
        <v>10</v>
      </c>
      <c r="K844" t="n">
        <v>10</v>
      </c>
      <c r="O844">
        <f>ROUND(CP844,0)</f>
        <v/>
      </c>
      <c r="P844">
        <f>ROUND(CQ844*I844,0)</f>
        <v/>
      </c>
      <c r="Q844">
        <f>(ROUND((ROUND(((ET844)*I844),0)*BB844),0)+ROUND((ROUND(((AE844-(EU844))*I844),0)*BS844),0))</f>
        <v/>
      </c>
      <c r="R844">
        <f>(ROUND((ROUND(((EU844)*I844),0)*BS844),0)+ROUND((ROUND(((AE844-(EU844))*I844),0)*BS844),0))</f>
        <v/>
      </c>
      <c r="S844">
        <f>ROUND(CT844*I844,0)</f>
        <v/>
      </c>
      <c r="T844">
        <f>ROUND(CU844*I844,0)</f>
        <v/>
      </c>
      <c r="U844">
        <f>ROUND(CV844*I844,7)</f>
        <v/>
      </c>
      <c r="V844">
        <f>ROUND(CW844*I844,7)</f>
        <v/>
      </c>
      <c r="W844">
        <f>ROUND(CX844*I844,0)</f>
        <v/>
      </c>
      <c r="X844">
        <f>ROUND(CY844,0)</f>
        <v/>
      </c>
      <c r="Y844">
        <f>ROUND(CZ844,0)</f>
        <v/>
      </c>
      <c r="AA844" t="n">
        <v>78869116</v>
      </c>
      <c r="AB844">
        <f>ROUND((AC844+AD844+AF844),2)</f>
        <v/>
      </c>
      <c r="AC844">
        <f>ROUND((ES844),2)</f>
        <v/>
      </c>
      <c r="AD844">
        <f>ROUND((((ET844)-(EU844))+AE844),2)</f>
        <v/>
      </c>
      <c r="AE844">
        <f>ROUND((EU844),2)</f>
        <v/>
      </c>
      <c r="AF844">
        <f>ROUND((EV844),2)</f>
        <v/>
      </c>
      <c r="AG844">
        <f>ROUND((AP844),2)</f>
        <v/>
      </c>
      <c r="AH844">
        <f>(EW844)</f>
        <v/>
      </c>
      <c r="AI844">
        <f>(EX844)</f>
        <v/>
      </c>
      <c r="AJ844">
        <f>(AS844)</f>
        <v/>
      </c>
      <c r="AK844" t="n">
        <v>7</v>
      </c>
      <c r="AL844" t="n">
        <v>7</v>
      </c>
      <c r="AM844" t="n">
        <v>0</v>
      </c>
      <c r="AN844" t="n">
        <v>0</v>
      </c>
      <c r="AO844" t="n">
        <v>0</v>
      </c>
      <c r="AP844" t="n">
        <v>0</v>
      </c>
      <c r="AQ844" t="n">
        <v>0</v>
      </c>
      <c r="AR844" t="n">
        <v>0</v>
      </c>
      <c r="AS844" t="n">
        <v>0.01</v>
      </c>
      <c r="AT844" t="n">
        <v>103</v>
      </c>
      <c r="AU844" t="n">
        <v>52</v>
      </c>
      <c r="AV844" t="n">
        <v>1</v>
      </c>
      <c r="AW844" t="n">
        <v>1</v>
      </c>
      <c r="AZ844" t="n">
        <v>1</v>
      </c>
      <c r="BA844" t="n">
        <v>1</v>
      </c>
      <c r="BB844" t="n">
        <v>1</v>
      </c>
      <c r="BC844" t="n">
        <v>6.1</v>
      </c>
      <c r="BD844" t="inlineStr"/>
      <c r="BE844" t="inlineStr"/>
      <c r="BF844" t="inlineStr"/>
      <c r="BG844" t="inlineStr"/>
      <c r="BH844" t="n">
        <v>3</v>
      </c>
      <c r="BI844" t="n">
        <v>1</v>
      </c>
      <c r="BJ844" t="inlineStr">
        <is>
          <t>ТССЦ Московской обл., 507-5007, приказ Минстроя России №675/пр от 28.02.2017 № 258/пр</t>
        </is>
      </c>
      <c r="BM844" t="n">
        <v>65007</v>
      </c>
      <c r="BN844" t="n">
        <v>0</v>
      </c>
      <c r="BO844" t="inlineStr">
        <is>
          <t>507-5007</t>
        </is>
      </c>
      <c r="BP844" t="n">
        <v>1</v>
      </c>
      <c r="BQ844" t="n">
        <v>6</v>
      </c>
      <c r="BR844" t="n">
        <v>0</v>
      </c>
      <c r="BS844" t="n">
        <v>1</v>
      </c>
      <c r="BT844" t="n">
        <v>1</v>
      </c>
      <c r="BU844" t="n">
        <v>1</v>
      </c>
      <c r="BV844" t="n">
        <v>1</v>
      </c>
      <c r="BW844" t="n">
        <v>1</v>
      </c>
      <c r="BX844" t="n">
        <v>1</v>
      </c>
      <c r="BY844" t="inlineStr"/>
      <c r="BZ844" t="n">
        <v>103</v>
      </c>
      <c r="CA844" t="n">
        <v>52</v>
      </c>
      <c r="CB844" t="inlineStr"/>
      <c r="CE844" t="n">
        <v>12</v>
      </c>
      <c r="CF844" t="n">
        <v>0</v>
      </c>
      <c r="CG844" t="n">
        <v>0</v>
      </c>
      <c r="CM844" t="n">
        <v>0</v>
      </c>
      <c r="CN844" t="inlineStr"/>
      <c r="CO844" t="n">
        <v>0</v>
      </c>
      <c r="CP844">
        <f>(P844+Q844+S844)</f>
        <v/>
      </c>
      <c r="CQ844">
        <f>AC844*BC844</f>
        <v/>
      </c>
      <c r="CR844">
        <f>(ROUND((ROUND(((ET844)*1),0)*BB844),0)+ROUND((ROUND(((AE844-(EU844))*1),0)*BS844),0))</f>
        <v/>
      </c>
      <c r="CS844">
        <f>(ROUND((ROUND(((EU844)*1),0)*BS844),0)+ROUND((ROUND(((AE844-(EU844))*1),0)*BS844),0))</f>
        <v/>
      </c>
      <c r="CT844">
        <f>AF844*BA844</f>
        <v/>
      </c>
      <c r="CU844">
        <f>AG844</f>
        <v/>
      </c>
      <c r="CV844">
        <f>AH844</f>
        <v/>
      </c>
      <c r="CW844">
        <f>AI844</f>
        <v/>
      </c>
      <c r="CX844">
        <f>AJ844</f>
        <v/>
      </c>
      <c r="CY844">
        <f>(((S844+R844)*AT844)/100)</f>
        <v/>
      </c>
      <c r="CZ844">
        <f>(((S844+R844)*AU844)/100)</f>
        <v/>
      </c>
      <c r="DC844" t="inlineStr"/>
      <c r="DD844" t="inlineStr"/>
      <c r="DE844" t="inlineStr"/>
      <c r="DF844" t="inlineStr"/>
      <c r="DG844" t="inlineStr"/>
      <c r="DH844" t="inlineStr"/>
      <c r="DI844" t="inlineStr"/>
      <c r="DJ844" t="inlineStr"/>
      <c r="DK844" t="inlineStr"/>
      <c r="DL844" t="inlineStr"/>
      <c r="DM844" t="inlineStr"/>
      <c r="DN844" t="n">
        <v>0</v>
      </c>
      <c r="DO844" t="n">
        <v>0</v>
      </c>
      <c r="DP844" t="n">
        <v>1</v>
      </c>
      <c r="DQ844" t="n">
        <v>1</v>
      </c>
      <c r="DU844" t="n">
        <v>1010</v>
      </c>
      <c r="DV844" t="inlineStr">
        <is>
          <t>10 шт.</t>
        </is>
      </c>
      <c r="DW844" t="inlineStr">
        <is>
          <t>10 шт.</t>
        </is>
      </c>
      <c r="DX844" t="n">
        <v>10</v>
      </c>
      <c r="DZ844" t="inlineStr"/>
      <c r="EA844" t="inlineStr"/>
      <c r="EB844" t="inlineStr"/>
      <c r="EC844" t="inlineStr"/>
      <c r="EE844" t="n">
        <v>78726000</v>
      </c>
      <c r="EF844" t="n">
        <v>6</v>
      </c>
      <c r="EG844" t="inlineStr">
        <is>
          <t>Ремонтно-строительные работы</t>
        </is>
      </c>
      <c r="EH844" t="n">
        <v>99</v>
      </c>
      <c r="EI844" t="inlineStr">
        <is>
          <t>Внутренние санитарно-технические работы</t>
        </is>
      </c>
      <c r="EJ844" t="n">
        <v>1</v>
      </c>
      <c r="EK844" t="n">
        <v>65007</v>
      </c>
      <c r="EL844" t="inlineStr">
        <is>
          <t>Внутренние санитарнотехнические работы: смена труб, санприборов, запорной арматуры и другое</t>
        </is>
      </c>
      <c r="EM844" t="inlineStr">
        <is>
          <t>рФЕР-65</t>
        </is>
      </c>
      <c r="EO844" t="inlineStr"/>
      <c r="EQ844" t="n">
        <v>0</v>
      </c>
      <c r="ER844" t="n">
        <v>7</v>
      </c>
      <c r="ES844" t="n">
        <v>7</v>
      </c>
      <c r="ET844" t="n">
        <v>0</v>
      </c>
      <c r="EU844" t="n">
        <v>0</v>
      </c>
      <c r="EV844" t="n">
        <v>0</v>
      </c>
      <c r="EW844" t="n">
        <v>0</v>
      </c>
      <c r="EX844" t="n">
        <v>0</v>
      </c>
      <c r="FQ844" t="n">
        <v>0</v>
      </c>
      <c r="FR844" t="n">
        <v>0</v>
      </c>
      <c r="FS844" t="n">
        <v>0</v>
      </c>
      <c r="FX844" t="n">
        <v>103</v>
      </c>
      <c r="FY844" t="n">
        <v>52</v>
      </c>
      <c r="GA844" t="inlineStr"/>
      <c r="GD844" t="n">
        <v>1</v>
      </c>
      <c r="GF844" t="n">
        <v>-793832491</v>
      </c>
      <c r="GG844" t="n">
        <v>2</v>
      </c>
      <c r="GH844" t="n">
        <v>1</v>
      </c>
      <c r="GI844" t="n">
        <v>2</v>
      </c>
      <c r="GJ844" t="n">
        <v>0</v>
      </c>
      <c r="GK844" t="n">
        <v>0</v>
      </c>
      <c r="GL844">
        <f>ROUND(IF(AND(BH844=3,BI844=3,FS844&lt;&gt;0),P844,0),0)</f>
        <v/>
      </c>
      <c r="GM844">
        <f>ROUND(O844+X844+Y844,0)+GX844</f>
        <v/>
      </c>
      <c r="GN844">
        <f>IF(OR(BI844=0,BI844=1),GM844-GX844,0)</f>
        <v/>
      </c>
      <c r="GO844">
        <f>IF(BI844=2,GM844-GX844,0)</f>
        <v/>
      </c>
      <c r="GP844">
        <f>IF(BI844=4,GM844-GX844,0)</f>
        <v/>
      </c>
      <c r="GR844" t="n">
        <v>0</v>
      </c>
      <c r="GS844" t="n">
        <v>3</v>
      </c>
      <c r="GT844" t="n">
        <v>0</v>
      </c>
      <c r="GU844" t="inlineStr"/>
      <c r="GV844">
        <f>ROUND((GT844),2)</f>
        <v/>
      </c>
      <c r="GW844" t="n">
        <v>1</v>
      </c>
      <c r="GX844">
        <f>ROUND(HC844*I844,0)</f>
        <v/>
      </c>
      <c r="HA844" t="n">
        <v>0</v>
      </c>
      <c r="HB844" t="n">
        <v>0</v>
      </c>
      <c r="HC844">
        <f>GV844*GW844</f>
        <v/>
      </c>
      <c r="HE844" t="inlineStr"/>
      <c r="HF844" t="inlineStr"/>
      <c r="HM844" t="inlineStr"/>
      <c r="HN844" t="inlineStr">
        <is>
          <t>Пр/812-099.2-1</t>
        </is>
      </c>
      <c r="HO844" t="inlineStr">
        <is>
          <t>Пр/774-099.2</t>
        </is>
      </c>
      <c r="HP844" t="inlineStr">
        <is>
          <t>Внутренние санитарнотехнические работы: смена труб, санприборов, запорной арматуры и другое</t>
        </is>
      </c>
      <c r="HQ844" t="inlineStr">
        <is>
          <t>Внутренние санитарнотехнические работы: смена труб, санприборов, запорной арматуры и другое</t>
        </is>
      </c>
      <c r="HS844" t="n">
        <v>0</v>
      </c>
      <c r="IK844" t="n">
        <v>0</v>
      </c>
    </row>
    <row r="845">
      <c r="A845" t="n">
        <v>17</v>
      </c>
      <c r="B845" t="n">
        <v>0</v>
      </c>
      <c r="C845">
        <f>ROW(SmtRes!A475)</f>
        <v/>
      </c>
      <c r="D845">
        <f>ROW(EtalonRes!A432)</f>
        <v/>
      </c>
      <c r="E845" t="inlineStr">
        <is>
          <t>3</t>
        </is>
      </c>
      <c r="F845" t="inlineStr">
        <is>
          <t>65-16-3</t>
        </is>
      </c>
      <c r="G845" t="inlineStr">
        <is>
          <t>Смена сгонов у трубопроводов диаметром до 50 мм</t>
        </is>
      </c>
      <c r="H845" t="inlineStr">
        <is>
          <t>100 сгонов</t>
        </is>
      </c>
      <c r="I845">
        <f>ROUND(ROUND(1/100,4),7)</f>
        <v/>
      </c>
      <c r="J845" t="n">
        <v>0</v>
      </c>
      <c r="K845">
        <f>ROUND(ROUND(1/100,4),7)</f>
        <v/>
      </c>
      <c r="O845">
        <f>ROUND(CP845,0)</f>
        <v/>
      </c>
      <c r="P845">
        <f>ROUND(CQ845*I845,0)</f>
        <v/>
      </c>
      <c r="Q845">
        <f>(ROUND((ROUND(((ET845)*I845),0)*BB845),0)+ROUND((ROUND(((AE845-(EU845))*I845),0)*BS845),0))</f>
        <v/>
      </c>
      <c r="R845">
        <f>(ROUND((ROUND(((EU845)*I845),0)*BS845),0)+ROUND((ROUND(((AE845-(EU845))*I845),0)*BS845),0))</f>
        <v/>
      </c>
      <c r="S845">
        <f>ROUND(CT845*I845,0)</f>
        <v/>
      </c>
      <c r="T845">
        <f>ROUND(CU845*I845,0)</f>
        <v/>
      </c>
      <c r="U845">
        <f>ROUND(CV845*I845,7)</f>
        <v/>
      </c>
      <c r="V845">
        <f>ROUND(CW845*I845,7)</f>
        <v/>
      </c>
      <c r="W845">
        <f>ROUND(CX845*I845,0)</f>
        <v/>
      </c>
      <c r="X845">
        <f>ROUND(CY845,0)</f>
        <v/>
      </c>
      <c r="Y845">
        <f>ROUND(CZ845,0)</f>
        <v/>
      </c>
      <c r="AA845" t="n">
        <v>78869116</v>
      </c>
      <c r="AB845">
        <f>ROUND((AC845+AD845+AF845),2)</f>
        <v/>
      </c>
      <c r="AC845">
        <f>ROUND((ES845),2)</f>
        <v/>
      </c>
      <c r="AD845">
        <f>ROUND((((ET845)-(EU845))+AE845),2)</f>
        <v/>
      </c>
      <c r="AE845">
        <f>ROUND((EU845),2)</f>
        <v/>
      </c>
      <c r="AF845">
        <f>ROUND((EV845),2)</f>
        <v/>
      </c>
      <c r="AG845">
        <f>ROUND((AP845),2)</f>
        <v/>
      </c>
      <c r="AH845">
        <f>(EW845)</f>
        <v/>
      </c>
      <c r="AI845">
        <f>(EX845)</f>
        <v/>
      </c>
      <c r="AJ845">
        <f>(AS845)</f>
        <v/>
      </c>
      <c r="AK845" t="n">
        <v>3617.87</v>
      </c>
      <c r="AL845" t="n">
        <v>2939.22</v>
      </c>
      <c r="AM845" t="n">
        <v>3.44</v>
      </c>
      <c r="AN845" t="n">
        <v>1.49</v>
      </c>
      <c r="AO845" t="n">
        <v>675.21</v>
      </c>
      <c r="AP845" t="n">
        <v>0</v>
      </c>
      <c r="AQ845" t="n">
        <v>71</v>
      </c>
      <c r="AR845" t="n">
        <v>0.11</v>
      </c>
      <c r="AS845" t="n">
        <v>0</v>
      </c>
      <c r="AT845" t="n">
        <v>103</v>
      </c>
      <c r="AU845" t="n">
        <v>52</v>
      </c>
      <c r="AV845" t="n">
        <v>1</v>
      </c>
      <c r="AW845" t="n">
        <v>1</v>
      </c>
      <c r="AZ845" t="n">
        <v>1</v>
      </c>
      <c r="BA845" t="n">
        <v>52.25</v>
      </c>
      <c r="BB845" t="n">
        <v>23.31</v>
      </c>
      <c r="BC845" t="n">
        <v>13.54</v>
      </c>
      <c r="BD845" t="inlineStr"/>
      <c r="BE845" t="inlineStr"/>
      <c r="BF845" t="inlineStr"/>
      <c r="BG845" t="inlineStr"/>
      <c r="BH845" t="n">
        <v>0</v>
      </c>
      <c r="BI845" t="n">
        <v>1</v>
      </c>
      <c r="BJ845" t="inlineStr">
        <is>
          <t>ТЕРр Московской обл., 65-16-3, приказ Минстроя России №675/пр от 28.02.2017 № 263/пр</t>
        </is>
      </c>
      <c r="BM845" t="n">
        <v>65008</v>
      </c>
      <c r="BN845" t="n">
        <v>0</v>
      </c>
      <c r="BO845" t="inlineStr">
        <is>
          <t>65-16-3</t>
        </is>
      </c>
      <c r="BP845" t="n">
        <v>1</v>
      </c>
      <c r="BQ845" t="n">
        <v>6</v>
      </c>
      <c r="BR845" t="n">
        <v>0</v>
      </c>
      <c r="BS845" t="n">
        <v>52.25</v>
      </c>
      <c r="BT845" t="n">
        <v>1</v>
      </c>
      <c r="BU845" t="n">
        <v>1</v>
      </c>
      <c r="BV845" t="n">
        <v>1</v>
      </c>
      <c r="BW845" t="n">
        <v>1</v>
      </c>
      <c r="BX845" t="n">
        <v>1</v>
      </c>
      <c r="BY845" t="inlineStr"/>
      <c r="BZ845" t="n">
        <v>103</v>
      </c>
      <c r="CA845" t="n">
        <v>52</v>
      </c>
      <c r="CB845" t="inlineStr"/>
      <c r="CE845" t="n">
        <v>12</v>
      </c>
      <c r="CF845" t="n">
        <v>0</v>
      </c>
      <c r="CG845" t="n">
        <v>0</v>
      </c>
      <c r="CM845" t="n">
        <v>0</v>
      </c>
      <c r="CN845" t="inlineStr"/>
      <c r="CO845" t="n">
        <v>0</v>
      </c>
      <c r="CP845">
        <f>(P845+Q845+S845)</f>
        <v/>
      </c>
      <c r="CQ845">
        <f>AC845*BC845</f>
        <v/>
      </c>
      <c r="CR845">
        <f>(ROUND((ROUND(((ET845)*1),0)*BB845),0)+ROUND((ROUND(((AE845-(EU845))*1),0)*BS845),0))</f>
        <v/>
      </c>
      <c r="CS845">
        <f>(ROUND((ROUND(((EU845)*1),0)*BS845),0)+ROUND((ROUND(((AE845-(EU845))*1),0)*BS845),0))</f>
        <v/>
      </c>
      <c r="CT845">
        <f>AF845*BA845</f>
        <v/>
      </c>
      <c r="CU845">
        <f>AG845</f>
        <v/>
      </c>
      <c r="CV845">
        <f>AH845</f>
        <v/>
      </c>
      <c r="CW845">
        <f>AI845</f>
        <v/>
      </c>
      <c r="CX845">
        <f>AJ845</f>
        <v/>
      </c>
      <c r="CY845">
        <f>(((S845+R845)*AT845)/100)</f>
        <v/>
      </c>
      <c r="CZ845">
        <f>(((S845+R845)*AU845)/100)</f>
        <v/>
      </c>
      <c r="DC845" t="inlineStr"/>
      <c r="DD845" t="inlineStr"/>
      <c r="DE845" t="inlineStr"/>
      <c r="DF845" t="inlineStr"/>
      <c r="DG845" t="inlineStr"/>
      <c r="DH845" t="inlineStr"/>
      <c r="DI845" t="inlineStr"/>
      <c r="DJ845" t="inlineStr"/>
      <c r="DK845" t="inlineStr"/>
      <c r="DL845" t="inlineStr"/>
      <c r="DM845" t="inlineStr"/>
      <c r="DN845" t="n">
        <v>0</v>
      </c>
      <c r="DO845" t="n">
        <v>0</v>
      </c>
      <c r="DP845" t="n">
        <v>1</v>
      </c>
      <c r="DQ845" t="n">
        <v>1</v>
      </c>
      <c r="DU845" t="n">
        <v>1013</v>
      </c>
      <c r="DV845" t="inlineStr">
        <is>
          <t>100 сгонов</t>
        </is>
      </c>
      <c r="DW845" t="inlineStr">
        <is>
          <t>100 сгонов</t>
        </is>
      </c>
      <c r="DX845" t="n">
        <v>1</v>
      </c>
      <c r="DZ845" t="inlineStr"/>
      <c r="EA845" t="inlineStr"/>
      <c r="EB845" t="inlineStr"/>
      <c r="EC845" t="inlineStr"/>
      <c r="EE845" t="n">
        <v>78726002</v>
      </c>
      <c r="EF845" t="n">
        <v>6</v>
      </c>
      <c r="EG845" t="inlineStr">
        <is>
          <t>Ремонтно-строительные работы</t>
        </is>
      </c>
      <c r="EH845" t="n">
        <v>99</v>
      </c>
      <c r="EI845" t="inlineStr">
        <is>
          <t>Внутренние санитарно-технические работы</t>
        </is>
      </c>
      <c r="EJ845" t="n">
        <v>1</v>
      </c>
      <c r="EK845" t="n">
        <v>65008</v>
      </c>
      <c r="EL845" t="inlineStr">
        <is>
          <t>Внутренние санитарнотехнические работы: смена труб, санприборов, запорной арматуры и другое</t>
        </is>
      </c>
      <c r="EM845" t="inlineStr">
        <is>
          <t>рФЕР-65</t>
        </is>
      </c>
      <c r="EO845" t="inlineStr"/>
      <c r="EQ845" t="n">
        <v>0</v>
      </c>
      <c r="ER845" t="n">
        <v>3617.87</v>
      </c>
      <c r="ES845" t="n">
        <v>2939.22</v>
      </c>
      <c r="ET845" t="n">
        <v>3.44</v>
      </c>
      <c r="EU845" t="n">
        <v>1.49</v>
      </c>
      <c r="EV845" t="n">
        <v>675.21</v>
      </c>
      <c r="EW845" t="n">
        <v>71</v>
      </c>
      <c r="EX845" t="n">
        <v>0.11</v>
      </c>
      <c r="EY845" t="n">
        <v>0</v>
      </c>
      <c r="FQ845" t="n">
        <v>0</v>
      </c>
      <c r="FR845" t="n">
        <v>0</v>
      </c>
      <c r="FS845" t="n">
        <v>0</v>
      </c>
      <c r="FX845" t="n">
        <v>103</v>
      </c>
      <c r="FY845" t="n">
        <v>52</v>
      </c>
      <c r="GA845" t="inlineStr"/>
      <c r="GD845" t="n">
        <v>1</v>
      </c>
      <c r="GF845" t="n">
        <v>-737459077</v>
      </c>
      <c r="GG845" t="n">
        <v>2</v>
      </c>
      <c r="GH845" t="n">
        <v>1</v>
      </c>
      <c r="GI845" t="n">
        <v>2</v>
      </c>
      <c r="GJ845" t="n">
        <v>0</v>
      </c>
      <c r="GK845" t="n">
        <v>0</v>
      </c>
      <c r="GL845">
        <f>ROUND(IF(AND(BH845=3,BI845=3,FS845&lt;&gt;0),P845,0),0)</f>
        <v/>
      </c>
      <c r="GM845">
        <f>ROUND(O845+X845+Y845,0)+GX845</f>
        <v/>
      </c>
      <c r="GN845">
        <f>IF(OR(BI845=0,BI845=1),GM845-GX845,0)</f>
        <v/>
      </c>
      <c r="GO845">
        <f>IF(BI845=2,GM845-GX845,0)</f>
        <v/>
      </c>
      <c r="GP845">
        <f>IF(BI845=4,GM845-GX845,0)</f>
        <v/>
      </c>
      <c r="GR845" t="n">
        <v>0</v>
      </c>
      <c r="GS845" t="n">
        <v>3</v>
      </c>
      <c r="GT845" t="n">
        <v>0</v>
      </c>
      <c r="GU845" t="inlineStr"/>
      <c r="GV845">
        <f>ROUND((GT845),2)</f>
        <v/>
      </c>
      <c r="GW845" t="n">
        <v>1</v>
      </c>
      <c r="GX845">
        <f>ROUND(HC845*I845,0)</f>
        <v/>
      </c>
      <c r="HA845" t="n">
        <v>0</v>
      </c>
      <c r="HB845" t="n">
        <v>0</v>
      </c>
      <c r="HC845">
        <f>GV845*GW845</f>
        <v/>
      </c>
      <c r="HE845" t="inlineStr"/>
      <c r="HF845" t="inlineStr"/>
      <c r="HM845" t="inlineStr"/>
      <c r="HN845" t="inlineStr">
        <is>
          <t>Пр/812-099.2-1</t>
        </is>
      </c>
      <c r="HO845" t="inlineStr">
        <is>
          <t>Пр/774-099.2</t>
        </is>
      </c>
      <c r="HP845" t="inlineStr">
        <is>
          <t>Внутренние санитарнотехнические работы: смена труб, санприборов, запорной арматуры и другое</t>
        </is>
      </c>
      <c r="HQ845" t="inlineStr">
        <is>
          <t>Внутренние санитарнотехнические работы: смена труб, санприборов, запорной арматуры и другое</t>
        </is>
      </c>
      <c r="HS845" t="n">
        <v>0</v>
      </c>
      <c r="IK845" t="n">
        <v>0</v>
      </c>
    </row>
    <row r="846">
      <c r="A846" t="n">
        <v>18</v>
      </c>
      <c r="B846" t="n">
        <v>0</v>
      </c>
      <c r="C846" t="n">
        <v>475</v>
      </c>
      <c r="E846" t="inlineStr">
        <is>
          <t>3,1</t>
        </is>
      </c>
      <c r="F846" t="inlineStr">
        <is>
          <t>302-1241</t>
        </is>
      </c>
      <c r="G846" t="inlineStr">
        <is>
          <t>Сгоны стальные с муфтой и контргайкой, диаметром 50 мм</t>
        </is>
      </c>
      <c r="H846" t="inlineStr">
        <is>
          <t>шт.</t>
        </is>
      </c>
      <c r="I846">
        <f>I845*J846</f>
        <v/>
      </c>
      <c r="J846" t="n">
        <v>-100</v>
      </c>
      <c r="K846" t="n">
        <v>-100</v>
      </c>
      <c r="O846">
        <f>ROUND(CP846,0)</f>
        <v/>
      </c>
      <c r="P846">
        <f>ROUND(CQ846*I846,0)</f>
        <v/>
      </c>
      <c r="Q846">
        <f>(ROUND((ROUND(((ET846)*I846),0)*BB846),0)+ROUND((ROUND(((AE846-(EU846))*I846),0)*BS846),0))</f>
        <v/>
      </c>
      <c r="R846">
        <f>(ROUND((ROUND(((EU846)*I846),0)*BS846),0)+ROUND((ROUND(((AE846-(EU846))*I846),0)*BS846),0))</f>
        <v/>
      </c>
      <c r="S846">
        <f>ROUND(CT846*I846,0)</f>
        <v/>
      </c>
      <c r="T846">
        <f>ROUND(CU846*I846,0)</f>
        <v/>
      </c>
      <c r="U846">
        <f>ROUND(CV846*I846,7)</f>
        <v/>
      </c>
      <c r="V846">
        <f>ROUND(CW846*I846,7)</f>
        <v/>
      </c>
      <c r="W846">
        <f>ROUND(CX846*I846,0)</f>
        <v/>
      </c>
      <c r="X846">
        <f>ROUND(CY846,0)</f>
        <v/>
      </c>
      <c r="Y846">
        <f>ROUND(CZ846,0)</f>
        <v/>
      </c>
      <c r="AA846" t="n">
        <v>78869116</v>
      </c>
      <c r="AB846">
        <f>ROUND((AC846+AD846+AF846),2)</f>
        <v/>
      </c>
      <c r="AC846">
        <f>ROUND((ES846),2)</f>
        <v/>
      </c>
      <c r="AD846">
        <f>ROUND((((ET846)-(EU846))+AE846),2)</f>
        <v/>
      </c>
      <c r="AE846">
        <f>ROUND((EU846),2)</f>
        <v/>
      </c>
      <c r="AF846">
        <f>ROUND((EV846),2)</f>
        <v/>
      </c>
      <c r="AG846">
        <f>ROUND((AP846),2)</f>
        <v/>
      </c>
      <c r="AH846">
        <f>(EW846)</f>
        <v/>
      </c>
      <c r="AI846">
        <f>(EX846)</f>
        <v/>
      </c>
      <c r="AJ846">
        <f>(AS846)</f>
        <v/>
      </c>
      <c r="AK846" t="n">
        <v>28.58</v>
      </c>
      <c r="AL846" t="n">
        <v>28.58</v>
      </c>
      <c r="AM846" t="n">
        <v>0</v>
      </c>
      <c r="AN846" t="n">
        <v>0</v>
      </c>
      <c r="AO846" t="n">
        <v>0</v>
      </c>
      <c r="AP846" t="n">
        <v>0</v>
      </c>
      <c r="AQ846" t="n">
        <v>0</v>
      </c>
      <c r="AR846" t="n">
        <v>0</v>
      </c>
      <c r="AS846" t="n">
        <v>0</v>
      </c>
      <c r="AT846" t="n">
        <v>103</v>
      </c>
      <c r="AU846" t="n">
        <v>52</v>
      </c>
      <c r="AV846" t="n">
        <v>1</v>
      </c>
      <c r="AW846" t="n">
        <v>1</v>
      </c>
      <c r="AZ846" t="n">
        <v>1</v>
      </c>
      <c r="BA846" t="n">
        <v>1</v>
      </c>
      <c r="BB846" t="n">
        <v>1</v>
      </c>
      <c r="BC846" t="n">
        <v>13.7</v>
      </c>
      <c r="BD846" t="inlineStr"/>
      <c r="BE846" t="inlineStr"/>
      <c r="BF846" t="inlineStr"/>
      <c r="BG846" t="inlineStr"/>
      <c r="BH846" t="n">
        <v>3</v>
      </c>
      <c r="BI846" t="n">
        <v>1</v>
      </c>
      <c r="BJ846" t="inlineStr">
        <is>
          <t>ТССЦ Московской обл., 302-1241, приказ Минстроя России №675/пр от 28.02.2017 № 256/пр</t>
        </is>
      </c>
      <c r="BM846" t="n">
        <v>65008</v>
      </c>
      <c r="BN846" t="n">
        <v>0</v>
      </c>
      <c r="BO846" t="inlineStr">
        <is>
          <t>302-1241</t>
        </is>
      </c>
      <c r="BP846" t="n">
        <v>1</v>
      </c>
      <c r="BQ846" t="n">
        <v>6</v>
      </c>
      <c r="BR846" t="n">
        <v>1</v>
      </c>
      <c r="BS846" t="n">
        <v>1</v>
      </c>
      <c r="BT846" t="n">
        <v>1</v>
      </c>
      <c r="BU846" t="n">
        <v>1</v>
      </c>
      <c r="BV846" t="n">
        <v>1</v>
      </c>
      <c r="BW846" t="n">
        <v>1</v>
      </c>
      <c r="BX846" t="n">
        <v>1</v>
      </c>
      <c r="BY846" t="inlineStr"/>
      <c r="BZ846" t="n">
        <v>103</v>
      </c>
      <c r="CA846" t="n">
        <v>52</v>
      </c>
      <c r="CB846" t="inlineStr"/>
      <c r="CE846" t="n">
        <v>12</v>
      </c>
      <c r="CF846" t="n">
        <v>0</v>
      </c>
      <c r="CG846" t="n">
        <v>0</v>
      </c>
      <c r="CM846" t="n">
        <v>0</v>
      </c>
      <c r="CN846" t="inlineStr"/>
      <c r="CO846" t="n">
        <v>0</v>
      </c>
      <c r="CP846">
        <f>(P846+Q846+S846)</f>
        <v/>
      </c>
      <c r="CQ846">
        <f>AC846*BC846</f>
        <v/>
      </c>
      <c r="CR846">
        <f>(ROUND((ROUND(((ET846)*1),0)*BB846),0)+ROUND((ROUND(((AE846-(EU846))*1),0)*BS846),0))</f>
        <v/>
      </c>
      <c r="CS846">
        <f>(ROUND((ROUND(((EU846)*1),0)*BS846),0)+ROUND((ROUND(((AE846-(EU846))*1),0)*BS846),0))</f>
        <v/>
      </c>
      <c r="CT846">
        <f>AF846*BA846</f>
        <v/>
      </c>
      <c r="CU846">
        <f>AG846</f>
        <v/>
      </c>
      <c r="CV846">
        <f>AH846</f>
        <v/>
      </c>
      <c r="CW846">
        <f>AI846</f>
        <v/>
      </c>
      <c r="CX846">
        <f>AJ846</f>
        <v/>
      </c>
      <c r="CY846">
        <f>(((S846+R846)*AT846)/100)</f>
        <v/>
      </c>
      <c r="CZ846">
        <f>(((S846+R846)*AU846)/100)</f>
        <v/>
      </c>
      <c r="DC846" t="inlineStr"/>
      <c r="DD846" t="inlineStr"/>
      <c r="DE846" t="inlineStr"/>
      <c r="DF846" t="inlineStr"/>
      <c r="DG846" t="inlineStr"/>
      <c r="DH846" t="inlineStr"/>
      <c r="DI846" t="inlineStr"/>
      <c r="DJ846" t="inlineStr"/>
      <c r="DK846" t="inlineStr"/>
      <c r="DL846" t="inlineStr"/>
      <c r="DM846" t="inlineStr"/>
      <c r="DN846" t="n">
        <v>0</v>
      </c>
      <c r="DO846" t="n">
        <v>0</v>
      </c>
      <c r="DP846" t="n">
        <v>1</v>
      </c>
      <c r="DQ846" t="n">
        <v>1</v>
      </c>
      <c r="DU846" t="n">
        <v>1010</v>
      </c>
      <c r="DV846" t="inlineStr">
        <is>
          <t>шт.</t>
        </is>
      </c>
      <c r="DW846" t="inlineStr">
        <is>
          <t>шт.</t>
        </is>
      </c>
      <c r="DX846" t="n">
        <v>1</v>
      </c>
      <c r="DZ846" t="inlineStr"/>
      <c r="EA846" t="inlineStr"/>
      <c r="EB846" t="inlineStr"/>
      <c r="EC846" t="inlineStr"/>
      <c r="EE846" t="n">
        <v>78726002</v>
      </c>
      <c r="EF846" t="n">
        <v>6</v>
      </c>
      <c r="EG846" t="inlineStr">
        <is>
          <t>Ремонтно-строительные работы</t>
        </is>
      </c>
      <c r="EH846" t="n">
        <v>99</v>
      </c>
      <c r="EI846" t="inlineStr">
        <is>
          <t>Внутренние санитарно-технические работы</t>
        </is>
      </c>
      <c r="EJ846" t="n">
        <v>1</v>
      </c>
      <c r="EK846" t="n">
        <v>65008</v>
      </c>
      <c r="EL846" t="inlineStr">
        <is>
          <t>Внутренние санитарнотехнические работы: смена труб, санприборов, запорной арматуры и другое</t>
        </is>
      </c>
      <c r="EM846" t="inlineStr">
        <is>
          <t>рФЕР-65</t>
        </is>
      </c>
      <c r="EO846" t="inlineStr"/>
      <c r="EQ846" t="n">
        <v>0</v>
      </c>
      <c r="ER846" t="n">
        <v>28.58</v>
      </c>
      <c r="ES846" t="n">
        <v>28.58</v>
      </c>
      <c r="ET846" t="n">
        <v>0</v>
      </c>
      <c r="EU846" t="n">
        <v>0</v>
      </c>
      <c r="EV846" t="n">
        <v>0</v>
      </c>
      <c r="EW846" t="n">
        <v>0</v>
      </c>
      <c r="EX846" t="n">
        <v>0</v>
      </c>
      <c r="FQ846" t="n">
        <v>0</v>
      </c>
      <c r="FR846" t="n">
        <v>0</v>
      </c>
      <c r="FS846" t="n">
        <v>0</v>
      </c>
      <c r="FX846" t="n">
        <v>103</v>
      </c>
      <c r="FY846" t="n">
        <v>52</v>
      </c>
      <c r="GA846" t="inlineStr"/>
      <c r="GD846" t="n">
        <v>1</v>
      </c>
      <c r="GF846" t="n">
        <v>-1108176549</v>
      </c>
      <c r="GG846" t="n">
        <v>2</v>
      </c>
      <c r="GH846" t="n">
        <v>1</v>
      </c>
      <c r="GI846" t="n">
        <v>2</v>
      </c>
      <c r="GJ846" t="n">
        <v>0</v>
      </c>
      <c r="GK846" t="n">
        <v>0</v>
      </c>
      <c r="GL846">
        <f>ROUND(IF(AND(BH846=3,BI846=3,FS846&lt;&gt;0),P846,0),0)</f>
        <v/>
      </c>
      <c r="GM846">
        <f>ROUND(O846+X846+Y846,0)+GX846</f>
        <v/>
      </c>
      <c r="GN846">
        <f>IF(OR(BI846=0,BI846=1),GM846-GX846,0)</f>
        <v/>
      </c>
      <c r="GO846">
        <f>IF(BI846=2,GM846-GX846,0)</f>
        <v/>
      </c>
      <c r="GP846">
        <f>IF(BI846=4,GM846-GX846,0)</f>
        <v/>
      </c>
      <c r="GR846" t="n">
        <v>0</v>
      </c>
      <c r="GS846" t="n">
        <v>3</v>
      </c>
      <c r="GT846" t="n">
        <v>0</v>
      </c>
      <c r="GU846" t="inlineStr"/>
      <c r="GV846">
        <f>ROUND((GT846),2)</f>
        <v/>
      </c>
      <c r="GW846" t="n">
        <v>1</v>
      </c>
      <c r="GX846">
        <f>ROUND(HC846*I846,0)</f>
        <v/>
      </c>
      <c r="HA846" t="n">
        <v>0</v>
      </c>
      <c r="HB846" t="n">
        <v>0</v>
      </c>
      <c r="HC846">
        <f>GV846*GW846</f>
        <v/>
      </c>
      <c r="HE846" t="inlineStr"/>
      <c r="HF846" t="inlineStr"/>
      <c r="HM846" t="inlineStr"/>
      <c r="HN846" t="inlineStr">
        <is>
          <t>Пр/812-099.2-1</t>
        </is>
      </c>
      <c r="HO846" t="inlineStr">
        <is>
          <t>Пр/774-099.2</t>
        </is>
      </c>
      <c r="HP846" t="inlineStr">
        <is>
          <t>Внутренние санитарнотехнические работы: смена труб, санприборов, запорной арматуры и другое</t>
        </is>
      </c>
      <c r="HQ846" t="inlineStr">
        <is>
          <t>Внутренние санитарнотехнические работы: смена труб, санприборов, запорной арматуры и другое</t>
        </is>
      </c>
      <c r="HS846" t="n">
        <v>0</v>
      </c>
      <c r="IK846" t="n">
        <v>0</v>
      </c>
    </row>
    <row r="847">
      <c r="A847" t="n">
        <v>18</v>
      </c>
      <c r="B847" t="n">
        <v>0</v>
      </c>
      <c r="C847" t="n">
        <v>474</v>
      </c>
      <c r="E847" t="inlineStr">
        <is>
          <t>3,2</t>
        </is>
      </c>
      <c r="F847" t="inlineStr">
        <is>
          <t>302-1237</t>
        </is>
      </c>
      <c r="G847" t="inlineStr">
        <is>
          <t>Сгоны стальные с муфтой и контргайкой, диаметром 20 мм</t>
        </is>
      </c>
      <c r="H847" t="inlineStr">
        <is>
          <t>шт.</t>
        </is>
      </c>
      <c r="I847">
        <f>I845*J847</f>
        <v/>
      </c>
      <c r="J847" t="n">
        <v>200</v>
      </c>
      <c r="K847" t="n">
        <v>200</v>
      </c>
      <c r="O847">
        <f>ROUND(CP847,0)</f>
        <v/>
      </c>
      <c r="P847">
        <f>ROUND(CQ847*I847,0)</f>
        <v/>
      </c>
      <c r="Q847">
        <f>(ROUND((ROUND(((ET847)*I847),0)*BB847),0)+ROUND((ROUND(((AE847-(EU847))*I847),0)*BS847),0))</f>
        <v/>
      </c>
      <c r="R847">
        <f>(ROUND((ROUND(((EU847)*I847),0)*BS847),0)+ROUND((ROUND(((AE847-(EU847))*I847),0)*BS847),0))</f>
        <v/>
      </c>
      <c r="S847">
        <f>ROUND(CT847*I847,0)</f>
        <v/>
      </c>
      <c r="T847">
        <f>ROUND(CU847*I847,0)</f>
        <v/>
      </c>
      <c r="U847">
        <f>ROUND(CV847*I847,7)</f>
        <v/>
      </c>
      <c r="V847">
        <f>ROUND(CW847*I847,7)</f>
        <v/>
      </c>
      <c r="W847">
        <f>ROUND(CX847*I847,0)</f>
        <v/>
      </c>
      <c r="X847">
        <f>ROUND(CY847,0)</f>
        <v/>
      </c>
      <c r="Y847">
        <f>ROUND(CZ847,0)</f>
        <v/>
      </c>
      <c r="AA847" t="n">
        <v>78869116</v>
      </c>
      <c r="AB847">
        <f>ROUND((AC847+AD847+AF847),2)</f>
        <v/>
      </c>
      <c r="AC847">
        <f>ROUND((ES847),2)</f>
        <v/>
      </c>
      <c r="AD847">
        <f>ROUND((((ET847)-(EU847))+AE847),2)</f>
        <v/>
      </c>
      <c r="AE847">
        <f>ROUND((EU847),2)</f>
        <v/>
      </c>
      <c r="AF847">
        <f>ROUND((EV847),2)</f>
        <v/>
      </c>
      <c r="AG847">
        <f>ROUND((AP847),2)</f>
        <v/>
      </c>
      <c r="AH847">
        <f>(EW847)</f>
        <v/>
      </c>
      <c r="AI847">
        <f>(EX847)</f>
        <v/>
      </c>
      <c r="AJ847">
        <f>(AS847)</f>
        <v/>
      </c>
      <c r="AK847" t="n">
        <v>10.95</v>
      </c>
      <c r="AL847" t="n">
        <v>10.95</v>
      </c>
      <c r="AM847" t="n">
        <v>0</v>
      </c>
      <c r="AN847" t="n">
        <v>0</v>
      </c>
      <c r="AO847" t="n">
        <v>0</v>
      </c>
      <c r="AP847" t="n">
        <v>0</v>
      </c>
      <c r="AQ847" t="n">
        <v>0</v>
      </c>
      <c r="AR847" t="n">
        <v>0</v>
      </c>
      <c r="AS847" t="n">
        <v>0.02</v>
      </c>
      <c r="AT847" t="n">
        <v>103</v>
      </c>
      <c r="AU847" t="n">
        <v>52</v>
      </c>
      <c r="AV847" t="n">
        <v>1</v>
      </c>
      <c r="AW847" t="n">
        <v>1</v>
      </c>
      <c r="AZ847" t="n">
        <v>1</v>
      </c>
      <c r="BA847" t="n">
        <v>1</v>
      </c>
      <c r="BB847" t="n">
        <v>1</v>
      </c>
      <c r="BC847" t="n">
        <v>9.039999999999999</v>
      </c>
      <c r="BD847" t="inlineStr"/>
      <c r="BE847" t="inlineStr"/>
      <c r="BF847" t="inlineStr"/>
      <c r="BG847" t="inlineStr"/>
      <c r="BH847" t="n">
        <v>3</v>
      </c>
      <c r="BI847" t="n">
        <v>1</v>
      </c>
      <c r="BJ847" t="inlineStr">
        <is>
          <t>ТССЦ Московской обл., 302-1237, приказ Минстроя России №675/пр от 28.02.2017 № 256/пр</t>
        </is>
      </c>
      <c r="BM847" t="n">
        <v>65008</v>
      </c>
      <c r="BN847" t="n">
        <v>0</v>
      </c>
      <c r="BO847" t="inlineStr">
        <is>
          <t>302-1237</t>
        </is>
      </c>
      <c r="BP847" t="n">
        <v>1</v>
      </c>
      <c r="BQ847" t="n">
        <v>6</v>
      </c>
      <c r="BR847" t="n">
        <v>0</v>
      </c>
      <c r="BS847" t="n">
        <v>1</v>
      </c>
      <c r="BT847" t="n">
        <v>1</v>
      </c>
      <c r="BU847" t="n">
        <v>1</v>
      </c>
      <c r="BV847" t="n">
        <v>1</v>
      </c>
      <c r="BW847" t="n">
        <v>1</v>
      </c>
      <c r="BX847" t="n">
        <v>1</v>
      </c>
      <c r="BY847" t="inlineStr"/>
      <c r="BZ847" t="n">
        <v>103</v>
      </c>
      <c r="CA847" t="n">
        <v>52</v>
      </c>
      <c r="CB847" t="inlineStr"/>
      <c r="CE847" t="n">
        <v>12</v>
      </c>
      <c r="CF847" t="n">
        <v>0</v>
      </c>
      <c r="CG847" t="n">
        <v>0</v>
      </c>
      <c r="CM847" t="n">
        <v>0</v>
      </c>
      <c r="CN847" t="inlineStr"/>
      <c r="CO847" t="n">
        <v>0</v>
      </c>
      <c r="CP847">
        <f>(P847+Q847+S847)</f>
        <v/>
      </c>
      <c r="CQ847">
        <f>AC847*BC847</f>
        <v/>
      </c>
      <c r="CR847">
        <f>(ROUND((ROUND(((ET847)*1),0)*BB847),0)+ROUND((ROUND(((AE847-(EU847))*1),0)*BS847),0))</f>
        <v/>
      </c>
      <c r="CS847">
        <f>(ROUND((ROUND(((EU847)*1),0)*BS847),0)+ROUND((ROUND(((AE847-(EU847))*1),0)*BS847),0))</f>
        <v/>
      </c>
      <c r="CT847">
        <f>AF847*BA847</f>
        <v/>
      </c>
      <c r="CU847">
        <f>AG847</f>
        <v/>
      </c>
      <c r="CV847">
        <f>AH847</f>
        <v/>
      </c>
      <c r="CW847">
        <f>AI847</f>
        <v/>
      </c>
      <c r="CX847">
        <f>AJ847</f>
        <v/>
      </c>
      <c r="CY847">
        <f>(((S847+R847)*AT847)/100)</f>
        <v/>
      </c>
      <c r="CZ847">
        <f>(((S847+R847)*AU847)/100)</f>
        <v/>
      </c>
      <c r="DC847" t="inlineStr"/>
      <c r="DD847" t="inlineStr"/>
      <c r="DE847" t="inlineStr"/>
      <c r="DF847" t="inlineStr"/>
      <c r="DG847" t="inlineStr"/>
      <c r="DH847" t="inlineStr"/>
      <c r="DI847" t="inlineStr"/>
      <c r="DJ847" t="inlineStr"/>
      <c r="DK847" t="inlineStr"/>
      <c r="DL847" t="inlineStr"/>
      <c r="DM847" t="inlineStr"/>
      <c r="DN847" t="n">
        <v>0</v>
      </c>
      <c r="DO847" t="n">
        <v>0</v>
      </c>
      <c r="DP847" t="n">
        <v>1</v>
      </c>
      <c r="DQ847" t="n">
        <v>1</v>
      </c>
      <c r="DU847" t="n">
        <v>1010</v>
      </c>
      <c r="DV847" t="inlineStr">
        <is>
          <t>шт.</t>
        </is>
      </c>
      <c r="DW847" t="inlineStr">
        <is>
          <t>шт.</t>
        </is>
      </c>
      <c r="DX847" t="n">
        <v>1</v>
      </c>
      <c r="DZ847" t="inlineStr"/>
      <c r="EA847" t="inlineStr"/>
      <c r="EB847" t="inlineStr"/>
      <c r="EC847" t="inlineStr"/>
      <c r="EE847" t="n">
        <v>78726002</v>
      </c>
      <c r="EF847" t="n">
        <v>6</v>
      </c>
      <c r="EG847" t="inlineStr">
        <is>
          <t>Ремонтно-строительные работы</t>
        </is>
      </c>
      <c r="EH847" t="n">
        <v>99</v>
      </c>
      <c r="EI847" t="inlineStr">
        <is>
          <t>Внутренние санитарно-технические работы</t>
        </is>
      </c>
      <c r="EJ847" t="n">
        <v>1</v>
      </c>
      <c r="EK847" t="n">
        <v>65008</v>
      </c>
      <c r="EL847" t="inlineStr">
        <is>
          <t>Внутренние санитарнотехнические работы: смена труб, санприборов, запорной арматуры и другое</t>
        </is>
      </c>
      <c r="EM847" t="inlineStr">
        <is>
          <t>рФЕР-65</t>
        </is>
      </c>
      <c r="EO847" t="inlineStr"/>
      <c r="EQ847" t="n">
        <v>0</v>
      </c>
      <c r="ER847" t="n">
        <v>10.95</v>
      </c>
      <c r="ES847" t="n">
        <v>10.95</v>
      </c>
      <c r="ET847" t="n">
        <v>0</v>
      </c>
      <c r="EU847" t="n">
        <v>0</v>
      </c>
      <c r="EV847" t="n">
        <v>0</v>
      </c>
      <c r="EW847" t="n">
        <v>0</v>
      </c>
      <c r="EX847" t="n">
        <v>0</v>
      </c>
      <c r="FQ847" t="n">
        <v>0</v>
      </c>
      <c r="FR847" t="n">
        <v>0</v>
      </c>
      <c r="FS847" t="n">
        <v>0</v>
      </c>
      <c r="FX847" t="n">
        <v>103</v>
      </c>
      <c r="FY847" t="n">
        <v>52</v>
      </c>
      <c r="GA847" t="inlineStr"/>
      <c r="GD847" t="n">
        <v>1</v>
      </c>
      <c r="GF847" t="n">
        <v>-1208440998</v>
      </c>
      <c r="GG847" t="n">
        <v>2</v>
      </c>
      <c r="GH847" t="n">
        <v>1</v>
      </c>
      <c r="GI847" t="n">
        <v>2</v>
      </c>
      <c r="GJ847" t="n">
        <v>0</v>
      </c>
      <c r="GK847" t="n">
        <v>0</v>
      </c>
      <c r="GL847">
        <f>ROUND(IF(AND(BH847=3,BI847=3,FS847&lt;&gt;0),P847,0),0)</f>
        <v/>
      </c>
      <c r="GM847">
        <f>ROUND(O847+X847+Y847,0)+GX847</f>
        <v/>
      </c>
      <c r="GN847">
        <f>IF(OR(BI847=0,BI847=1),GM847-GX847,0)</f>
        <v/>
      </c>
      <c r="GO847">
        <f>IF(BI847=2,GM847-GX847,0)</f>
        <v/>
      </c>
      <c r="GP847">
        <f>IF(BI847=4,GM847-GX847,0)</f>
        <v/>
      </c>
      <c r="GR847" t="n">
        <v>0</v>
      </c>
      <c r="GS847" t="n">
        <v>3</v>
      </c>
      <c r="GT847" t="n">
        <v>0</v>
      </c>
      <c r="GU847" t="inlineStr"/>
      <c r="GV847">
        <f>ROUND((GT847),2)</f>
        <v/>
      </c>
      <c r="GW847" t="n">
        <v>1</v>
      </c>
      <c r="GX847">
        <f>ROUND(HC847*I847,0)</f>
        <v/>
      </c>
      <c r="HA847" t="n">
        <v>0</v>
      </c>
      <c r="HB847" t="n">
        <v>0</v>
      </c>
      <c r="HC847">
        <f>GV847*GW847</f>
        <v/>
      </c>
      <c r="HE847" t="inlineStr"/>
      <c r="HF847" t="inlineStr"/>
      <c r="HM847" t="inlineStr"/>
      <c r="HN847" t="inlineStr">
        <is>
          <t>Пр/812-099.2-1</t>
        </is>
      </c>
      <c r="HO847" t="inlineStr">
        <is>
          <t>Пр/774-099.2</t>
        </is>
      </c>
      <c r="HP847" t="inlineStr">
        <is>
          <t>Внутренние санитарнотехнические работы: смена труб, санприборов, запорной арматуры и другое</t>
        </is>
      </c>
      <c r="HQ847" t="inlineStr">
        <is>
          <t>Внутренние санитарнотехнические работы: смена труб, санприборов, запорной арматуры и другое</t>
        </is>
      </c>
      <c r="HS847" t="n">
        <v>0</v>
      </c>
      <c r="IK847" t="n">
        <v>0</v>
      </c>
    </row>
    <row r="848">
      <c r="A848" t="n">
        <v>17</v>
      </c>
      <c r="B848" t="n">
        <v>0</v>
      </c>
      <c r="C848">
        <f>ROW(SmtRes!A481)</f>
        <v/>
      </c>
      <c r="D848">
        <f>ROW(EtalonRes!A438)</f>
        <v/>
      </c>
      <c r="E848" t="inlineStr">
        <is>
          <t>4</t>
        </is>
      </c>
      <c r="F848" t="inlineStr">
        <is>
          <t>16-07-005-1</t>
        </is>
      </c>
      <c r="G84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48" t="inlineStr">
        <is>
          <t>100 м трубопровода</t>
        </is>
      </c>
      <c r="I848">
        <f>ROUND(ROUND(90/100,4),7)</f>
        <v/>
      </c>
      <c r="J848" t="n">
        <v>0</v>
      </c>
      <c r="K848">
        <f>ROUND(ROUND(90/100,4),7)</f>
        <v/>
      </c>
      <c r="O848">
        <f>ROUND(CP848,0)</f>
        <v/>
      </c>
      <c r="P848">
        <f>ROUND(CQ848*I848,0)</f>
        <v/>
      </c>
      <c r="Q848">
        <f>(ROUND((ROUND((((ET848*ROUND(9,7)))*I848),0)*BB848),0)+ROUND((ROUND(((AE848-((EU848*ROUND(9,7))))*I848),0)*BS848),0))</f>
        <v/>
      </c>
      <c r="R848">
        <f>(ROUND((ROUND((((EU848*ROUND(9,7)))*I848),0)*BS848),0)+ROUND((ROUND(((AE848-((EU848*ROUND(9,7))))*I848),0)*BS848),0))</f>
        <v/>
      </c>
      <c r="S848">
        <f>ROUND(CT848*I848,0)</f>
        <v/>
      </c>
      <c r="T848">
        <f>ROUND(CU848*I848,0)</f>
        <v/>
      </c>
      <c r="U848">
        <f>ROUND(CV848*I848,7)</f>
        <v/>
      </c>
      <c r="V848">
        <f>ROUND(CW848*I848,7)</f>
        <v/>
      </c>
      <c r="W848">
        <f>ROUND(CX848*I848,0)</f>
        <v/>
      </c>
      <c r="X848">
        <f>ROUND(CY848,0)</f>
        <v/>
      </c>
      <c r="Y848">
        <f>ROUND(CZ848,0)</f>
        <v/>
      </c>
      <c r="AA848" t="n">
        <v>78869116</v>
      </c>
      <c r="AB848">
        <f>ROUND((AC848+AD848+AF848),2)</f>
        <v/>
      </c>
      <c r="AC848">
        <f>ROUND(((ES848*ROUND(9,7))),2)</f>
        <v/>
      </c>
      <c r="AD848">
        <f>ROUND(((((ET848*ROUND(9,7)))-((EU848*ROUND(9,7))))+AE848),2)</f>
        <v/>
      </c>
      <c r="AE848">
        <f>ROUND(((EU848*ROUND(9,7))),2)</f>
        <v/>
      </c>
      <c r="AF848">
        <f>ROUND(((EV848*ROUND(9,7))),2)</f>
        <v/>
      </c>
      <c r="AG848">
        <f>ROUND((AP848),2)</f>
        <v/>
      </c>
      <c r="AH848">
        <f>((EW848*ROUND(9,7)))</f>
        <v/>
      </c>
      <c r="AI848">
        <f>((EX848*ROUND(9,7)))</f>
        <v/>
      </c>
      <c r="AJ848">
        <f>(AS848)</f>
        <v/>
      </c>
      <c r="AK848" t="n">
        <v>107.11</v>
      </c>
      <c r="AL848" t="n">
        <v>4.28</v>
      </c>
      <c r="AM848" t="n">
        <v>44.51</v>
      </c>
      <c r="AN848" t="n">
        <v>0</v>
      </c>
      <c r="AO848" t="n">
        <v>58.32</v>
      </c>
      <c r="AP848" t="n">
        <v>0</v>
      </c>
      <c r="AQ848" t="n">
        <v>5.01</v>
      </c>
      <c r="AR848" t="n">
        <v>0</v>
      </c>
      <c r="AS848" t="n">
        <v>0</v>
      </c>
      <c r="AT848" t="n">
        <v>121</v>
      </c>
      <c r="AU848" t="n">
        <v>72</v>
      </c>
      <c r="AV848" t="n">
        <v>1</v>
      </c>
      <c r="AW848" t="n">
        <v>1</v>
      </c>
      <c r="AZ848" t="n">
        <v>1</v>
      </c>
      <c r="BA848" t="n">
        <v>52.25</v>
      </c>
      <c r="BB848" t="n">
        <v>5.97</v>
      </c>
      <c r="BC848" t="n">
        <v>11.38</v>
      </c>
      <c r="BD848" t="inlineStr"/>
      <c r="BE848" t="inlineStr"/>
      <c r="BF848" t="inlineStr"/>
      <c r="BG848" t="inlineStr"/>
      <c r="BH848" t="n">
        <v>0</v>
      </c>
      <c r="BI848" t="n">
        <v>1</v>
      </c>
      <c r="BJ848" t="inlineStr">
        <is>
          <t>ТЕР Московской обл., 16-07-005-1, приказ Минстроя России №675/пр от 28.02.2017 № 260/пр</t>
        </is>
      </c>
      <c r="BM848" t="n">
        <v>16001</v>
      </c>
      <c r="BN848" t="n">
        <v>0</v>
      </c>
      <c r="BO848" t="inlineStr">
        <is>
          <t>16-07-005-1</t>
        </is>
      </c>
      <c r="BP848" t="n">
        <v>1</v>
      </c>
      <c r="BQ848" t="n">
        <v>2</v>
      </c>
      <c r="BR848" t="n">
        <v>0</v>
      </c>
      <c r="BS848" t="n">
        <v>52.25</v>
      </c>
      <c r="BT848" t="n">
        <v>1</v>
      </c>
      <c r="BU848" t="n">
        <v>1</v>
      </c>
      <c r="BV848" t="n">
        <v>1</v>
      </c>
      <c r="BW848" t="n">
        <v>1</v>
      </c>
      <c r="BX848" t="n">
        <v>1</v>
      </c>
      <c r="BY848" t="inlineStr"/>
      <c r="BZ848" t="n">
        <v>121</v>
      </c>
      <c r="CA848" t="n">
        <v>72</v>
      </c>
      <c r="CB848" t="inlineStr"/>
      <c r="CE848" t="n">
        <v>12</v>
      </c>
      <c r="CF848" t="n">
        <v>0</v>
      </c>
      <c r="CG848" t="n">
        <v>0</v>
      </c>
      <c r="CM848" t="n">
        <v>0</v>
      </c>
      <c r="CN848" t="inlineStr"/>
      <c r="CO848" t="n">
        <v>0</v>
      </c>
      <c r="CP848">
        <f>(P848+Q848+S848)</f>
        <v/>
      </c>
      <c r="CQ848">
        <f>AC848*BC848</f>
        <v/>
      </c>
      <c r="CR848">
        <f>(ROUND((ROUND((((ET848*ROUND(9,7)))*1),0)*BB848),0)+ROUND((ROUND(((AE848-((EU848*ROUND(9,7))))*1),0)*BS848),0))</f>
        <v/>
      </c>
      <c r="CS848">
        <f>(ROUND((ROUND((((EU848*ROUND(9,7)))*1),0)*BS848),0)+ROUND((ROUND(((AE848-((EU848*ROUND(9,7))))*1),0)*BS848),0))</f>
        <v/>
      </c>
      <c r="CT848">
        <f>AF848*BA848</f>
        <v/>
      </c>
      <c r="CU848">
        <f>AG848</f>
        <v/>
      </c>
      <c r="CV848">
        <f>AH848</f>
        <v/>
      </c>
      <c r="CW848">
        <f>AI848</f>
        <v/>
      </c>
      <c r="CX848">
        <f>AJ848</f>
        <v/>
      </c>
      <c r="CY848">
        <f>(((S848+R848)*AT848)/100)</f>
        <v/>
      </c>
      <c r="CZ848">
        <f>(((S848+R848)*AU848)/100)</f>
        <v/>
      </c>
      <c r="DC848" t="inlineStr"/>
      <c r="DD848" t="inlineStr">
        <is>
          <t>)*9</t>
        </is>
      </c>
      <c r="DE848" t="inlineStr">
        <is>
          <t>)*9</t>
        </is>
      </c>
      <c r="DF848" t="inlineStr">
        <is>
          <t>)*9</t>
        </is>
      </c>
      <c r="DG848" t="inlineStr">
        <is>
          <t>)*9</t>
        </is>
      </c>
      <c r="DH848" t="inlineStr"/>
      <c r="DI848" t="inlineStr">
        <is>
          <t>)*9</t>
        </is>
      </c>
      <c r="DJ848" t="inlineStr">
        <is>
          <t>)*9</t>
        </is>
      </c>
      <c r="DK848" t="inlineStr"/>
      <c r="DL848" t="inlineStr"/>
      <c r="DM848" t="inlineStr"/>
      <c r="DN848" t="n">
        <v>0</v>
      </c>
      <c r="DO848" t="n">
        <v>0</v>
      </c>
      <c r="DP848" t="n">
        <v>1</v>
      </c>
      <c r="DQ848" t="n">
        <v>1</v>
      </c>
      <c r="DU848" t="n">
        <v>1013</v>
      </c>
      <c r="DV848" t="inlineStr">
        <is>
          <t>100 м трубопровода</t>
        </is>
      </c>
      <c r="DW848" t="inlineStr">
        <is>
          <t>100 м трубопровода</t>
        </is>
      </c>
      <c r="DX848" t="n">
        <v>1</v>
      </c>
      <c r="DZ848" t="inlineStr"/>
      <c r="EA848" t="inlineStr"/>
      <c r="EB848" t="inlineStr"/>
      <c r="EC848" t="inlineStr"/>
      <c r="EE848" t="n">
        <v>78725882</v>
      </c>
      <c r="EF848" t="n">
        <v>2</v>
      </c>
      <c r="EG848" t="inlineStr">
        <is>
          <t>Общестроительные работы</t>
        </is>
      </c>
      <c r="EH848" t="n">
        <v>16</v>
      </c>
      <c r="EI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48" t="n">
        <v>1</v>
      </c>
      <c r="EK848" t="n">
        <v>16001</v>
      </c>
      <c r="EL848" t="inlineStr">
        <is>
          <t>Трубопроводы внутренние</t>
        </is>
      </c>
      <c r="EM848" t="inlineStr">
        <is>
          <t>ФЕР-16</t>
        </is>
      </c>
      <c r="EO848" t="inlineStr"/>
      <c r="EQ848" t="n">
        <v>0</v>
      </c>
      <c r="ER848" t="n">
        <v>107.11</v>
      </c>
      <c r="ES848" t="n">
        <v>4.28</v>
      </c>
      <c r="ET848" t="n">
        <v>44.51</v>
      </c>
      <c r="EU848" t="n">
        <v>0</v>
      </c>
      <c r="EV848" t="n">
        <v>58.32</v>
      </c>
      <c r="EW848" t="n">
        <v>5.01</v>
      </c>
      <c r="EX848" t="n">
        <v>0</v>
      </c>
      <c r="EY848" t="n">
        <v>0</v>
      </c>
      <c r="FQ848" t="n">
        <v>0</v>
      </c>
      <c r="FR848" t="n">
        <v>0</v>
      </c>
      <c r="FS848" t="n">
        <v>0</v>
      </c>
      <c r="FX848" t="n">
        <v>121</v>
      </c>
      <c r="FY848" t="n">
        <v>72</v>
      </c>
      <c r="GA848" t="inlineStr"/>
      <c r="GD848" t="n">
        <v>1</v>
      </c>
      <c r="GF848" t="n">
        <v>635989612</v>
      </c>
      <c r="GG848" t="n">
        <v>2</v>
      </c>
      <c r="GH848" t="n">
        <v>1</v>
      </c>
      <c r="GI848" t="n">
        <v>2</v>
      </c>
      <c r="GJ848" t="n">
        <v>0</v>
      </c>
      <c r="GK848" t="n">
        <v>0</v>
      </c>
      <c r="GL848">
        <f>ROUND(IF(AND(BH848=3,BI848=3,FS848&lt;&gt;0),P848,0),0)</f>
        <v/>
      </c>
      <c r="GM848">
        <f>ROUND(O848+X848+Y848,0)+GX848</f>
        <v/>
      </c>
      <c r="GN848">
        <f>IF(OR(BI848=0,BI848=1),GM848-GX848,0)</f>
        <v/>
      </c>
      <c r="GO848">
        <f>IF(BI848=2,GM848-GX848,0)</f>
        <v/>
      </c>
      <c r="GP848">
        <f>IF(BI848=4,GM848-GX848,0)</f>
        <v/>
      </c>
      <c r="GR848" t="n">
        <v>0</v>
      </c>
      <c r="GS848" t="n">
        <v>3</v>
      </c>
      <c r="GT848" t="n">
        <v>0</v>
      </c>
      <c r="GU848" t="inlineStr"/>
      <c r="GV848">
        <f>ROUND((GT848),2)</f>
        <v/>
      </c>
      <c r="GW848" t="n">
        <v>1</v>
      </c>
      <c r="GX848">
        <f>ROUND(HC848*I848,0)</f>
        <v/>
      </c>
      <c r="HA848" t="n">
        <v>0</v>
      </c>
      <c r="HB848" t="n">
        <v>0</v>
      </c>
      <c r="HC848">
        <f>GV848*GW848</f>
        <v/>
      </c>
      <c r="HE848" t="inlineStr"/>
      <c r="HF848" t="inlineStr"/>
      <c r="HM848" t="inlineStr"/>
      <c r="HN848" t="inlineStr">
        <is>
          <t>Пр/812-016.0-1</t>
        </is>
      </c>
      <c r="HO848" t="inlineStr">
        <is>
          <t>Пр/774-016.0</t>
        </is>
      </c>
      <c r="HP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48" t="n">
        <v>0</v>
      </c>
      <c r="IK848" t="n">
        <v>0</v>
      </c>
    </row>
    <row r="849"/>
    <row r="850">
      <c r="A850" s="402" t="n">
        <v>51</v>
      </c>
      <c r="B850" s="402">
        <f>B834</f>
        <v/>
      </c>
      <c r="C850" s="402">
        <f>A834</f>
        <v/>
      </c>
      <c r="D850" s="402">
        <f>ROW(A834)</f>
        <v/>
      </c>
      <c r="E850" s="402" t="n"/>
      <c r="F850" s="402">
        <f>IF(F834&lt;&gt;"",F834,"")</f>
        <v/>
      </c>
      <c r="G850" s="402">
        <f>IF(G834&lt;&gt;"",G834,"")</f>
        <v/>
      </c>
      <c r="H850" s="402" t="n">
        <v>0</v>
      </c>
      <c r="I850" s="402" t="n"/>
      <c r="J850" s="402" t="n"/>
      <c r="K850" s="402" t="n"/>
      <c r="L850" s="402" t="n"/>
      <c r="M850" s="402" t="n"/>
      <c r="N850" s="402" t="n"/>
      <c r="O850" s="402" t="n">
        <v>0</v>
      </c>
      <c r="P850" s="402" t="n">
        <v>0</v>
      </c>
      <c r="Q850" s="402" t="n">
        <v>0</v>
      </c>
      <c r="R850" s="402" t="n">
        <v>0</v>
      </c>
      <c r="S850" s="402" t="n">
        <v>0</v>
      </c>
      <c r="T850" s="402" t="n">
        <v>0</v>
      </c>
      <c r="U850" s="402" t="n">
        <v>0</v>
      </c>
      <c r="V850" s="402" t="n">
        <v>0</v>
      </c>
      <c r="W850" s="402" t="n">
        <v>0</v>
      </c>
      <c r="X850" s="402" t="n">
        <v>0</v>
      </c>
      <c r="Y850" s="402" t="n">
        <v>0</v>
      </c>
      <c r="Z850" s="402" t="n"/>
      <c r="AA850" s="402" t="n"/>
      <c r="AB850" s="402" t="n"/>
      <c r="AC850" s="402" t="n"/>
      <c r="AD850" s="402" t="n"/>
      <c r="AE850" s="402" t="n"/>
      <c r="AF850" s="402" t="n"/>
      <c r="AG850" s="402" t="n"/>
      <c r="AH850" s="402" t="n"/>
      <c r="AI850" s="402" t="n"/>
      <c r="AJ850" s="402" t="n"/>
      <c r="AK850" s="402" t="n"/>
      <c r="AL850" s="402" t="n"/>
      <c r="AM850" s="402" t="n"/>
      <c r="AN850" s="402" t="n"/>
      <c r="AO850" s="402">
        <f>ROUND(BX850,0)</f>
        <v/>
      </c>
      <c r="AP850" s="402">
        <f>ROUND(BY850,0)</f>
        <v/>
      </c>
      <c r="AQ850" s="402">
        <f>ROUND(BZ850,0)</f>
        <v/>
      </c>
      <c r="AR850" s="402">
        <f>ROUND(CA850,0)</f>
        <v/>
      </c>
      <c r="AS850" s="402">
        <f>ROUND(CB850,0)</f>
        <v/>
      </c>
      <c r="AT850" s="402">
        <f>ROUND(CC850,0)</f>
        <v/>
      </c>
      <c r="AU850" s="402">
        <f>ROUND(CD850,0)</f>
        <v/>
      </c>
      <c r="AV850" s="402">
        <f>ROUND(CE850,0)</f>
        <v/>
      </c>
      <c r="AW850" s="402">
        <f>ROUND(CF850,0)</f>
        <v/>
      </c>
      <c r="AX850" s="402">
        <f>ROUND(CG850,0)</f>
        <v/>
      </c>
      <c r="AY850" s="402">
        <f>ROUND(CH850,0)</f>
        <v/>
      </c>
      <c r="AZ850" s="402">
        <f>ROUND(CI850,0)</f>
        <v/>
      </c>
      <c r="BA850" s="402">
        <f>ROUND(CJ850,0)</f>
        <v/>
      </c>
      <c r="BB850" s="402">
        <f>ROUND(CK850,0)</f>
        <v/>
      </c>
      <c r="BC850" s="402">
        <f>ROUND(CL850,0)</f>
        <v/>
      </c>
      <c r="BD850" s="402">
        <f>ROUND(CM850,0)</f>
        <v/>
      </c>
      <c r="BE850" s="402" t="n"/>
      <c r="BF850" s="402" t="n"/>
      <c r="BG850" s="402" t="n"/>
      <c r="BH850" s="402" t="n"/>
      <c r="BI850" s="402" t="n"/>
      <c r="BJ850" s="402" t="n"/>
      <c r="BK850" s="402" t="n"/>
      <c r="BL850" s="402" t="n"/>
      <c r="BM850" s="402" t="n"/>
      <c r="BN850" s="402" t="n"/>
      <c r="BO850" s="402" t="n"/>
      <c r="BP850" s="402" t="n"/>
      <c r="BQ850" s="402" t="n"/>
      <c r="BR850" s="402" t="n"/>
      <c r="BS850" s="402" t="n"/>
      <c r="BT850" s="402" t="n"/>
      <c r="BU850" s="402" t="n"/>
      <c r="BV850" s="402" t="n"/>
      <c r="BW850" s="402" t="n"/>
      <c r="BX850" s="402" t="n"/>
      <c r="BY850" s="402" t="n"/>
      <c r="BZ850" s="402" t="n"/>
      <c r="CA850" s="402" t="n"/>
      <c r="CB850" s="402" t="n"/>
      <c r="CC850" s="402" t="n"/>
      <c r="CD850" s="402" t="n"/>
      <c r="CE850" s="402" t="n"/>
      <c r="CF850" s="402" t="n"/>
      <c r="CG850" s="402" t="n"/>
      <c r="CH850" s="402" t="n"/>
      <c r="CI850" s="402" t="n"/>
      <c r="CJ850" s="402" t="n"/>
      <c r="CK850" s="402" t="n"/>
      <c r="CL850" s="402" t="n"/>
      <c r="CM850" s="402" t="n"/>
      <c r="CN850" s="402" t="n"/>
      <c r="CO850" s="402" t="n"/>
      <c r="CP850" s="402" t="n"/>
      <c r="CQ850" s="402" t="n"/>
      <c r="CR850" s="402" t="n"/>
      <c r="CS850" s="402" t="n"/>
      <c r="CT850" s="402" t="n"/>
      <c r="CU850" s="402" t="n"/>
      <c r="CV850" s="402" t="n"/>
      <c r="CW850" s="402" t="n"/>
      <c r="CX850" s="402" t="n"/>
      <c r="CY850" s="402" t="n"/>
      <c r="CZ850" s="402" t="n"/>
      <c r="DA850" s="402" t="n"/>
      <c r="DB850" s="402" t="n"/>
      <c r="DC850" s="402" t="n"/>
      <c r="DD850" s="402" t="n"/>
      <c r="DE850" s="402" t="n"/>
      <c r="DF850" s="402" t="n"/>
      <c r="DG850" s="403" t="n"/>
      <c r="DH850" s="403" t="n"/>
      <c r="DI850" s="403" t="n"/>
      <c r="DJ850" s="403" t="n"/>
      <c r="DK850" s="403" t="n"/>
      <c r="DL850" s="403" t="n"/>
      <c r="DM850" s="403" t="n"/>
      <c r="DN850" s="403" t="n"/>
      <c r="DO850" s="403" t="n"/>
      <c r="DP850" s="403" t="n"/>
      <c r="DQ850" s="403" t="n"/>
      <c r="DR850" s="403" t="n"/>
      <c r="DS850" s="403" t="n"/>
      <c r="DT850" s="403" t="n"/>
      <c r="DU850" s="403" t="n"/>
      <c r="DV850" s="403" t="n"/>
      <c r="DW850" s="403" t="n"/>
      <c r="DX850" s="403" t="n"/>
      <c r="DY850" s="403" t="n"/>
      <c r="DZ850" s="403" t="n"/>
      <c r="EA850" s="403" t="n"/>
      <c r="EB850" s="403" t="n"/>
      <c r="EC850" s="403" t="n"/>
      <c r="ED850" s="403" t="n"/>
      <c r="EE850" s="403" t="n"/>
      <c r="EF850" s="403" t="n"/>
      <c r="EG850" s="403" t="n"/>
      <c r="EH850" s="403" t="n"/>
      <c r="EI850" s="403" t="n"/>
      <c r="EJ850" s="403" t="n"/>
      <c r="EK850" s="403" t="n"/>
      <c r="EL850" s="403" t="n"/>
      <c r="EM850" s="403" t="n"/>
      <c r="EN850" s="403" t="n"/>
      <c r="EO850" s="403" t="n"/>
      <c r="EP850" s="403" t="n"/>
      <c r="EQ850" s="403" t="n"/>
      <c r="ER850" s="403" t="n"/>
      <c r="ES850" s="403" t="n"/>
      <c r="ET850" s="403" t="n"/>
      <c r="EU850" s="403" t="n"/>
      <c r="EV850" s="403" t="n"/>
      <c r="EW850" s="403" t="n"/>
      <c r="EX850" s="403" t="n"/>
      <c r="EY850" s="403" t="n"/>
      <c r="EZ850" s="403" t="n"/>
      <c r="FA850" s="403" t="n"/>
      <c r="FB850" s="403" t="n"/>
      <c r="FC850" s="403" t="n"/>
      <c r="FD850" s="403" t="n"/>
      <c r="FE850" s="403" t="n"/>
      <c r="FF850" s="403" t="n"/>
      <c r="FG850" s="403" t="n"/>
      <c r="FH850" s="403" t="n"/>
      <c r="FI850" s="403" t="n"/>
      <c r="FJ850" s="403" t="n"/>
      <c r="FK850" s="403" t="n"/>
      <c r="FL850" s="403" t="n"/>
      <c r="FM850" s="403" t="n"/>
      <c r="FN850" s="403" t="n"/>
      <c r="FO850" s="403" t="n"/>
      <c r="FP850" s="403" t="n"/>
      <c r="FQ850" s="403" t="n"/>
      <c r="FR850" s="403" t="n"/>
      <c r="FS850" s="403" t="n"/>
      <c r="FT850" s="403" t="n"/>
      <c r="FU850" s="403" t="n"/>
      <c r="FV850" s="403" t="n"/>
      <c r="FW850" s="403" t="n"/>
      <c r="FX850" s="403" t="n"/>
      <c r="FY850" s="403" t="n"/>
      <c r="FZ850" s="403" t="n"/>
      <c r="GA850" s="403" t="n"/>
      <c r="GB850" s="403" t="n"/>
      <c r="GC850" s="403" t="n"/>
      <c r="GD850" s="403" t="n"/>
      <c r="GE850" s="403" t="n"/>
      <c r="GF850" s="403" t="n"/>
      <c r="GG850" s="403" t="n"/>
      <c r="GH850" s="403" t="n"/>
      <c r="GI850" s="403" t="n"/>
      <c r="GJ850" s="403" t="n"/>
      <c r="GK850" s="403" t="n"/>
      <c r="GL850" s="403" t="n"/>
      <c r="GM850" s="403" t="n"/>
      <c r="GN850" s="403" t="n"/>
      <c r="GO850" s="403" t="n"/>
      <c r="GP850" s="403" t="n"/>
      <c r="GQ850" s="403" t="n"/>
      <c r="GR850" s="403" t="n"/>
      <c r="GS850" s="403" t="n"/>
      <c r="GT850" s="403" t="n"/>
      <c r="GU850" s="403" t="n"/>
      <c r="GV850" s="403" t="n"/>
      <c r="GW850" s="403" t="n"/>
      <c r="GX850" s="403" t="n">
        <v>0</v>
      </c>
    </row>
    <row r="851"/>
    <row r="852">
      <c r="A852" s="404" t="n">
        <v>50</v>
      </c>
      <c r="B852" s="404" t="n">
        <v>0</v>
      </c>
      <c r="C852" s="404" t="n">
        <v>0</v>
      </c>
      <c r="D852" s="404" t="n">
        <v>1</v>
      </c>
      <c r="E852" s="404" t="n">
        <v>201</v>
      </c>
      <c r="F852" s="404">
        <f>ROUND(Source!O850,O852)</f>
        <v/>
      </c>
      <c r="G852" s="404" t="inlineStr">
        <is>
          <t>ПЗ</t>
        </is>
      </c>
      <c r="H852" s="404" t="inlineStr">
        <is>
          <t>Прямые затраты</t>
        </is>
      </c>
      <c r="I852" s="404" t="n"/>
      <c r="J852" s="404" t="n"/>
      <c r="K852" s="404" t="n">
        <v>201</v>
      </c>
      <c r="L852" s="404" t="n">
        <v>1</v>
      </c>
      <c r="M852" s="404" t="n">
        <v>3</v>
      </c>
      <c r="N852" s="404" t="inlineStr"/>
      <c r="O852" s="404" t="n">
        <v>0</v>
      </c>
      <c r="P852" s="404" t="n"/>
      <c r="Q852" s="404" t="n"/>
      <c r="R852" s="404" t="n"/>
      <c r="S852" s="404" t="n"/>
      <c r="T852" s="404" t="n"/>
      <c r="U852" s="404" t="n"/>
      <c r="V852" s="404" t="n"/>
      <c r="W852" s="404" t="n">
        <v>0</v>
      </c>
      <c r="X852" s="404" t="n">
        <v>1</v>
      </c>
      <c r="Y852" s="404" t="n">
        <v>0</v>
      </c>
      <c r="Z852" s="404" t="n"/>
      <c r="AA852" s="404" t="n"/>
      <c r="AB852" s="404" t="n"/>
    </row>
    <row r="853">
      <c r="A853" s="404" t="n">
        <v>50</v>
      </c>
      <c r="B853" s="404" t="n">
        <v>0</v>
      </c>
      <c r="C853" s="404" t="n">
        <v>0</v>
      </c>
      <c r="D853" s="404" t="n">
        <v>1</v>
      </c>
      <c r="E853" s="404" t="n">
        <v>202</v>
      </c>
      <c r="F853" s="404">
        <f>ROUND(Source!P850,O853)</f>
        <v/>
      </c>
      <c r="G853" s="404" t="inlineStr">
        <is>
          <t>СтМатОб</t>
        </is>
      </c>
      <c r="H853" s="404" t="inlineStr">
        <is>
          <t>Стоимость материальных ресурсов (всего)</t>
        </is>
      </c>
      <c r="I853" s="404" t="n"/>
      <c r="J853" s="404" t="n"/>
      <c r="K853" s="404" t="n">
        <v>202</v>
      </c>
      <c r="L853" s="404" t="n">
        <v>2</v>
      </c>
      <c r="M853" s="404" t="n">
        <v>3</v>
      </c>
      <c r="N853" s="404" t="inlineStr"/>
      <c r="O853" s="404" t="n">
        <v>0</v>
      </c>
      <c r="P853" s="404" t="n"/>
      <c r="Q853" s="404" t="n"/>
      <c r="R853" s="404" t="n"/>
      <c r="S853" s="404" t="n"/>
      <c r="T853" s="404" t="n"/>
      <c r="U853" s="404" t="n"/>
      <c r="V853" s="404" t="n"/>
      <c r="W853" s="404" t="n">
        <v>0</v>
      </c>
      <c r="X853" s="404" t="n">
        <v>1</v>
      </c>
      <c r="Y853" s="404" t="n">
        <v>0</v>
      </c>
      <c r="Z853" s="404" t="n"/>
      <c r="AA853" s="404" t="n"/>
      <c r="AB853" s="404" t="n"/>
    </row>
    <row r="854">
      <c r="A854" s="404" t="n">
        <v>50</v>
      </c>
      <c r="B854" s="404" t="n">
        <v>0</v>
      </c>
      <c r="C854" s="404" t="n">
        <v>0</v>
      </c>
      <c r="D854" s="404" t="n">
        <v>1</v>
      </c>
      <c r="E854" s="404" t="n">
        <v>222</v>
      </c>
      <c r="F854" s="404">
        <f>ROUND(Source!AO850,O854)</f>
        <v/>
      </c>
      <c r="G854" s="404" t="inlineStr">
        <is>
          <t>СтМатОбЗак</t>
        </is>
      </c>
      <c r="H854" s="404" t="inlineStr">
        <is>
          <t>Стоимость материалов и оборудования заказчика</t>
        </is>
      </c>
      <c r="I854" s="404" t="n"/>
      <c r="J854" s="404" t="n"/>
      <c r="K854" s="404" t="n">
        <v>222</v>
      </c>
      <c r="L854" s="404" t="n">
        <v>3</v>
      </c>
      <c r="M854" s="404" t="n">
        <v>3</v>
      </c>
      <c r="N854" s="404" t="inlineStr"/>
      <c r="O854" s="404" t="n">
        <v>0</v>
      </c>
      <c r="P854" s="404" t="n"/>
      <c r="Q854" s="404" t="n"/>
      <c r="R854" s="404" t="n"/>
      <c r="S854" s="404" t="n"/>
      <c r="T854" s="404" t="n"/>
      <c r="U854" s="404" t="n"/>
      <c r="V854" s="404" t="n"/>
      <c r="W854" s="404" t="n">
        <v>0</v>
      </c>
      <c r="X854" s="404" t="n">
        <v>1</v>
      </c>
      <c r="Y854" s="404" t="n">
        <v>0</v>
      </c>
      <c r="Z854" s="404" t="n"/>
      <c r="AA854" s="404" t="n"/>
      <c r="AB854" s="404" t="n"/>
    </row>
    <row r="855">
      <c r="A855" s="404" t="n">
        <v>50</v>
      </c>
      <c r="B855" s="404" t="n">
        <v>0</v>
      </c>
      <c r="C855" s="404" t="n">
        <v>0</v>
      </c>
      <c r="D855" s="404" t="n">
        <v>1</v>
      </c>
      <c r="E855" s="404" t="n">
        <v>225</v>
      </c>
      <c r="F855" s="404">
        <f>ROUND(Source!AV850,O855)</f>
        <v/>
      </c>
      <c r="G855" s="404" t="inlineStr">
        <is>
          <t>СтМатОбПод</t>
        </is>
      </c>
      <c r="H855" s="404" t="inlineStr">
        <is>
          <t>Стоимость материалов и оборудования подрядчика</t>
        </is>
      </c>
      <c r="I855" s="404" t="n"/>
      <c r="J855" s="404" t="n"/>
      <c r="K855" s="404" t="n">
        <v>225</v>
      </c>
      <c r="L855" s="404" t="n">
        <v>4</v>
      </c>
      <c r="M855" s="404" t="n">
        <v>3</v>
      </c>
      <c r="N855" s="404" t="inlineStr"/>
      <c r="O855" s="404" t="n">
        <v>0</v>
      </c>
      <c r="P855" s="404" t="n"/>
      <c r="Q855" s="404" t="n"/>
      <c r="R855" s="404" t="n"/>
      <c r="S855" s="404" t="n"/>
      <c r="T855" s="404" t="n"/>
      <c r="U855" s="404" t="n"/>
      <c r="V855" s="404" t="n"/>
      <c r="W855" s="404" t="n">
        <v>0</v>
      </c>
      <c r="X855" s="404" t="n">
        <v>1</v>
      </c>
      <c r="Y855" s="404" t="n">
        <v>0</v>
      </c>
      <c r="Z855" s="404" t="n"/>
      <c r="AA855" s="404" t="n"/>
      <c r="AB855" s="404" t="n"/>
    </row>
    <row r="856">
      <c r="A856" s="404" t="n">
        <v>50</v>
      </c>
      <c r="B856" s="404" t="n">
        <v>0</v>
      </c>
      <c r="C856" s="404" t="n">
        <v>0</v>
      </c>
      <c r="D856" s="404" t="n">
        <v>1</v>
      </c>
      <c r="E856" s="404" t="n">
        <v>226</v>
      </c>
      <c r="F856" s="404">
        <f>ROUND(Source!AW850,O856)</f>
        <v/>
      </c>
      <c r="G856" s="404" t="inlineStr">
        <is>
          <t>СтМат</t>
        </is>
      </c>
      <c r="H856" s="404" t="inlineStr">
        <is>
          <t>Стоимость материалов (всего)</t>
        </is>
      </c>
      <c r="I856" s="404" t="n"/>
      <c r="J856" s="404" t="n"/>
      <c r="K856" s="404" t="n">
        <v>226</v>
      </c>
      <c r="L856" s="404" t="n">
        <v>5</v>
      </c>
      <c r="M856" s="404" t="n">
        <v>3</v>
      </c>
      <c r="N856" s="404" t="inlineStr"/>
      <c r="O856" s="404" t="n">
        <v>0</v>
      </c>
      <c r="P856" s="404" t="n"/>
      <c r="Q856" s="404" t="n"/>
      <c r="R856" s="404" t="n"/>
      <c r="S856" s="404" t="n"/>
      <c r="T856" s="404" t="n"/>
      <c r="U856" s="404" t="n"/>
      <c r="V856" s="404" t="n"/>
      <c r="W856" s="404" t="n">
        <v>0</v>
      </c>
      <c r="X856" s="404" t="n">
        <v>1</v>
      </c>
      <c r="Y856" s="404" t="n">
        <v>0</v>
      </c>
      <c r="Z856" s="404" t="n"/>
      <c r="AA856" s="404" t="n"/>
      <c r="AB856" s="404" t="n"/>
    </row>
    <row r="857">
      <c r="A857" s="404" t="n">
        <v>50</v>
      </c>
      <c r="B857" s="404" t="n">
        <v>0</v>
      </c>
      <c r="C857" s="404" t="n">
        <v>0</v>
      </c>
      <c r="D857" s="404" t="n">
        <v>1</v>
      </c>
      <c r="E857" s="404" t="n">
        <v>227</v>
      </c>
      <c r="F857" s="404">
        <f>ROUND(Source!AX850,O857)</f>
        <v/>
      </c>
      <c r="G857" s="404" t="inlineStr">
        <is>
          <t>СтМатЗак</t>
        </is>
      </c>
      <c r="H857" s="404" t="inlineStr">
        <is>
          <t>Стоимость материалов заказчика</t>
        </is>
      </c>
      <c r="I857" s="404" t="n"/>
      <c r="J857" s="404" t="n"/>
      <c r="K857" s="404" t="n">
        <v>227</v>
      </c>
      <c r="L857" s="404" t="n">
        <v>6</v>
      </c>
      <c r="M857" s="404" t="n">
        <v>3</v>
      </c>
      <c r="N857" s="404" t="inlineStr"/>
      <c r="O857" s="404" t="n">
        <v>0</v>
      </c>
      <c r="P857" s="404" t="n"/>
      <c r="Q857" s="404" t="n"/>
      <c r="R857" s="404" t="n"/>
      <c r="S857" s="404" t="n"/>
      <c r="T857" s="404" t="n"/>
      <c r="U857" s="404" t="n"/>
      <c r="V857" s="404" t="n"/>
      <c r="W857" s="404" t="n">
        <v>0</v>
      </c>
      <c r="X857" s="404" t="n">
        <v>1</v>
      </c>
      <c r="Y857" s="404" t="n">
        <v>0</v>
      </c>
      <c r="Z857" s="404" t="n"/>
      <c r="AA857" s="404" t="n"/>
      <c r="AB857" s="404" t="n"/>
    </row>
    <row r="858">
      <c r="A858" s="404" t="n">
        <v>50</v>
      </c>
      <c r="B858" s="404" t="n">
        <v>0</v>
      </c>
      <c r="C858" s="404" t="n">
        <v>0</v>
      </c>
      <c r="D858" s="404" t="n">
        <v>1</v>
      </c>
      <c r="E858" s="404" t="n">
        <v>228</v>
      </c>
      <c r="F858" s="404">
        <f>ROUND(Source!AY850,O858)</f>
        <v/>
      </c>
      <c r="G858" s="404" t="inlineStr">
        <is>
          <t>СтМатПод</t>
        </is>
      </c>
      <c r="H858" s="404" t="inlineStr">
        <is>
          <t>Стоимость материалов подрядчика</t>
        </is>
      </c>
      <c r="I858" s="404" t="n"/>
      <c r="J858" s="404" t="n"/>
      <c r="K858" s="404" t="n">
        <v>228</v>
      </c>
      <c r="L858" s="404" t="n">
        <v>7</v>
      </c>
      <c r="M858" s="404" t="n">
        <v>3</v>
      </c>
      <c r="N858" s="404" t="inlineStr"/>
      <c r="O858" s="404" t="n">
        <v>0</v>
      </c>
      <c r="P858" s="404" t="n"/>
      <c r="Q858" s="404" t="n"/>
      <c r="R858" s="404" t="n"/>
      <c r="S858" s="404" t="n"/>
      <c r="T858" s="404" t="n"/>
      <c r="U858" s="404" t="n"/>
      <c r="V858" s="404" t="n"/>
      <c r="W858" s="404" t="n">
        <v>0</v>
      </c>
      <c r="X858" s="404" t="n">
        <v>1</v>
      </c>
      <c r="Y858" s="404" t="n">
        <v>0</v>
      </c>
      <c r="Z858" s="404" t="n"/>
      <c r="AA858" s="404" t="n"/>
      <c r="AB858" s="404" t="n"/>
    </row>
    <row r="859">
      <c r="A859" s="404" t="n">
        <v>50</v>
      </c>
      <c r="B859" s="404" t="n">
        <v>0</v>
      </c>
      <c r="C859" s="404" t="n">
        <v>0</v>
      </c>
      <c r="D859" s="404" t="n">
        <v>1</v>
      </c>
      <c r="E859" s="404" t="n">
        <v>216</v>
      </c>
      <c r="F859" s="404">
        <f>ROUND(Source!AP850,O859)</f>
        <v/>
      </c>
      <c r="G859" s="404" t="inlineStr">
        <is>
          <t>Оборуд</t>
        </is>
      </c>
      <c r="H859" s="404" t="inlineStr">
        <is>
          <t>Стоимость оборудования (всего)</t>
        </is>
      </c>
      <c r="I859" s="404" t="n"/>
      <c r="J859" s="404" t="n"/>
      <c r="K859" s="404" t="n">
        <v>216</v>
      </c>
      <c r="L859" s="404" t="n">
        <v>8</v>
      </c>
      <c r="M859" s="404" t="n">
        <v>3</v>
      </c>
      <c r="N859" s="404" t="inlineStr"/>
      <c r="O859" s="404" t="n">
        <v>0</v>
      </c>
      <c r="P859" s="404" t="n"/>
      <c r="Q859" s="404" t="n"/>
      <c r="R859" s="404" t="n"/>
      <c r="S859" s="404" t="n"/>
      <c r="T859" s="404" t="n"/>
      <c r="U859" s="404" t="n"/>
      <c r="V859" s="404" t="n"/>
      <c r="W859" s="404" t="n">
        <v>0</v>
      </c>
      <c r="X859" s="404" t="n">
        <v>1</v>
      </c>
      <c r="Y859" s="404" t="n">
        <v>0</v>
      </c>
      <c r="Z859" s="404" t="n"/>
      <c r="AA859" s="404" t="n"/>
      <c r="AB859" s="404" t="n"/>
    </row>
    <row r="860">
      <c r="A860" s="404" t="n">
        <v>50</v>
      </c>
      <c r="B860" s="404" t="n">
        <v>0</v>
      </c>
      <c r="C860" s="404" t="n">
        <v>0</v>
      </c>
      <c r="D860" s="404" t="n">
        <v>1</v>
      </c>
      <c r="E860" s="404" t="n">
        <v>223</v>
      </c>
      <c r="F860" s="404">
        <f>ROUND(Source!AQ850,O860)</f>
        <v/>
      </c>
      <c r="G860" s="404" t="inlineStr">
        <is>
          <t>ОборудЗак</t>
        </is>
      </c>
      <c r="H860" s="404" t="inlineStr">
        <is>
          <t>Стоимость оборудования заказчика</t>
        </is>
      </c>
      <c r="I860" s="404" t="n"/>
      <c r="J860" s="404" t="n"/>
      <c r="K860" s="404" t="n">
        <v>223</v>
      </c>
      <c r="L860" s="404" t="n">
        <v>9</v>
      </c>
      <c r="M860" s="404" t="n">
        <v>3</v>
      </c>
      <c r="N860" s="404" t="inlineStr"/>
      <c r="O860" s="404" t="n">
        <v>0</v>
      </c>
      <c r="P860" s="404" t="n"/>
      <c r="Q860" s="404" t="n"/>
      <c r="R860" s="404" t="n"/>
      <c r="S860" s="404" t="n"/>
      <c r="T860" s="404" t="n"/>
      <c r="U860" s="404" t="n"/>
      <c r="V860" s="404" t="n"/>
      <c r="W860" s="404" t="n">
        <v>0</v>
      </c>
      <c r="X860" s="404" t="n">
        <v>1</v>
      </c>
      <c r="Y860" s="404" t="n">
        <v>0</v>
      </c>
      <c r="Z860" s="404" t="n"/>
      <c r="AA860" s="404" t="n"/>
      <c r="AB860" s="404" t="n"/>
    </row>
    <row r="861">
      <c r="A861" s="404" t="n">
        <v>50</v>
      </c>
      <c r="B861" s="404" t="n">
        <v>0</v>
      </c>
      <c r="C861" s="404" t="n">
        <v>0</v>
      </c>
      <c r="D861" s="404" t="n">
        <v>1</v>
      </c>
      <c r="E861" s="404" t="n">
        <v>229</v>
      </c>
      <c r="F861" s="404">
        <f>ROUND(Source!AZ850,O861)</f>
        <v/>
      </c>
      <c r="G861" s="404" t="inlineStr">
        <is>
          <t>ОборудПод</t>
        </is>
      </c>
      <c r="H861" s="404" t="inlineStr">
        <is>
          <t>Стоимость оборудования подрядчика</t>
        </is>
      </c>
      <c r="I861" s="404" t="n"/>
      <c r="J861" s="404" t="n"/>
      <c r="K861" s="404" t="n">
        <v>229</v>
      </c>
      <c r="L861" s="404" t="n">
        <v>10</v>
      </c>
      <c r="M861" s="404" t="n">
        <v>3</v>
      </c>
      <c r="N861" s="404" t="inlineStr"/>
      <c r="O861" s="404" t="n">
        <v>0</v>
      </c>
      <c r="P861" s="404" t="n"/>
      <c r="Q861" s="404" t="n"/>
      <c r="R861" s="404" t="n"/>
      <c r="S861" s="404" t="n"/>
      <c r="T861" s="404" t="n"/>
      <c r="U861" s="404" t="n"/>
      <c r="V861" s="404" t="n"/>
      <c r="W861" s="404" t="n">
        <v>0</v>
      </c>
      <c r="X861" s="404" t="n">
        <v>1</v>
      </c>
      <c r="Y861" s="404" t="n">
        <v>0</v>
      </c>
      <c r="Z861" s="404" t="n"/>
      <c r="AA861" s="404" t="n"/>
      <c r="AB861" s="404" t="n"/>
    </row>
    <row r="862">
      <c r="A862" s="404" t="n">
        <v>50</v>
      </c>
      <c r="B862" s="404" t="n">
        <v>0</v>
      </c>
      <c r="C862" s="404" t="n">
        <v>0</v>
      </c>
      <c r="D862" s="404" t="n">
        <v>1</v>
      </c>
      <c r="E862" s="404" t="n">
        <v>203</v>
      </c>
      <c r="F862" s="404">
        <f>ROUND(Source!Q850,O862)</f>
        <v/>
      </c>
      <c r="G862" s="404" t="inlineStr">
        <is>
          <t>ЭММ</t>
        </is>
      </c>
      <c r="H862" s="404" t="inlineStr">
        <is>
          <t>Эксплуатация машин</t>
        </is>
      </c>
      <c r="I862" s="404" t="n"/>
      <c r="J862" s="404" t="n"/>
      <c r="K862" s="404" t="n">
        <v>203</v>
      </c>
      <c r="L862" s="404" t="n">
        <v>11</v>
      </c>
      <c r="M862" s="404" t="n">
        <v>3</v>
      </c>
      <c r="N862" s="404" t="inlineStr"/>
      <c r="O862" s="404" t="n">
        <v>0</v>
      </c>
      <c r="P862" s="404" t="n"/>
      <c r="Q862" s="404" t="n"/>
      <c r="R862" s="404" t="n"/>
      <c r="S862" s="404" t="n"/>
      <c r="T862" s="404" t="n"/>
      <c r="U862" s="404" t="n"/>
      <c r="V862" s="404" t="n"/>
      <c r="W862" s="404" t="n">
        <v>0</v>
      </c>
      <c r="X862" s="404" t="n">
        <v>1</v>
      </c>
      <c r="Y862" s="404" t="n">
        <v>0</v>
      </c>
      <c r="Z862" s="404" t="n"/>
      <c r="AA862" s="404" t="n"/>
      <c r="AB862" s="404" t="n"/>
    </row>
    <row r="863">
      <c r="A863" s="404" t="n">
        <v>50</v>
      </c>
      <c r="B863" s="404" t="n">
        <v>0</v>
      </c>
      <c r="C863" s="404" t="n">
        <v>0</v>
      </c>
      <c r="D863" s="404" t="n">
        <v>1</v>
      </c>
      <c r="E863" s="404" t="n">
        <v>231</v>
      </c>
      <c r="F863" s="404">
        <f>ROUND(Source!BB850,O863)</f>
        <v/>
      </c>
      <c r="G863" s="404" t="inlineStr">
        <is>
          <t>ЭММсНРиСП</t>
        </is>
      </c>
      <c r="H863" s="404" t="inlineStr">
        <is>
          <t>Эксплуатация машин по ТСН-2001.16</t>
        </is>
      </c>
      <c r="I863" s="404" t="n"/>
      <c r="J863" s="404" t="n"/>
      <c r="K863" s="404" t="n">
        <v>231</v>
      </c>
      <c r="L863" s="404" t="n">
        <v>12</v>
      </c>
      <c r="M863" s="404" t="n">
        <v>3</v>
      </c>
      <c r="N863" s="404" t="inlineStr"/>
      <c r="O863" s="404" t="n">
        <v>0</v>
      </c>
      <c r="P863" s="404" t="n"/>
      <c r="Q863" s="404" t="n"/>
      <c r="R863" s="404" t="n"/>
      <c r="S863" s="404" t="n"/>
      <c r="T863" s="404" t="n"/>
      <c r="U863" s="404" t="n"/>
      <c r="V863" s="404" t="n"/>
      <c r="W863" s="404" t="n">
        <v>0</v>
      </c>
      <c r="X863" s="404" t="n">
        <v>1</v>
      </c>
      <c r="Y863" s="404" t="n">
        <v>0</v>
      </c>
      <c r="Z863" s="404" t="n"/>
      <c r="AA863" s="404" t="n"/>
      <c r="AB863" s="404" t="n"/>
    </row>
    <row r="864">
      <c r="A864" s="404" t="n">
        <v>50</v>
      </c>
      <c r="B864" s="404" t="n">
        <v>0</v>
      </c>
      <c r="C864" s="404" t="n">
        <v>0</v>
      </c>
      <c r="D864" s="404" t="n">
        <v>1</v>
      </c>
      <c r="E864" s="404" t="n">
        <v>204</v>
      </c>
      <c r="F864" s="404">
        <f>ROUND(Source!R850,O864)</f>
        <v/>
      </c>
      <c r="G864" s="404" t="inlineStr">
        <is>
          <t>ЗПМ</t>
        </is>
      </c>
      <c r="H864" s="404" t="inlineStr">
        <is>
          <t>ЗП машинистов</t>
        </is>
      </c>
      <c r="I864" s="404" t="n"/>
      <c r="J864" s="404" t="n"/>
      <c r="K864" s="404" t="n">
        <v>204</v>
      </c>
      <c r="L864" s="404" t="n">
        <v>13</v>
      </c>
      <c r="M864" s="404" t="n">
        <v>3</v>
      </c>
      <c r="N864" s="404" t="inlineStr"/>
      <c r="O864" s="404" t="n">
        <v>0</v>
      </c>
      <c r="P864" s="404" t="n"/>
      <c r="Q864" s="404" t="n"/>
      <c r="R864" s="404" t="n"/>
      <c r="S864" s="404" t="n"/>
      <c r="T864" s="404" t="n"/>
      <c r="U864" s="404" t="n"/>
      <c r="V864" s="404" t="n"/>
      <c r="W864" s="404" t="n">
        <v>0</v>
      </c>
      <c r="X864" s="404" t="n">
        <v>1</v>
      </c>
      <c r="Y864" s="404" t="n">
        <v>0</v>
      </c>
      <c r="Z864" s="404" t="n"/>
      <c r="AA864" s="404" t="n"/>
      <c r="AB864" s="404" t="n"/>
    </row>
    <row r="865">
      <c r="A865" s="404" t="n">
        <v>50</v>
      </c>
      <c r="B865" s="404" t="n">
        <v>0</v>
      </c>
      <c r="C865" s="404" t="n">
        <v>0</v>
      </c>
      <c r="D865" s="404" t="n">
        <v>1</v>
      </c>
      <c r="E865" s="404" t="n">
        <v>205</v>
      </c>
      <c r="F865" s="404">
        <f>ROUND(Source!S850,O865)</f>
        <v/>
      </c>
      <c r="G865" s="404" t="inlineStr">
        <is>
          <t>ОЗП</t>
        </is>
      </c>
      <c r="H865" s="404" t="inlineStr">
        <is>
          <t>Основная ЗП рабочих</t>
        </is>
      </c>
      <c r="I865" s="404" t="n"/>
      <c r="J865" s="404" t="n"/>
      <c r="K865" s="404" t="n">
        <v>205</v>
      </c>
      <c r="L865" s="404" t="n">
        <v>14</v>
      </c>
      <c r="M865" s="404" t="n">
        <v>3</v>
      </c>
      <c r="N865" s="404" t="inlineStr"/>
      <c r="O865" s="404" t="n">
        <v>0</v>
      </c>
      <c r="P865" s="404" t="n"/>
      <c r="Q865" s="404" t="n"/>
      <c r="R865" s="404" t="n"/>
      <c r="S865" s="404" t="n"/>
      <c r="T865" s="404" t="n"/>
      <c r="U865" s="404" t="n"/>
      <c r="V865" s="404" t="n"/>
      <c r="W865" s="404" t="n">
        <v>0</v>
      </c>
      <c r="X865" s="404" t="n">
        <v>1</v>
      </c>
      <c r="Y865" s="404" t="n">
        <v>0</v>
      </c>
      <c r="Z865" s="404" t="n"/>
      <c r="AA865" s="404" t="n"/>
      <c r="AB865" s="404" t="n"/>
    </row>
    <row r="866">
      <c r="A866" s="404" t="n">
        <v>50</v>
      </c>
      <c r="B866" s="404" t="n">
        <v>0</v>
      </c>
      <c r="C866" s="404" t="n">
        <v>0</v>
      </c>
      <c r="D866" s="404" t="n">
        <v>1</v>
      </c>
      <c r="E866" s="404" t="n">
        <v>232</v>
      </c>
      <c r="F866" s="404">
        <f>ROUND(Source!BC850,O866)</f>
        <v/>
      </c>
      <c r="G866" s="404" t="inlineStr">
        <is>
          <t>ОЗПсНРиСП</t>
        </is>
      </c>
      <c r="H866" s="404" t="inlineStr">
        <is>
          <t>Основная ЗП рабочих по ТСН-2001.16</t>
        </is>
      </c>
      <c r="I866" s="404" t="n"/>
      <c r="J866" s="404" t="n"/>
      <c r="K866" s="404" t="n">
        <v>232</v>
      </c>
      <c r="L866" s="404" t="n">
        <v>15</v>
      </c>
      <c r="M866" s="404" t="n">
        <v>3</v>
      </c>
      <c r="N866" s="404" t="inlineStr"/>
      <c r="O866" s="404" t="n">
        <v>0</v>
      </c>
      <c r="P866" s="404" t="n"/>
      <c r="Q866" s="404" t="n"/>
      <c r="R866" s="404" t="n"/>
      <c r="S866" s="404" t="n"/>
      <c r="T866" s="404" t="n"/>
      <c r="U866" s="404" t="n"/>
      <c r="V866" s="404" t="n"/>
      <c r="W866" s="404" t="n">
        <v>0</v>
      </c>
      <c r="X866" s="404" t="n">
        <v>1</v>
      </c>
      <c r="Y866" s="404" t="n">
        <v>0</v>
      </c>
      <c r="Z866" s="404" t="n"/>
      <c r="AA866" s="404" t="n"/>
      <c r="AB866" s="404" t="n"/>
    </row>
    <row r="867">
      <c r="A867" s="404" t="n">
        <v>50</v>
      </c>
      <c r="B867" s="404" t="n">
        <v>0</v>
      </c>
      <c r="C867" s="404" t="n">
        <v>0</v>
      </c>
      <c r="D867" s="404" t="n">
        <v>1</v>
      </c>
      <c r="E867" s="404" t="n">
        <v>214</v>
      </c>
      <c r="F867" s="404">
        <f>ROUND(Source!AS850,O867)</f>
        <v/>
      </c>
      <c r="G867" s="404" t="inlineStr">
        <is>
          <t>Строит</t>
        </is>
      </c>
      <c r="H867" s="404" t="inlineStr">
        <is>
          <t>Строительные работы с НР и СП</t>
        </is>
      </c>
      <c r="I867" s="404" t="n"/>
      <c r="J867" s="404" t="n"/>
      <c r="K867" s="404" t="n">
        <v>214</v>
      </c>
      <c r="L867" s="404" t="n">
        <v>16</v>
      </c>
      <c r="M867" s="404" t="n">
        <v>3</v>
      </c>
      <c r="N867" s="404" t="inlineStr"/>
      <c r="O867" s="404" t="n">
        <v>0</v>
      </c>
      <c r="P867" s="404" t="n"/>
      <c r="Q867" s="404" t="n"/>
      <c r="R867" s="404" t="n"/>
      <c r="S867" s="404" t="n"/>
      <c r="T867" s="404" t="n"/>
      <c r="U867" s="404" t="n"/>
      <c r="V867" s="404" t="n"/>
      <c r="W867" s="404" t="n">
        <v>0</v>
      </c>
      <c r="X867" s="404" t="n">
        <v>1</v>
      </c>
      <c r="Y867" s="404" t="n">
        <v>0</v>
      </c>
      <c r="Z867" s="404" t="n"/>
      <c r="AA867" s="404" t="n"/>
      <c r="AB867" s="404" t="n"/>
    </row>
    <row r="868">
      <c r="A868" s="404" t="n">
        <v>50</v>
      </c>
      <c r="B868" s="404" t="n">
        <v>0</v>
      </c>
      <c r="C868" s="404" t="n">
        <v>0</v>
      </c>
      <c r="D868" s="404" t="n">
        <v>1</v>
      </c>
      <c r="E868" s="404" t="n">
        <v>215</v>
      </c>
      <c r="F868" s="404">
        <f>ROUND(Source!AT850,O868)</f>
        <v/>
      </c>
      <c r="G868" s="404" t="inlineStr">
        <is>
          <t>Монтаж</t>
        </is>
      </c>
      <c r="H868" s="404" t="inlineStr">
        <is>
          <t>Монтажные работы с НР и СП</t>
        </is>
      </c>
      <c r="I868" s="404" t="n"/>
      <c r="J868" s="404" t="n"/>
      <c r="K868" s="404" t="n">
        <v>215</v>
      </c>
      <c r="L868" s="404" t="n">
        <v>17</v>
      </c>
      <c r="M868" s="404" t="n">
        <v>3</v>
      </c>
      <c r="N868" s="404" t="inlineStr"/>
      <c r="O868" s="404" t="n">
        <v>0</v>
      </c>
      <c r="P868" s="404" t="n"/>
      <c r="Q868" s="404" t="n"/>
      <c r="R868" s="404" t="n"/>
      <c r="S868" s="404" t="n"/>
      <c r="T868" s="404" t="n"/>
      <c r="U868" s="404" t="n"/>
      <c r="V868" s="404" t="n"/>
      <c r="W868" s="404" t="n">
        <v>0</v>
      </c>
      <c r="X868" s="404" t="n">
        <v>1</v>
      </c>
      <c r="Y868" s="404" t="n">
        <v>0</v>
      </c>
      <c r="Z868" s="404" t="n"/>
      <c r="AA868" s="404" t="n"/>
      <c r="AB868" s="404" t="n"/>
    </row>
    <row r="869">
      <c r="A869" s="404" t="n">
        <v>50</v>
      </c>
      <c r="B869" s="404" t="n">
        <v>0</v>
      </c>
      <c r="C869" s="404" t="n">
        <v>0</v>
      </c>
      <c r="D869" s="404" t="n">
        <v>1</v>
      </c>
      <c r="E869" s="404" t="n">
        <v>217</v>
      </c>
      <c r="F869" s="404">
        <f>ROUND(Source!AU850,O869)</f>
        <v/>
      </c>
      <c r="G869" s="404" t="inlineStr">
        <is>
          <t>Прочие</t>
        </is>
      </c>
      <c r="H869" s="404" t="inlineStr">
        <is>
          <t>Прочие работы с НР и СП</t>
        </is>
      </c>
      <c r="I869" s="404" t="n"/>
      <c r="J869" s="404" t="n"/>
      <c r="K869" s="404" t="n">
        <v>217</v>
      </c>
      <c r="L869" s="404" t="n">
        <v>18</v>
      </c>
      <c r="M869" s="404" t="n">
        <v>3</v>
      </c>
      <c r="N869" s="404" t="inlineStr"/>
      <c r="O869" s="404" t="n">
        <v>0</v>
      </c>
      <c r="P869" s="404" t="n"/>
      <c r="Q869" s="404" t="n"/>
      <c r="R869" s="404" t="n"/>
      <c r="S869" s="404" t="n"/>
      <c r="T869" s="404" t="n"/>
      <c r="U869" s="404" t="n"/>
      <c r="V869" s="404" t="n"/>
      <c r="W869" s="404" t="n">
        <v>0</v>
      </c>
      <c r="X869" s="404" t="n">
        <v>1</v>
      </c>
      <c r="Y869" s="404" t="n">
        <v>0</v>
      </c>
      <c r="Z869" s="404" t="n"/>
      <c r="AA869" s="404" t="n"/>
      <c r="AB869" s="404" t="n"/>
    </row>
    <row r="870">
      <c r="A870" s="404" t="n">
        <v>50</v>
      </c>
      <c r="B870" s="404" t="n">
        <v>0</v>
      </c>
      <c r="C870" s="404" t="n">
        <v>0</v>
      </c>
      <c r="D870" s="404" t="n">
        <v>1</v>
      </c>
      <c r="E870" s="404" t="n">
        <v>230</v>
      </c>
      <c r="F870" s="404">
        <f>ROUND(Source!BA850,O870)</f>
        <v/>
      </c>
      <c r="G870" s="404" t="inlineStr">
        <is>
          <t>ПрочиеЗатр</t>
        </is>
      </c>
      <c r="H870" s="404" t="inlineStr">
        <is>
          <t>Прочие затраты по ТСН-2001.16</t>
        </is>
      </c>
      <c r="I870" s="404" t="n"/>
      <c r="J870" s="404" t="n"/>
      <c r="K870" s="404" t="n">
        <v>230</v>
      </c>
      <c r="L870" s="404" t="n">
        <v>19</v>
      </c>
      <c r="M870" s="404" t="n">
        <v>3</v>
      </c>
      <c r="N870" s="404" t="inlineStr"/>
      <c r="O870" s="404" t="n">
        <v>0</v>
      </c>
      <c r="P870" s="404" t="n"/>
      <c r="Q870" s="404" t="n"/>
      <c r="R870" s="404" t="n"/>
      <c r="S870" s="404" t="n"/>
      <c r="T870" s="404" t="n"/>
      <c r="U870" s="404" t="n"/>
      <c r="V870" s="404" t="n"/>
      <c r="W870" s="404" t="n">
        <v>0</v>
      </c>
      <c r="X870" s="404" t="n">
        <v>1</v>
      </c>
      <c r="Y870" s="404" t="n">
        <v>0</v>
      </c>
      <c r="Z870" s="404" t="n"/>
      <c r="AA870" s="404" t="n"/>
      <c r="AB870" s="404" t="n"/>
    </row>
    <row r="871">
      <c r="A871" s="404" t="n">
        <v>50</v>
      </c>
      <c r="B871" s="404" t="n">
        <v>0</v>
      </c>
      <c r="C871" s="404" t="n">
        <v>0</v>
      </c>
      <c r="D871" s="404" t="n">
        <v>1</v>
      </c>
      <c r="E871" s="404" t="n">
        <v>206</v>
      </c>
      <c r="F871" s="404">
        <f>ROUND(Source!T850,O871)</f>
        <v/>
      </c>
      <c r="G871" s="404" t="inlineStr">
        <is>
          <t>ВозврМат</t>
        </is>
      </c>
      <c r="H871" s="404" t="inlineStr">
        <is>
          <t>Возврат материалов</t>
        </is>
      </c>
      <c r="I871" s="404" t="n"/>
      <c r="J871" s="404" t="n"/>
      <c r="K871" s="404" t="n">
        <v>206</v>
      </c>
      <c r="L871" s="404" t="n">
        <v>20</v>
      </c>
      <c r="M871" s="404" t="n">
        <v>3</v>
      </c>
      <c r="N871" s="404" t="inlineStr"/>
      <c r="O871" s="404" t="n">
        <v>0</v>
      </c>
      <c r="P871" s="404" t="n"/>
      <c r="Q871" s="404" t="n"/>
      <c r="R871" s="404" t="n"/>
      <c r="S871" s="404" t="n"/>
      <c r="T871" s="404" t="n"/>
      <c r="U871" s="404" t="n"/>
      <c r="V871" s="404" t="n"/>
      <c r="W871" s="404" t="n">
        <v>0</v>
      </c>
      <c r="X871" s="404" t="n">
        <v>1</v>
      </c>
      <c r="Y871" s="404" t="n">
        <v>0</v>
      </c>
      <c r="Z871" s="404" t="n"/>
      <c r="AA871" s="404" t="n"/>
      <c r="AB871" s="404" t="n"/>
    </row>
    <row r="872">
      <c r="A872" s="404" t="n">
        <v>50</v>
      </c>
      <c r="B872" s="404" t="n">
        <v>0</v>
      </c>
      <c r="C872" s="404" t="n">
        <v>0</v>
      </c>
      <c r="D872" s="404" t="n">
        <v>1</v>
      </c>
      <c r="E872" s="404" t="n">
        <v>207</v>
      </c>
      <c r="F872" s="404">
        <f>ROUND(Source!U850,O872)</f>
        <v/>
      </c>
      <c r="G872" s="404" t="inlineStr">
        <is>
          <t>ТрудСтр</t>
        </is>
      </c>
      <c r="H872" s="404" t="inlineStr">
        <is>
          <t>Трудозатраты строителей</t>
        </is>
      </c>
      <c r="I872" s="404" t="n"/>
      <c r="J872" s="404" t="n"/>
      <c r="K872" s="404" t="n">
        <v>207</v>
      </c>
      <c r="L872" s="404" t="n">
        <v>21</v>
      </c>
      <c r="M872" s="404" t="n">
        <v>3</v>
      </c>
      <c r="N872" s="404" t="inlineStr"/>
      <c r="O872" s="404" t="n">
        <v>7</v>
      </c>
      <c r="P872" s="404" t="n"/>
      <c r="Q872" s="404" t="n"/>
      <c r="R872" s="404" t="n"/>
      <c r="S872" s="404" t="n"/>
      <c r="T872" s="404" t="n"/>
      <c r="U872" s="404" t="n"/>
      <c r="V872" s="404" t="n"/>
      <c r="W872" s="404" t="n">
        <v>0</v>
      </c>
      <c r="X872" s="404" t="n">
        <v>1</v>
      </c>
      <c r="Y872" s="404" t="n">
        <v>0</v>
      </c>
      <c r="Z872" s="404" t="n"/>
      <c r="AA872" s="404" t="n"/>
      <c r="AB872" s="404" t="n"/>
    </row>
    <row r="873">
      <c r="A873" s="404" t="n">
        <v>50</v>
      </c>
      <c r="B873" s="404" t="n">
        <v>0</v>
      </c>
      <c r="C873" s="404" t="n">
        <v>0</v>
      </c>
      <c r="D873" s="404" t="n">
        <v>1</v>
      </c>
      <c r="E873" s="404" t="n">
        <v>208</v>
      </c>
      <c r="F873" s="404">
        <f>ROUND(Source!V850,O873)</f>
        <v/>
      </c>
      <c r="G873" s="404" t="inlineStr">
        <is>
          <t>ТрудМаш</t>
        </is>
      </c>
      <c r="H873" s="404" t="inlineStr">
        <is>
          <t>Трудозатраты машинистов</t>
        </is>
      </c>
      <c r="I873" s="404" t="n"/>
      <c r="J873" s="404" t="n"/>
      <c r="K873" s="404" t="n">
        <v>208</v>
      </c>
      <c r="L873" s="404" t="n">
        <v>22</v>
      </c>
      <c r="M873" s="404" t="n">
        <v>3</v>
      </c>
      <c r="N873" s="404" t="inlineStr"/>
      <c r="O873" s="404" t="n">
        <v>7</v>
      </c>
      <c r="P873" s="404" t="n"/>
      <c r="Q873" s="404" t="n"/>
      <c r="R873" s="404" t="n"/>
      <c r="S873" s="404" t="n"/>
      <c r="T873" s="404" t="n"/>
      <c r="U873" s="404" t="n"/>
      <c r="V873" s="404" t="n"/>
      <c r="W873" s="404" t="n">
        <v>0</v>
      </c>
      <c r="X873" s="404" t="n">
        <v>1</v>
      </c>
      <c r="Y873" s="404" t="n">
        <v>0</v>
      </c>
      <c r="Z873" s="404" t="n"/>
      <c r="AA873" s="404" t="n"/>
      <c r="AB873" s="404" t="n"/>
    </row>
    <row r="874">
      <c r="A874" s="404" t="n">
        <v>50</v>
      </c>
      <c r="B874" s="404" t="n">
        <v>0</v>
      </c>
      <c r="C874" s="404" t="n">
        <v>0</v>
      </c>
      <c r="D874" s="404" t="n">
        <v>1</v>
      </c>
      <c r="E874" s="404" t="n">
        <v>209</v>
      </c>
      <c r="F874" s="404">
        <f>ROUND(Source!W850,O874)</f>
        <v/>
      </c>
      <c r="G874" s="404" t="inlineStr">
        <is>
          <t>ТранспМат</t>
        </is>
      </c>
      <c r="H874" s="404" t="inlineStr">
        <is>
          <t>Транспорт материалов</t>
        </is>
      </c>
      <c r="I874" s="404" t="n"/>
      <c r="J874" s="404" t="n"/>
      <c r="K874" s="404" t="n">
        <v>209</v>
      </c>
      <c r="L874" s="404" t="n">
        <v>23</v>
      </c>
      <c r="M874" s="404" t="n">
        <v>3</v>
      </c>
      <c r="N874" s="404" t="inlineStr"/>
      <c r="O874" s="404" t="n">
        <v>0</v>
      </c>
      <c r="P874" s="404" t="n"/>
      <c r="Q874" s="404" t="n"/>
      <c r="R874" s="404" t="n"/>
      <c r="S874" s="404" t="n"/>
      <c r="T874" s="404" t="n"/>
      <c r="U874" s="404" t="n"/>
      <c r="V874" s="404" t="n"/>
      <c r="W874" s="404" t="n">
        <v>0</v>
      </c>
      <c r="X874" s="404" t="n">
        <v>1</v>
      </c>
      <c r="Y874" s="404" t="n">
        <v>0</v>
      </c>
      <c r="Z874" s="404" t="n"/>
      <c r="AA874" s="404" t="n"/>
      <c r="AB874" s="404" t="n"/>
    </row>
    <row r="875">
      <c r="A875" s="404" t="n">
        <v>50</v>
      </c>
      <c r="B875" s="404" t="n">
        <v>0</v>
      </c>
      <c r="C875" s="404" t="n">
        <v>0</v>
      </c>
      <c r="D875" s="404" t="n">
        <v>1</v>
      </c>
      <c r="E875" s="404" t="n">
        <v>233</v>
      </c>
      <c r="F875" s="404">
        <f>ROUND(Source!BD850,O875)</f>
        <v/>
      </c>
      <c r="G875" s="404" t="inlineStr">
        <is>
          <t>Перевозка</t>
        </is>
      </c>
      <c r="H875" s="404" t="inlineStr">
        <is>
          <t>Перевозка грузов</t>
        </is>
      </c>
      <c r="I875" s="404" t="n"/>
      <c r="J875" s="404" t="n"/>
      <c r="K875" s="404" t="n">
        <v>233</v>
      </c>
      <c r="L875" s="404" t="n">
        <v>24</v>
      </c>
      <c r="M875" s="404" t="n">
        <v>3</v>
      </c>
      <c r="N875" s="404" t="inlineStr"/>
      <c r="O875" s="404" t="n">
        <v>0</v>
      </c>
      <c r="P875" s="404" t="n"/>
      <c r="Q875" s="404" t="n"/>
      <c r="R875" s="404" t="n"/>
      <c r="S875" s="404" t="n"/>
      <c r="T875" s="404" t="n"/>
      <c r="U875" s="404" t="n"/>
      <c r="V875" s="404" t="n"/>
      <c r="W875" s="404" t="n">
        <v>0</v>
      </c>
      <c r="X875" s="404" t="n">
        <v>1</v>
      </c>
      <c r="Y875" s="404" t="n">
        <v>0</v>
      </c>
      <c r="Z875" s="404" t="n"/>
      <c r="AA875" s="404" t="n"/>
      <c r="AB875" s="404" t="n"/>
    </row>
    <row r="876">
      <c r="A876" s="404" t="n">
        <v>50</v>
      </c>
      <c r="B876" s="404" t="n">
        <v>0</v>
      </c>
      <c r="C876" s="404" t="n">
        <v>0</v>
      </c>
      <c r="D876" s="404" t="n">
        <v>1</v>
      </c>
      <c r="E876" s="404" t="n">
        <v>210</v>
      </c>
      <c r="F876" s="404">
        <f>ROUND(Source!X850,O876)</f>
        <v/>
      </c>
      <c r="G876" s="404" t="inlineStr">
        <is>
          <t>НР</t>
        </is>
      </c>
      <c r="H876" s="404" t="inlineStr">
        <is>
          <t>Накладные расходы</t>
        </is>
      </c>
      <c r="I876" s="404" t="n"/>
      <c r="J876" s="404" t="n"/>
      <c r="K876" s="404" t="n">
        <v>210</v>
      </c>
      <c r="L876" s="404" t="n">
        <v>25</v>
      </c>
      <c r="M876" s="404" t="n">
        <v>3</v>
      </c>
      <c r="N876" s="404" t="inlineStr"/>
      <c r="O876" s="404" t="n">
        <v>0</v>
      </c>
      <c r="P876" s="404" t="n"/>
      <c r="Q876" s="404" t="n"/>
      <c r="R876" s="404" t="n"/>
      <c r="S876" s="404" t="n"/>
      <c r="T876" s="404" t="n"/>
      <c r="U876" s="404" t="n"/>
      <c r="V876" s="404" t="n"/>
      <c r="W876" s="404" t="n">
        <v>0</v>
      </c>
      <c r="X876" s="404" t="n">
        <v>1</v>
      </c>
      <c r="Y876" s="404" t="n">
        <v>0</v>
      </c>
      <c r="Z876" s="404" t="n"/>
      <c r="AA876" s="404" t="n"/>
      <c r="AB876" s="404" t="n"/>
    </row>
    <row r="877">
      <c r="A877" s="404" t="n">
        <v>50</v>
      </c>
      <c r="B877" s="404" t="n">
        <v>0</v>
      </c>
      <c r="C877" s="404" t="n">
        <v>0</v>
      </c>
      <c r="D877" s="404" t="n">
        <v>1</v>
      </c>
      <c r="E877" s="404" t="n">
        <v>211</v>
      </c>
      <c r="F877" s="404">
        <f>ROUND(Source!Y850,O877)</f>
        <v/>
      </c>
      <c r="G877" s="404" t="inlineStr">
        <is>
          <t>СмПриб</t>
        </is>
      </c>
      <c r="H877" s="404" t="inlineStr">
        <is>
          <t>Сметная прибыль</t>
        </is>
      </c>
      <c r="I877" s="404" t="n"/>
      <c r="J877" s="404" t="n"/>
      <c r="K877" s="404" t="n">
        <v>211</v>
      </c>
      <c r="L877" s="404" t="n">
        <v>26</v>
      </c>
      <c r="M877" s="404" t="n">
        <v>3</v>
      </c>
      <c r="N877" s="404" t="inlineStr"/>
      <c r="O877" s="404" t="n">
        <v>0</v>
      </c>
      <c r="P877" s="404" t="n"/>
      <c r="Q877" s="404" t="n"/>
      <c r="R877" s="404" t="n"/>
      <c r="S877" s="404" t="n"/>
      <c r="T877" s="404" t="n"/>
      <c r="U877" s="404" t="n"/>
      <c r="V877" s="404" t="n"/>
      <c r="W877" s="404" t="n">
        <v>0</v>
      </c>
      <c r="X877" s="404" t="n">
        <v>1</v>
      </c>
      <c r="Y877" s="404" t="n">
        <v>0</v>
      </c>
      <c r="Z877" s="404" t="n"/>
      <c r="AA877" s="404" t="n"/>
      <c r="AB877" s="404" t="n"/>
    </row>
    <row r="878">
      <c r="A878" s="404" t="n">
        <v>50</v>
      </c>
      <c r="B878" s="404" t="n">
        <v>0</v>
      </c>
      <c r="C878" s="404" t="n">
        <v>0</v>
      </c>
      <c r="D878" s="404" t="n">
        <v>1</v>
      </c>
      <c r="E878" s="404" t="n">
        <v>224</v>
      </c>
      <c r="F878" s="404">
        <f>ROUND(Source!AR850,O878)</f>
        <v/>
      </c>
      <c r="G878" s="404" t="inlineStr">
        <is>
          <t>Всего</t>
        </is>
      </c>
      <c r="H878" s="404" t="inlineStr">
        <is>
          <t>Всего с НР и СП</t>
        </is>
      </c>
      <c r="I878" s="404" t="n"/>
      <c r="J878" s="404" t="n"/>
      <c r="K878" s="404" t="n">
        <v>224</v>
      </c>
      <c r="L878" s="404" t="n">
        <v>27</v>
      </c>
      <c r="M878" s="404" t="n">
        <v>3</v>
      </c>
      <c r="N878" s="404" t="inlineStr"/>
      <c r="O878" s="404" t="n">
        <v>0</v>
      </c>
      <c r="P878" s="404" t="n"/>
      <c r="Q878" s="404" t="n"/>
      <c r="R878" s="404" t="n"/>
      <c r="S878" s="404" t="n"/>
      <c r="T878" s="404" t="n"/>
      <c r="U878" s="404" t="n"/>
      <c r="V878" s="404" t="n"/>
      <c r="W878" s="404" t="n">
        <v>0</v>
      </c>
      <c r="X878" s="404" t="n">
        <v>1</v>
      </c>
      <c r="Y878" s="404" t="n">
        <v>0</v>
      </c>
      <c r="Z878" s="404" t="n"/>
      <c r="AA878" s="404" t="n"/>
      <c r="AB878" s="404" t="n"/>
    </row>
    <row r="879">
      <c r="A879" s="404" t="n">
        <v>50</v>
      </c>
      <c r="B879" s="404" t="n">
        <v>0</v>
      </c>
      <c r="C879" s="404" t="n">
        <v>0</v>
      </c>
      <c r="D879" s="404" t="n">
        <v>2</v>
      </c>
      <c r="E879" s="404" t="n">
        <v>0</v>
      </c>
      <c r="F879" s="404">
        <f>ROUND(F878,O879)</f>
        <v/>
      </c>
      <c r="G879" s="404" t="inlineStr">
        <is>
          <t>и1</t>
        </is>
      </c>
      <c r="H879" s="404" t="inlineStr">
        <is>
          <t>Итого</t>
        </is>
      </c>
      <c r="I879" s="404" t="n"/>
      <c r="J879" s="404" t="n"/>
      <c r="K879" s="404" t="n">
        <v>212</v>
      </c>
      <c r="L879" s="404" t="n">
        <v>28</v>
      </c>
      <c r="M879" s="404" t="n">
        <v>0</v>
      </c>
      <c r="N879" s="404" t="inlineStr"/>
      <c r="O879" s="404" t="n">
        <v>0</v>
      </c>
      <c r="P879" s="404" t="n"/>
      <c r="Q879" s="404" t="n"/>
      <c r="R879" s="404" t="n"/>
      <c r="S879" s="404" t="n"/>
      <c r="T879" s="404" t="n"/>
      <c r="U879" s="404" t="n"/>
      <c r="V879" s="404" t="n"/>
      <c r="W879" s="404" t="n">
        <v>0</v>
      </c>
      <c r="X879" s="404" t="n">
        <v>1</v>
      </c>
      <c r="Y879" s="404" t="n">
        <v>0</v>
      </c>
      <c r="Z879" s="404" t="n"/>
      <c r="AA879" s="404" t="n"/>
      <c r="AB879" s="404" t="n"/>
    </row>
    <row r="880">
      <c r="A880" s="404" t="n">
        <v>50</v>
      </c>
      <c r="B880" s="404" t="n">
        <v>0</v>
      </c>
      <c r="C880" s="404" t="n">
        <v>0</v>
      </c>
      <c r="D880" s="404" t="n">
        <v>2</v>
      </c>
      <c r="E880" s="404" t="n">
        <v>0</v>
      </c>
      <c r="F880" s="404">
        <f>ROUND(F879*0.22,O880)</f>
        <v/>
      </c>
      <c r="G880" s="404" t="inlineStr">
        <is>
          <t>и2</t>
        </is>
      </c>
      <c r="H880" s="404" t="inlineStr">
        <is>
          <t>НДС 22%</t>
        </is>
      </c>
      <c r="I880" s="404" t="n"/>
      <c r="J880" s="404" t="n"/>
      <c r="K880" s="404" t="n">
        <v>212</v>
      </c>
      <c r="L880" s="404" t="n">
        <v>29</v>
      </c>
      <c r="M880" s="404" t="n">
        <v>0</v>
      </c>
      <c r="N880" s="404" t="inlineStr"/>
      <c r="O880" s="404" t="n">
        <v>0</v>
      </c>
      <c r="P880" s="404" t="n"/>
      <c r="Q880" s="404" t="n"/>
      <c r="R880" s="404" t="n"/>
      <c r="S880" s="404" t="n"/>
      <c r="T880" s="404" t="n"/>
      <c r="U880" s="404" t="n"/>
      <c r="V880" s="404" t="n"/>
      <c r="W880" s="404" t="n">
        <v>0</v>
      </c>
      <c r="X880" s="404" t="n">
        <v>1</v>
      </c>
      <c r="Y880" s="404" t="n">
        <v>0</v>
      </c>
      <c r="Z880" s="404" t="n"/>
      <c r="AA880" s="404" t="n"/>
      <c r="AB880" s="404" t="n"/>
    </row>
    <row r="881">
      <c r="A881" s="404" t="n">
        <v>50</v>
      </c>
      <c r="B881" s="404" t="n">
        <v>0</v>
      </c>
      <c r="C881" s="404" t="n">
        <v>0</v>
      </c>
      <c r="D881" s="404" t="n">
        <v>2</v>
      </c>
      <c r="E881" s="404" t="n">
        <v>213</v>
      </c>
      <c r="F881" s="404">
        <f>ROUND(F879+F880,O881)</f>
        <v/>
      </c>
      <c r="G881" s="404" t="inlineStr">
        <is>
          <t>и3</t>
        </is>
      </c>
      <c r="H881" s="404" t="inlineStr">
        <is>
          <t>Всего</t>
        </is>
      </c>
      <c r="I881" s="404" t="n"/>
      <c r="J881" s="404" t="n"/>
      <c r="K881" s="404" t="n">
        <v>212</v>
      </c>
      <c r="L881" s="404" t="n">
        <v>30</v>
      </c>
      <c r="M881" s="404" t="n">
        <v>0</v>
      </c>
      <c r="N881" s="404" t="inlineStr"/>
      <c r="O881" s="404" t="n">
        <v>0</v>
      </c>
      <c r="P881" s="404" t="n"/>
      <c r="Q881" s="404" t="n"/>
      <c r="R881" s="404" t="n"/>
      <c r="S881" s="404" t="n"/>
      <c r="T881" s="404" t="n"/>
      <c r="U881" s="404" t="n"/>
      <c r="V881" s="404" t="n"/>
      <c r="W881" s="404" t="n">
        <v>0</v>
      </c>
      <c r="X881" s="404" t="n">
        <v>1</v>
      </c>
      <c r="Y881" s="404" t="n">
        <v>0</v>
      </c>
      <c r="Z881" s="404" t="n"/>
      <c r="AA881" s="404" t="n"/>
      <c r="AB881" s="404" t="n"/>
    </row>
    <row r="882"/>
    <row r="883">
      <c r="A883" s="401" t="n">
        <v>3</v>
      </c>
      <c r="B883" s="401" t="n">
        <v>0</v>
      </c>
      <c r="C883" s="401" t="n"/>
      <c r="D883" s="401">
        <f>ROW(A890)</f>
        <v/>
      </c>
      <c r="E883" s="401" t="n"/>
      <c r="F883" s="401" t="inlineStr">
        <is>
          <t>Новая локальная смета</t>
        </is>
      </c>
      <c r="G883" s="401" t="inlineStr">
        <is>
          <t>Механизаторов 11</t>
        </is>
      </c>
      <c r="H883" s="401" t="inlineStr"/>
      <c r="I883" s="401" t="n">
        <v>0</v>
      </c>
      <c r="J883" s="401" t="inlineStr"/>
      <c r="K883" s="401" t="n">
        <v>0</v>
      </c>
      <c r="L883" s="401" t="inlineStr">
        <is>
          <t>Новая локальная смета</t>
        </is>
      </c>
      <c r="M883" s="401" t="inlineStr"/>
      <c r="N883" s="401" t="n"/>
      <c r="O883" s="401" t="n"/>
      <c r="P883" s="401" t="n"/>
      <c r="Q883" s="401" t="n"/>
      <c r="R883" s="401" t="n"/>
      <c r="S883" s="401" t="n">
        <v>0</v>
      </c>
      <c r="T883" s="401" t="n"/>
      <c r="U883" s="401" t="inlineStr"/>
      <c r="V883" s="401" t="n">
        <v>0</v>
      </c>
      <c r="W883" s="401" t="n"/>
      <c r="X883" s="401" t="n"/>
      <c r="Y883" s="401" t="n"/>
      <c r="Z883" s="401" t="n"/>
      <c r="AA883" s="401" t="n"/>
      <c r="AB883" s="401" t="inlineStr"/>
      <c r="AC883" s="401" t="inlineStr"/>
      <c r="AD883" s="401" t="inlineStr"/>
      <c r="AE883" s="401" t="inlineStr"/>
      <c r="AF883" s="401" t="inlineStr"/>
      <c r="AG883" s="401" t="inlineStr"/>
      <c r="AH883" s="401" t="n"/>
      <c r="AI883" s="401" t="n"/>
      <c r="AJ883" s="401" t="n"/>
      <c r="AK883" s="401" t="n"/>
      <c r="AL883" s="401" t="n"/>
      <c r="AM883" s="401" t="n"/>
      <c r="AN883" s="401" t="n"/>
      <c r="AO883" s="401" t="n"/>
      <c r="AP883" s="401" t="inlineStr"/>
      <c r="AQ883" s="401" t="inlineStr"/>
      <c r="AR883" s="401" t="inlineStr"/>
      <c r="AS883" s="401" t="n"/>
      <c r="AT883" s="401" t="n"/>
      <c r="AU883" s="401" t="n"/>
      <c r="AV883" s="401" t="n"/>
      <c r="AW883" s="401" t="n"/>
      <c r="AX883" s="401" t="n"/>
      <c r="AY883" s="401" t="n"/>
      <c r="AZ883" s="401" t="inlineStr"/>
      <c r="BA883" s="401" t="n"/>
      <c r="BB883" s="401" t="inlineStr"/>
      <c r="BC883" s="401" t="inlineStr"/>
      <c r="BD883" s="401" t="inlineStr"/>
      <c r="BE883" s="401" t="inlineStr"/>
      <c r="BF883" s="401" t="inlineStr"/>
      <c r="BG883" s="401" t="inlineStr"/>
      <c r="BH883" s="401" t="inlineStr"/>
      <c r="BI883" s="401" t="inlineStr"/>
      <c r="BJ883" s="401" t="inlineStr"/>
      <c r="BK883" s="401" t="inlineStr"/>
      <c r="BL883" s="401" t="inlineStr"/>
      <c r="BM883" s="401" t="inlineStr"/>
      <c r="BN883" s="401" t="inlineStr"/>
      <c r="BO883" s="401" t="inlineStr"/>
      <c r="BP883" s="401" t="inlineStr"/>
      <c r="BQ883" s="401" t="n"/>
      <c r="BR883" s="401" t="n"/>
      <c r="BS883" s="401" t="n"/>
      <c r="BT883" s="401" t="n"/>
      <c r="BU883" s="401" t="n"/>
      <c r="BV883" s="401" t="n"/>
      <c r="BW883" s="401" t="n"/>
      <c r="BX883" s="401" t="n">
        <v>0</v>
      </c>
      <c r="BY883" s="401" t="n"/>
      <c r="BZ883" s="401" t="n"/>
      <c r="CA883" s="401" t="n"/>
      <c r="CB883" s="401" t="n"/>
      <c r="CC883" s="401" t="n"/>
      <c r="CD883" s="401" t="n"/>
      <c r="CE883" s="401" t="n"/>
      <c r="CF883" s="401" t="n">
        <v>0</v>
      </c>
      <c r="CG883" s="401" t="n">
        <v>0</v>
      </c>
      <c r="CH883" s="401" t="n"/>
      <c r="CI883" s="401" t="inlineStr"/>
      <c r="CJ883" s="401" t="inlineStr"/>
      <c r="CK883" t="inlineStr"/>
      <c r="CL883" t="inlineStr"/>
      <c r="CM883" t="inlineStr"/>
      <c r="CN883" t="inlineStr"/>
      <c r="CO883" t="inlineStr"/>
      <c r="CP883" t="inlineStr"/>
      <c r="CQ883" t="inlineStr"/>
    </row>
    <row r="884"/>
    <row r="885">
      <c r="A885" s="402" t="n">
        <v>52</v>
      </c>
      <c r="B885" s="402">
        <f>B890</f>
        <v/>
      </c>
      <c r="C885" s="402">
        <f>C890</f>
        <v/>
      </c>
      <c r="D885" s="402">
        <f>D890</f>
        <v/>
      </c>
      <c r="E885" s="402">
        <f>E890</f>
        <v/>
      </c>
      <c r="F885" s="402">
        <f>F890</f>
        <v/>
      </c>
      <c r="G885" s="402">
        <f>G890</f>
        <v/>
      </c>
      <c r="H885" s="402" t="n"/>
      <c r="I885" s="402" t="n"/>
      <c r="J885" s="402" t="n"/>
      <c r="K885" s="402" t="n"/>
      <c r="L885" s="402" t="n"/>
      <c r="M885" s="402" t="n"/>
      <c r="N885" s="402" t="n"/>
      <c r="O885" s="402">
        <f>O890</f>
        <v/>
      </c>
      <c r="P885" s="402">
        <f>P890</f>
        <v/>
      </c>
      <c r="Q885" s="402">
        <f>Q890</f>
        <v/>
      </c>
      <c r="R885" s="402">
        <f>R890</f>
        <v/>
      </c>
      <c r="S885" s="402">
        <f>S890</f>
        <v/>
      </c>
      <c r="T885" s="402">
        <f>T890</f>
        <v/>
      </c>
      <c r="U885" s="402">
        <f>U890</f>
        <v/>
      </c>
      <c r="V885" s="402">
        <f>V890</f>
        <v/>
      </c>
      <c r="W885" s="402">
        <f>W890</f>
        <v/>
      </c>
      <c r="X885" s="402">
        <f>X890</f>
        <v/>
      </c>
      <c r="Y885" s="402">
        <f>Y890</f>
        <v/>
      </c>
      <c r="Z885" s="402">
        <f>Z890</f>
        <v/>
      </c>
      <c r="AA885" s="402">
        <f>AA890</f>
        <v/>
      </c>
      <c r="AB885" s="402">
        <f>AB890</f>
        <v/>
      </c>
      <c r="AC885" s="402">
        <f>AC890</f>
        <v/>
      </c>
      <c r="AD885" s="402">
        <f>AD890</f>
        <v/>
      </c>
      <c r="AE885" s="402">
        <f>AE890</f>
        <v/>
      </c>
      <c r="AF885" s="402">
        <f>AF890</f>
        <v/>
      </c>
      <c r="AG885" s="402">
        <f>AG890</f>
        <v/>
      </c>
      <c r="AH885" s="402">
        <f>AH890</f>
        <v/>
      </c>
      <c r="AI885" s="402">
        <f>AI890</f>
        <v/>
      </c>
      <c r="AJ885" s="402">
        <f>AJ890</f>
        <v/>
      </c>
      <c r="AK885" s="402">
        <f>AK890</f>
        <v/>
      </c>
      <c r="AL885" s="402">
        <f>AL890</f>
        <v/>
      </c>
      <c r="AM885" s="402">
        <f>AM890</f>
        <v/>
      </c>
      <c r="AN885" s="402">
        <f>AN890</f>
        <v/>
      </c>
      <c r="AO885" s="402">
        <f>AO890</f>
        <v/>
      </c>
      <c r="AP885" s="402">
        <f>AP890</f>
        <v/>
      </c>
      <c r="AQ885" s="402">
        <f>AQ890</f>
        <v/>
      </c>
      <c r="AR885" s="402">
        <f>AR890</f>
        <v/>
      </c>
      <c r="AS885" s="402">
        <f>AS890</f>
        <v/>
      </c>
      <c r="AT885" s="402">
        <f>AT890</f>
        <v/>
      </c>
      <c r="AU885" s="402">
        <f>AU890</f>
        <v/>
      </c>
      <c r="AV885" s="402">
        <f>AV890</f>
        <v/>
      </c>
      <c r="AW885" s="402">
        <f>AW890</f>
        <v/>
      </c>
      <c r="AX885" s="402">
        <f>AX890</f>
        <v/>
      </c>
      <c r="AY885" s="402">
        <f>AY890</f>
        <v/>
      </c>
      <c r="AZ885" s="402">
        <f>AZ890</f>
        <v/>
      </c>
      <c r="BA885" s="402">
        <f>BA890</f>
        <v/>
      </c>
      <c r="BB885" s="402">
        <f>BB890</f>
        <v/>
      </c>
      <c r="BC885" s="402">
        <f>BC890</f>
        <v/>
      </c>
      <c r="BD885" s="402">
        <f>BD890</f>
        <v/>
      </c>
      <c r="BE885" s="402">
        <f>BE890</f>
        <v/>
      </c>
      <c r="BF885" s="402">
        <f>BF890</f>
        <v/>
      </c>
      <c r="BG885" s="402">
        <f>BG890</f>
        <v/>
      </c>
      <c r="BH885" s="402">
        <f>BH890</f>
        <v/>
      </c>
      <c r="BI885" s="402">
        <f>BI890</f>
        <v/>
      </c>
      <c r="BJ885" s="402">
        <f>BJ890</f>
        <v/>
      </c>
      <c r="BK885" s="402">
        <f>BK890</f>
        <v/>
      </c>
      <c r="BL885" s="402">
        <f>BL890</f>
        <v/>
      </c>
      <c r="BM885" s="402">
        <f>BM890</f>
        <v/>
      </c>
      <c r="BN885" s="402">
        <f>BN890</f>
        <v/>
      </c>
      <c r="BO885" s="402">
        <f>BO890</f>
        <v/>
      </c>
      <c r="BP885" s="402">
        <f>BP890</f>
        <v/>
      </c>
      <c r="BQ885" s="402">
        <f>BQ890</f>
        <v/>
      </c>
      <c r="BR885" s="402">
        <f>BR890</f>
        <v/>
      </c>
      <c r="BS885" s="402">
        <f>BS890</f>
        <v/>
      </c>
      <c r="BT885" s="402">
        <f>BT890</f>
        <v/>
      </c>
      <c r="BU885" s="402">
        <f>BU890</f>
        <v/>
      </c>
      <c r="BV885" s="402">
        <f>BV890</f>
        <v/>
      </c>
      <c r="BW885" s="402">
        <f>BW890</f>
        <v/>
      </c>
      <c r="BX885" s="402">
        <f>BX890</f>
        <v/>
      </c>
      <c r="BY885" s="402">
        <f>BY890</f>
        <v/>
      </c>
      <c r="BZ885" s="402">
        <f>BZ890</f>
        <v/>
      </c>
      <c r="CA885" s="402">
        <f>CA890</f>
        <v/>
      </c>
      <c r="CB885" s="402">
        <f>CB890</f>
        <v/>
      </c>
      <c r="CC885" s="402">
        <f>CC890</f>
        <v/>
      </c>
      <c r="CD885" s="402">
        <f>CD890</f>
        <v/>
      </c>
      <c r="CE885" s="402">
        <f>CE890</f>
        <v/>
      </c>
      <c r="CF885" s="402">
        <f>CF890</f>
        <v/>
      </c>
      <c r="CG885" s="402">
        <f>CG890</f>
        <v/>
      </c>
      <c r="CH885" s="402">
        <f>CH890</f>
        <v/>
      </c>
      <c r="CI885" s="402">
        <f>CI890</f>
        <v/>
      </c>
      <c r="CJ885" s="402">
        <f>CJ890</f>
        <v/>
      </c>
      <c r="CK885" s="402">
        <f>CK890</f>
        <v/>
      </c>
      <c r="CL885" s="402">
        <f>CL890</f>
        <v/>
      </c>
      <c r="CM885" s="402">
        <f>CM890</f>
        <v/>
      </c>
      <c r="CN885" s="402">
        <f>CN890</f>
        <v/>
      </c>
      <c r="CO885" s="402">
        <f>CO890</f>
        <v/>
      </c>
      <c r="CP885" s="402">
        <f>CP890</f>
        <v/>
      </c>
      <c r="CQ885" s="402">
        <f>CQ890</f>
        <v/>
      </c>
      <c r="CR885" s="402">
        <f>CR890</f>
        <v/>
      </c>
      <c r="CS885" s="402">
        <f>CS890</f>
        <v/>
      </c>
      <c r="CT885" s="402">
        <f>CT890</f>
        <v/>
      </c>
      <c r="CU885" s="402">
        <f>CU890</f>
        <v/>
      </c>
      <c r="CV885" s="402">
        <f>CV890</f>
        <v/>
      </c>
      <c r="CW885" s="402">
        <f>CW890</f>
        <v/>
      </c>
      <c r="CX885" s="402">
        <f>CX890</f>
        <v/>
      </c>
      <c r="CY885" s="402">
        <f>CY890</f>
        <v/>
      </c>
      <c r="CZ885" s="402">
        <f>CZ890</f>
        <v/>
      </c>
      <c r="DA885" s="402">
        <f>DA890</f>
        <v/>
      </c>
      <c r="DB885" s="402">
        <f>DB890</f>
        <v/>
      </c>
      <c r="DC885" s="402">
        <f>DC890</f>
        <v/>
      </c>
      <c r="DD885" s="402">
        <f>DD890</f>
        <v/>
      </c>
      <c r="DE885" s="402">
        <f>DE890</f>
        <v/>
      </c>
      <c r="DF885" s="402">
        <f>DF890</f>
        <v/>
      </c>
      <c r="DG885" s="403">
        <f>DG890</f>
        <v/>
      </c>
      <c r="DH885" s="403">
        <f>DH890</f>
        <v/>
      </c>
      <c r="DI885" s="403">
        <f>DI890</f>
        <v/>
      </c>
      <c r="DJ885" s="403">
        <f>DJ890</f>
        <v/>
      </c>
      <c r="DK885" s="403">
        <f>DK890</f>
        <v/>
      </c>
      <c r="DL885" s="403">
        <f>DL890</f>
        <v/>
      </c>
      <c r="DM885" s="403">
        <f>DM890</f>
        <v/>
      </c>
      <c r="DN885" s="403">
        <f>DN890</f>
        <v/>
      </c>
      <c r="DO885" s="403">
        <f>DO890</f>
        <v/>
      </c>
      <c r="DP885" s="403">
        <f>DP890</f>
        <v/>
      </c>
      <c r="DQ885" s="403">
        <f>DQ890</f>
        <v/>
      </c>
      <c r="DR885" s="403">
        <f>DR890</f>
        <v/>
      </c>
      <c r="DS885" s="403">
        <f>DS890</f>
        <v/>
      </c>
      <c r="DT885" s="403">
        <f>DT890</f>
        <v/>
      </c>
      <c r="DU885" s="403">
        <f>DU890</f>
        <v/>
      </c>
      <c r="DV885" s="403">
        <f>DV890</f>
        <v/>
      </c>
      <c r="DW885" s="403">
        <f>DW890</f>
        <v/>
      </c>
      <c r="DX885" s="403">
        <f>DX890</f>
        <v/>
      </c>
      <c r="DY885" s="403">
        <f>DY890</f>
        <v/>
      </c>
      <c r="DZ885" s="403">
        <f>DZ890</f>
        <v/>
      </c>
      <c r="EA885" s="403">
        <f>EA890</f>
        <v/>
      </c>
      <c r="EB885" s="403">
        <f>EB890</f>
        <v/>
      </c>
      <c r="EC885" s="403">
        <f>EC890</f>
        <v/>
      </c>
      <c r="ED885" s="403">
        <f>ED890</f>
        <v/>
      </c>
      <c r="EE885" s="403">
        <f>EE890</f>
        <v/>
      </c>
      <c r="EF885" s="403">
        <f>EF890</f>
        <v/>
      </c>
      <c r="EG885" s="403">
        <f>EG890</f>
        <v/>
      </c>
      <c r="EH885" s="403">
        <f>EH890</f>
        <v/>
      </c>
      <c r="EI885" s="403">
        <f>EI890</f>
        <v/>
      </c>
      <c r="EJ885" s="403">
        <f>EJ890</f>
        <v/>
      </c>
      <c r="EK885" s="403">
        <f>EK890</f>
        <v/>
      </c>
      <c r="EL885" s="403">
        <f>EL890</f>
        <v/>
      </c>
      <c r="EM885" s="403">
        <f>EM890</f>
        <v/>
      </c>
      <c r="EN885" s="403">
        <f>EN890</f>
        <v/>
      </c>
      <c r="EO885" s="403">
        <f>EO890</f>
        <v/>
      </c>
      <c r="EP885" s="403">
        <f>EP890</f>
        <v/>
      </c>
      <c r="EQ885" s="403">
        <f>EQ890</f>
        <v/>
      </c>
      <c r="ER885" s="403">
        <f>ER890</f>
        <v/>
      </c>
      <c r="ES885" s="403">
        <f>ES890</f>
        <v/>
      </c>
      <c r="ET885" s="403">
        <f>ET890</f>
        <v/>
      </c>
      <c r="EU885" s="403">
        <f>EU890</f>
        <v/>
      </c>
      <c r="EV885" s="403">
        <f>EV890</f>
        <v/>
      </c>
      <c r="EW885" s="403">
        <f>EW890</f>
        <v/>
      </c>
      <c r="EX885" s="403">
        <f>EX890</f>
        <v/>
      </c>
      <c r="EY885" s="403">
        <f>EY890</f>
        <v/>
      </c>
      <c r="EZ885" s="403">
        <f>EZ890</f>
        <v/>
      </c>
      <c r="FA885" s="403">
        <f>FA890</f>
        <v/>
      </c>
      <c r="FB885" s="403">
        <f>FB890</f>
        <v/>
      </c>
      <c r="FC885" s="403">
        <f>FC890</f>
        <v/>
      </c>
      <c r="FD885" s="403">
        <f>FD890</f>
        <v/>
      </c>
      <c r="FE885" s="403">
        <f>FE890</f>
        <v/>
      </c>
      <c r="FF885" s="403">
        <f>FF890</f>
        <v/>
      </c>
      <c r="FG885" s="403">
        <f>FG890</f>
        <v/>
      </c>
      <c r="FH885" s="403">
        <f>FH890</f>
        <v/>
      </c>
      <c r="FI885" s="403">
        <f>FI890</f>
        <v/>
      </c>
      <c r="FJ885" s="403">
        <f>FJ890</f>
        <v/>
      </c>
      <c r="FK885" s="403">
        <f>FK890</f>
        <v/>
      </c>
      <c r="FL885" s="403">
        <f>FL890</f>
        <v/>
      </c>
      <c r="FM885" s="403">
        <f>FM890</f>
        <v/>
      </c>
      <c r="FN885" s="403">
        <f>FN890</f>
        <v/>
      </c>
      <c r="FO885" s="403">
        <f>FO890</f>
        <v/>
      </c>
      <c r="FP885" s="403">
        <f>FP890</f>
        <v/>
      </c>
      <c r="FQ885" s="403">
        <f>FQ890</f>
        <v/>
      </c>
      <c r="FR885" s="403">
        <f>FR890</f>
        <v/>
      </c>
      <c r="FS885" s="403">
        <f>FS890</f>
        <v/>
      </c>
      <c r="FT885" s="403">
        <f>FT890</f>
        <v/>
      </c>
      <c r="FU885" s="403">
        <f>FU890</f>
        <v/>
      </c>
      <c r="FV885" s="403">
        <f>FV890</f>
        <v/>
      </c>
      <c r="FW885" s="403">
        <f>FW890</f>
        <v/>
      </c>
      <c r="FX885" s="403">
        <f>FX890</f>
        <v/>
      </c>
      <c r="FY885" s="403">
        <f>FY890</f>
        <v/>
      </c>
      <c r="FZ885" s="403">
        <f>FZ890</f>
        <v/>
      </c>
      <c r="GA885" s="403">
        <f>GA890</f>
        <v/>
      </c>
      <c r="GB885" s="403">
        <f>GB890</f>
        <v/>
      </c>
      <c r="GC885" s="403">
        <f>GC890</f>
        <v/>
      </c>
      <c r="GD885" s="403">
        <f>GD890</f>
        <v/>
      </c>
      <c r="GE885" s="403">
        <f>GE890</f>
        <v/>
      </c>
      <c r="GF885" s="403">
        <f>GF890</f>
        <v/>
      </c>
      <c r="GG885" s="403">
        <f>GG890</f>
        <v/>
      </c>
      <c r="GH885" s="403">
        <f>GH890</f>
        <v/>
      </c>
      <c r="GI885" s="403">
        <f>GI890</f>
        <v/>
      </c>
      <c r="GJ885" s="403">
        <f>GJ890</f>
        <v/>
      </c>
      <c r="GK885" s="403">
        <f>GK890</f>
        <v/>
      </c>
      <c r="GL885" s="403">
        <f>GL890</f>
        <v/>
      </c>
      <c r="GM885" s="403">
        <f>GM890</f>
        <v/>
      </c>
      <c r="GN885" s="403">
        <f>GN890</f>
        <v/>
      </c>
      <c r="GO885" s="403">
        <f>GO890</f>
        <v/>
      </c>
      <c r="GP885" s="403">
        <f>GP890</f>
        <v/>
      </c>
      <c r="GQ885" s="403">
        <f>GQ890</f>
        <v/>
      </c>
      <c r="GR885" s="403">
        <f>GR890</f>
        <v/>
      </c>
      <c r="GS885" s="403">
        <f>GS890</f>
        <v/>
      </c>
      <c r="GT885" s="403">
        <f>GT890</f>
        <v/>
      </c>
      <c r="GU885" s="403">
        <f>GU890</f>
        <v/>
      </c>
      <c r="GV885" s="403">
        <f>GV890</f>
        <v/>
      </c>
      <c r="GW885" s="403">
        <f>GW890</f>
        <v/>
      </c>
      <c r="GX885" s="403">
        <f>GX890</f>
        <v/>
      </c>
    </row>
    <row r="886"/>
    <row r="887">
      <c r="A887" t="n">
        <v>17</v>
      </c>
      <c r="B887" t="n">
        <v>0</v>
      </c>
      <c r="C887">
        <f>ROW(SmtRes!A486)</f>
        <v/>
      </c>
      <c r="D887">
        <f>ROW(EtalonRes!A443)</f>
        <v/>
      </c>
      <c r="E887" t="inlineStr">
        <is>
          <t>1</t>
        </is>
      </c>
      <c r="F887" t="inlineStr">
        <is>
          <t>65-10-1</t>
        </is>
      </c>
      <c r="G887" t="inlineStr">
        <is>
          <t>Очистка канализационной сети внутренней</t>
        </is>
      </c>
      <c r="H887" t="inlineStr">
        <is>
          <t>100 м трубопровода</t>
        </is>
      </c>
      <c r="I887">
        <f>ROUND(ROUND(45/100,4),7)</f>
        <v/>
      </c>
      <c r="J887" t="n">
        <v>0</v>
      </c>
      <c r="K887">
        <f>ROUND(ROUND(45/100,4),7)</f>
        <v/>
      </c>
      <c r="O887">
        <f>ROUND(CP887,0)</f>
        <v/>
      </c>
      <c r="P887">
        <f>ROUND(CQ887*I887,0)</f>
        <v/>
      </c>
      <c r="Q887">
        <f>(ROUND((ROUND(((ET887)*I887),0)*BB887),0)+ROUND((ROUND(((AE887-(EU887))*I887),0)*BS887),0))</f>
        <v/>
      </c>
      <c r="R887">
        <f>(ROUND((ROUND(((EU887)*I887),0)*BS887),0)+ROUND((ROUND(((AE887-(EU887))*I887),0)*BS887),0))</f>
        <v/>
      </c>
      <c r="S887">
        <f>ROUND(CT887*I887,0)</f>
        <v/>
      </c>
      <c r="T887">
        <f>ROUND(CU887*I887,0)</f>
        <v/>
      </c>
      <c r="U887">
        <f>ROUND(CV887*I887,7)</f>
        <v/>
      </c>
      <c r="V887">
        <f>ROUND(CW887*I887,7)</f>
        <v/>
      </c>
      <c r="W887">
        <f>ROUND(CX887*I887,0)</f>
        <v/>
      </c>
      <c r="X887">
        <f>ROUND(CY887,0)</f>
        <v/>
      </c>
      <c r="Y887">
        <f>ROUND(CZ887,0)</f>
        <v/>
      </c>
      <c r="AA887" t="n">
        <v>78869116</v>
      </c>
      <c r="AB887">
        <f>ROUND((AC887+AD887+AF887),2)</f>
        <v/>
      </c>
      <c r="AC887">
        <f>ROUND((ES887),2)</f>
        <v/>
      </c>
      <c r="AD887">
        <f>ROUND((((ET887)-(EU887))+AE887),2)</f>
        <v/>
      </c>
      <c r="AE887">
        <f>ROUND((EU887),2)</f>
        <v/>
      </c>
      <c r="AF887">
        <f>ROUND((EV887),2)</f>
        <v/>
      </c>
      <c r="AG887">
        <f>ROUND((AP887),2)</f>
        <v/>
      </c>
      <c r="AH887">
        <f>(EW887)</f>
        <v/>
      </c>
      <c r="AI887">
        <f>(EX887)</f>
        <v/>
      </c>
      <c r="AJ887">
        <f>(AS887)</f>
        <v/>
      </c>
      <c r="AK887" t="n">
        <v>403.3</v>
      </c>
      <c r="AL887" t="n">
        <v>139.36</v>
      </c>
      <c r="AM887" t="n">
        <v>0.87</v>
      </c>
      <c r="AN887" t="n">
        <v>0</v>
      </c>
      <c r="AO887" t="n">
        <v>263.07</v>
      </c>
      <c r="AP887" t="n">
        <v>0</v>
      </c>
      <c r="AQ887" t="n">
        <v>32.2</v>
      </c>
      <c r="AR887" t="n">
        <v>0</v>
      </c>
      <c r="AS887" t="n">
        <v>0</v>
      </c>
      <c r="AT887" t="n">
        <v>103</v>
      </c>
      <c r="AU887" t="n">
        <v>52</v>
      </c>
      <c r="AV887" t="n">
        <v>1</v>
      </c>
      <c r="AW887" t="n">
        <v>1</v>
      </c>
      <c r="AZ887" t="n">
        <v>1</v>
      </c>
      <c r="BA887" t="n">
        <v>52.25</v>
      </c>
      <c r="BB887" t="n">
        <v>25.03</v>
      </c>
      <c r="BC887" t="n">
        <v>11.85</v>
      </c>
      <c r="BD887" t="inlineStr"/>
      <c r="BE887" t="inlineStr"/>
      <c r="BF887" t="inlineStr"/>
      <c r="BG887" t="inlineStr"/>
      <c r="BH887" t="n">
        <v>0</v>
      </c>
      <c r="BI887" t="n">
        <v>1</v>
      </c>
      <c r="BJ887" t="inlineStr">
        <is>
          <t>ТЕРр Московской обл., 65-10-1, приказ Минстроя России №675/пр от 28.02.2017 № 263/пр</t>
        </is>
      </c>
      <c r="BM887" t="n">
        <v>65007</v>
      </c>
      <c r="BN887" t="n">
        <v>0</v>
      </c>
      <c r="BO887" t="inlineStr">
        <is>
          <t>65-10-1</t>
        </is>
      </c>
      <c r="BP887" t="n">
        <v>1</v>
      </c>
      <c r="BQ887" t="n">
        <v>6</v>
      </c>
      <c r="BR887" t="n">
        <v>0</v>
      </c>
      <c r="BS887" t="n">
        <v>52.25</v>
      </c>
      <c r="BT887" t="n">
        <v>1</v>
      </c>
      <c r="BU887" t="n">
        <v>1</v>
      </c>
      <c r="BV887" t="n">
        <v>1</v>
      </c>
      <c r="BW887" t="n">
        <v>1</v>
      </c>
      <c r="BX887" t="n">
        <v>1</v>
      </c>
      <c r="BY887" t="inlineStr"/>
      <c r="BZ887" t="n">
        <v>103</v>
      </c>
      <c r="CA887" t="n">
        <v>52</v>
      </c>
      <c r="CB887" t="inlineStr"/>
      <c r="CE887" t="n">
        <v>12</v>
      </c>
      <c r="CF887" t="n">
        <v>0</v>
      </c>
      <c r="CG887" t="n">
        <v>0</v>
      </c>
      <c r="CM887" t="n">
        <v>0</v>
      </c>
      <c r="CN887" t="inlineStr"/>
      <c r="CO887" t="n">
        <v>0</v>
      </c>
      <c r="CP887">
        <f>(P887+Q887+S887)</f>
        <v/>
      </c>
      <c r="CQ887">
        <f>AC887*BC887</f>
        <v/>
      </c>
      <c r="CR887">
        <f>(ROUND((ROUND(((ET887)*1),0)*BB887),0)+ROUND((ROUND(((AE887-(EU887))*1),0)*BS887),0))</f>
        <v/>
      </c>
      <c r="CS887">
        <f>(ROUND((ROUND(((EU887)*1),0)*BS887),0)+ROUND((ROUND(((AE887-(EU887))*1),0)*BS887),0))</f>
        <v/>
      </c>
      <c r="CT887">
        <f>AF887*BA887</f>
        <v/>
      </c>
      <c r="CU887">
        <f>AG887</f>
        <v/>
      </c>
      <c r="CV887">
        <f>AH887</f>
        <v/>
      </c>
      <c r="CW887">
        <f>AI887</f>
        <v/>
      </c>
      <c r="CX887">
        <f>AJ887</f>
        <v/>
      </c>
      <c r="CY887">
        <f>(((S887+R887)*AT887)/100)</f>
        <v/>
      </c>
      <c r="CZ887">
        <f>(((S887+R887)*AU887)/100)</f>
        <v/>
      </c>
      <c r="DC887" t="inlineStr"/>
      <c r="DD887" t="inlineStr"/>
      <c r="DE887" t="inlineStr"/>
      <c r="DF887" t="inlineStr"/>
      <c r="DG887" t="inlineStr"/>
      <c r="DH887" t="inlineStr"/>
      <c r="DI887" t="inlineStr"/>
      <c r="DJ887" t="inlineStr"/>
      <c r="DK887" t="inlineStr"/>
      <c r="DL887" t="inlineStr"/>
      <c r="DM887" t="inlineStr"/>
      <c r="DN887" t="n">
        <v>0</v>
      </c>
      <c r="DO887" t="n">
        <v>0</v>
      </c>
      <c r="DP887" t="n">
        <v>1</v>
      </c>
      <c r="DQ887" t="n">
        <v>1</v>
      </c>
      <c r="DU887" t="n">
        <v>1013</v>
      </c>
      <c r="DV887" t="inlineStr">
        <is>
          <t>100 м трубопровода</t>
        </is>
      </c>
      <c r="DW887" t="inlineStr">
        <is>
          <t>100 м трубопровода</t>
        </is>
      </c>
      <c r="DX887" t="n">
        <v>1</v>
      </c>
      <c r="DZ887" t="inlineStr"/>
      <c r="EA887" t="inlineStr"/>
      <c r="EB887" t="inlineStr"/>
      <c r="EC887" t="inlineStr"/>
      <c r="EE887" t="n">
        <v>78726000</v>
      </c>
      <c r="EF887" t="n">
        <v>6</v>
      </c>
      <c r="EG887" t="inlineStr">
        <is>
          <t>Ремонтно-строительные работы</t>
        </is>
      </c>
      <c r="EH887" t="n">
        <v>99</v>
      </c>
      <c r="EI887" t="inlineStr">
        <is>
          <t>Внутренние санитарно-технические работы</t>
        </is>
      </c>
      <c r="EJ887" t="n">
        <v>1</v>
      </c>
      <c r="EK887" t="n">
        <v>65007</v>
      </c>
      <c r="EL887" t="inlineStr">
        <is>
          <t>Внутренние санитарнотехнические работы: смена труб, санприборов, запорной арматуры и другое</t>
        </is>
      </c>
      <c r="EM887" t="inlineStr">
        <is>
          <t>рФЕР-65</t>
        </is>
      </c>
      <c r="EO887" t="inlineStr"/>
      <c r="EQ887" t="n">
        <v>0</v>
      </c>
      <c r="ER887" t="n">
        <v>403.3</v>
      </c>
      <c r="ES887" t="n">
        <v>139.36</v>
      </c>
      <c r="ET887" t="n">
        <v>0.87</v>
      </c>
      <c r="EU887" t="n">
        <v>0</v>
      </c>
      <c r="EV887" t="n">
        <v>263.07</v>
      </c>
      <c r="EW887" t="n">
        <v>32.2</v>
      </c>
      <c r="EX887" t="n">
        <v>0</v>
      </c>
      <c r="EY887" t="n">
        <v>0</v>
      </c>
      <c r="FQ887" t="n">
        <v>0</v>
      </c>
      <c r="FR887" t="n">
        <v>0</v>
      </c>
      <c r="FS887" t="n">
        <v>0</v>
      </c>
      <c r="FX887" t="n">
        <v>103</v>
      </c>
      <c r="FY887" t="n">
        <v>52</v>
      </c>
      <c r="GA887" t="inlineStr"/>
      <c r="GD887" t="n">
        <v>1</v>
      </c>
      <c r="GF887" t="n">
        <v>-66904957</v>
      </c>
      <c r="GG887" t="n">
        <v>2</v>
      </c>
      <c r="GH887" t="n">
        <v>1</v>
      </c>
      <c r="GI887" t="n">
        <v>2</v>
      </c>
      <c r="GJ887" t="n">
        <v>0</v>
      </c>
      <c r="GK887" t="n">
        <v>0</v>
      </c>
      <c r="GL887">
        <f>ROUND(IF(AND(BH887=3,BI887=3,FS887&lt;&gt;0),P887,0),0)</f>
        <v/>
      </c>
      <c r="GM887">
        <f>ROUND(O887+X887+Y887,0)+GX887</f>
        <v/>
      </c>
      <c r="GN887">
        <f>IF(OR(BI887=0,BI887=1),GM887-GX887,0)</f>
        <v/>
      </c>
      <c r="GO887">
        <f>IF(BI887=2,GM887-GX887,0)</f>
        <v/>
      </c>
      <c r="GP887">
        <f>IF(BI887=4,GM887-GX887,0)</f>
        <v/>
      </c>
      <c r="GR887" t="n">
        <v>0</v>
      </c>
      <c r="GS887" t="n">
        <v>3</v>
      </c>
      <c r="GT887" t="n">
        <v>0</v>
      </c>
      <c r="GU887" t="inlineStr"/>
      <c r="GV887">
        <f>ROUND((GT887),2)</f>
        <v/>
      </c>
      <c r="GW887" t="n">
        <v>1</v>
      </c>
      <c r="GX887">
        <f>ROUND(HC887*I887,0)</f>
        <v/>
      </c>
      <c r="HA887" t="n">
        <v>0</v>
      </c>
      <c r="HB887" t="n">
        <v>0</v>
      </c>
      <c r="HC887">
        <f>GV887*GW887</f>
        <v/>
      </c>
      <c r="HE887" t="inlineStr"/>
      <c r="HF887" t="inlineStr"/>
      <c r="HM887" t="inlineStr"/>
      <c r="HN887" t="inlineStr">
        <is>
          <t>Пр/812-099.2-1</t>
        </is>
      </c>
      <c r="HO887" t="inlineStr">
        <is>
          <t>Пр/774-099.2</t>
        </is>
      </c>
      <c r="HP887" t="inlineStr">
        <is>
          <t>Внутренние санитарнотехнические работы: смена труб, санприборов, запорной арматуры и другое</t>
        </is>
      </c>
      <c r="HQ887" t="inlineStr">
        <is>
          <t>Внутренние санитарнотехнические работы: смена труб, санприборов, запорной арматуры и другое</t>
        </is>
      </c>
      <c r="HS887" t="n">
        <v>0</v>
      </c>
      <c r="IK887" t="n">
        <v>0</v>
      </c>
    </row>
    <row r="888">
      <c r="A888" t="n">
        <v>17</v>
      </c>
      <c r="B888" t="n">
        <v>0</v>
      </c>
      <c r="C888">
        <f>ROW(SmtRes!A492)</f>
        <v/>
      </c>
      <c r="D888">
        <f>ROW(EtalonRes!A449)</f>
        <v/>
      </c>
      <c r="E888" t="inlineStr">
        <is>
          <t>2</t>
        </is>
      </c>
      <c r="F888" t="inlineStr">
        <is>
          <t>16-07-005-1</t>
        </is>
      </c>
      <c r="G8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88" t="inlineStr">
        <is>
          <t>100 м трубопровода</t>
        </is>
      </c>
      <c r="I888">
        <f>ROUND(ROUND(90/100,4),7)</f>
        <v/>
      </c>
      <c r="J888" t="n">
        <v>0</v>
      </c>
      <c r="K888">
        <f>ROUND(ROUND(90/100,4),7)</f>
        <v/>
      </c>
      <c r="O888">
        <f>ROUND(CP888,0)</f>
        <v/>
      </c>
      <c r="P888">
        <f>ROUND(CQ888*I888,0)</f>
        <v/>
      </c>
      <c r="Q888">
        <f>(ROUND((ROUND((((ET888*ROUND(8,7)))*I888),0)*BB888),0)+ROUND((ROUND(((AE888-((EU888*ROUND(8,7))))*I888),0)*BS888),0))</f>
        <v/>
      </c>
      <c r="R888">
        <f>(ROUND((ROUND((((EU888*ROUND(8,7)))*I888),0)*BS888),0)+ROUND((ROUND(((AE888-((EU888*ROUND(8,7))))*I888),0)*BS888),0))</f>
        <v/>
      </c>
      <c r="S888">
        <f>ROUND(CT888*I888,0)</f>
        <v/>
      </c>
      <c r="T888">
        <f>ROUND(CU888*I888,0)</f>
        <v/>
      </c>
      <c r="U888">
        <f>ROUND(CV888*I888,7)</f>
        <v/>
      </c>
      <c r="V888">
        <f>ROUND(CW888*I888,7)</f>
        <v/>
      </c>
      <c r="W888">
        <f>ROUND(CX888*I888,0)</f>
        <v/>
      </c>
      <c r="X888">
        <f>ROUND(CY888,0)</f>
        <v/>
      </c>
      <c r="Y888">
        <f>ROUND(CZ888,0)</f>
        <v/>
      </c>
      <c r="AA888" t="n">
        <v>78869116</v>
      </c>
      <c r="AB888">
        <f>ROUND((AC888+AD888+AF888),2)</f>
        <v/>
      </c>
      <c r="AC888">
        <f>ROUND(((ES888*ROUND(8,7))),2)</f>
        <v/>
      </c>
      <c r="AD888">
        <f>ROUND(((((ET888*ROUND(8,7)))-((EU888*ROUND(8,7))))+AE888),2)</f>
        <v/>
      </c>
      <c r="AE888">
        <f>ROUND(((EU888*ROUND(8,7))),2)</f>
        <v/>
      </c>
      <c r="AF888">
        <f>ROUND(((EV888*ROUND(8,7))),2)</f>
        <v/>
      </c>
      <c r="AG888">
        <f>ROUND((AP888),2)</f>
        <v/>
      </c>
      <c r="AH888">
        <f>((EW888*ROUND(8,7)))</f>
        <v/>
      </c>
      <c r="AI888">
        <f>((EX888*ROUND(8,7)))</f>
        <v/>
      </c>
      <c r="AJ888">
        <f>(AS888)</f>
        <v/>
      </c>
      <c r="AK888" t="n">
        <v>107.11</v>
      </c>
      <c r="AL888" t="n">
        <v>4.28</v>
      </c>
      <c r="AM888" t="n">
        <v>44.51</v>
      </c>
      <c r="AN888" t="n">
        <v>0</v>
      </c>
      <c r="AO888" t="n">
        <v>58.32</v>
      </c>
      <c r="AP888" t="n">
        <v>0</v>
      </c>
      <c r="AQ888" t="n">
        <v>5.01</v>
      </c>
      <c r="AR888" t="n">
        <v>0</v>
      </c>
      <c r="AS888" t="n">
        <v>0</v>
      </c>
      <c r="AT888" t="n">
        <v>121</v>
      </c>
      <c r="AU888" t="n">
        <v>72</v>
      </c>
      <c r="AV888" t="n">
        <v>1</v>
      </c>
      <c r="AW888" t="n">
        <v>1</v>
      </c>
      <c r="AZ888" t="n">
        <v>1</v>
      </c>
      <c r="BA888" t="n">
        <v>52.25</v>
      </c>
      <c r="BB888" t="n">
        <v>5.97</v>
      </c>
      <c r="BC888" t="n">
        <v>11.38</v>
      </c>
      <c r="BD888" t="inlineStr"/>
      <c r="BE888" t="inlineStr"/>
      <c r="BF888" t="inlineStr"/>
      <c r="BG888" t="inlineStr"/>
      <c r="BH888" t="n">
        <v>0</v>
      </c>
      <c r="BI888" t="n">
        <v>1</v>
      </c>
      <c r="BJ888" t="inlineStr">
        <is>
          <t>ТЕР Московской обл., 16-07-005-1, приказ Минстроя России №675/пр от 28.02.2017 № 260/пр</t>
        </is>
      </c>
      <c r="BM888" t="n">
        <v>16001</v>
      </c>
      <c r="BN888" t="n">
        <v>0</v>
      </c>
      <c r="BO888" t="inlineStr">
        <is>
          <t>16-07-005-1</t>
        </is>
      </c>
      <c r="BP888" t="n">
        <v>1</v>
      </c>
      <c r="BQ888" t="n">
        <v>2</v>
      </c>
      <c r="BR888" t="n">
        <v>0</v>
      </c>
      <c r="BS888" t="n">
        <v>52.25</v>
      </c>
      <c r="BT888" t="n">
        <v>1</v>
      </c>
      <c r="BU888" t="n">
        <v>1</v>
      </c>
      <c r="BV888" t="n">
        <v>1</v>
      </c>
      <c r="BW888" t="n">
        <v>1</v>
      </c>
      <c r="BX888" t="n">
        <v>1</v>
      </c>
      <c r="BY888" t="inlineStr"/>
      <c r="BZ888" t="n">
        <v>121</v>
      </c>
      <c r="CA888" t="n">
        <v>72</v>
      </c>
      <c r="CB888" t="inlineStr"/>
      <c r="CE888" t="n">
        <v>12</v>
      </c>
      <c r="CF888" t="n">
        <v>0</v>
      </c>
      <c r="CG888" t="n">
        <v>0</v>
      </c>
      <c r="CM888" t="n">
        <v>0</v>
      </c>
      <c r="CN888" t="inlineStr"/>
      <c r="CO888" t="n">
        <v>0</v>
      </c>
      <c r="CP888">
        <f>(P888+Q888+S888)</f>
        <v/>
      </c>
      <c r="CQ888">
        <f>AC888*BC888</f>
        <v/>
      </c>
      <c r="CR888">
        <f>(ROUND((ROUND((((ET888*ROUND(8,7)))*1),0)*BB888),0)+ROUND((ROUND(((AE888-((EU888*ROUND(8,7))))*1),0)*BS888),0))</f>
        <v/>
      </c>
      <c r="CS888">
        <f>(ROUND((ROUND((((EU888*ROUND(8,7)))*1),0)*BS888),0)+ROUND((ROUND(((AE888-((EU888*ROUND(8,7))))*1),0)*BS888),0))</f>
        <v/>
      </c>
      <c r="CT888">
        <f>AF888*BA888</f>
        <v/>
      </c>
      <c r="CU888">
        <f>AG888</f>
        <v/>
      </c>
      <c r="CV888">
        <f>AH888</f>
        <v/>
      </c>
      <c r="CW888">
        <f>AI888</f>
        <v/>
      </c>
      <c r="CX888">
        <f>AJ888</f>
        <v/>
      </c>
      <c r="CY888">
        <f>(((S888+R888)*AT888)/100)</f>
        <v/>
      </c>
      <c r="CZ888">
        <f>(((S888+R888)*AU888)/100)</f>
        <v/>
      </c>
      <c r="DC888" t="inlineStr"/>
      <c r="DD888" t="inlineStr">
        <is>
          <t>)*8</t>
        </is>
      </c>
      <c r="DE888" t="inlineStr">
        <is>
          <t>)*8</t>
        </is>
      </c>
      <c r="DF888" t="inlineStr">
        <is>
          <t>)*8</t>
        </is>
      </c>
      <c r="DG888" t="inlineStr">
        <is>
          <t>)*8</t>
        </is>
      </c>
      <c r="DH888" t="inlineStr"/>
      <c r="DI888" t="inlineStr">
        <is>
          <t>)*8</t>
        </is>
      </c>
      <c r="DJ888" t="inlineStr">
        <is>
          <t>)*8</t>
        </is>
      </c>
      <c r="DK888" t="inlineStr"/>
      <c r="DL888" t="inlineStr"/>
      <c r="DM888" t="inlineStr"/>
      <c r="DN888" t="n">
        <v>0</v>
      </c>
      <c r="DO888" t="n">
        <v>0</v>
      </c>
      <c r="DP888" t="n">
        <v>1</v>
      </c>
      <c r="DQ888" t="n">
        <v>1</v>
      </c>
      <c r="DU888" t="n">
        <v>1013</v>
      </c>
      <c r="DV888" t="inlineStr">
        <is>
          <t>100 м трубопровода</t>
        </is>
      </c>
      <c r="DW888" t="inlineStr">
        <is>
          <t>100 м трубопровода</t>
        </is>
      </c>
      <c r="DX888" t="n">
        <v>1</v>
      </c>
      <c r="DZ888" t="inlineStr"/>
      <c r="EA888" t="inlineStr"/>
      <c r="EB888" t="inlineStr"/>
      <c r="EC888" t="inlineStr"/>
      <c r="EE888" t="n">
        <v>78725882</v>
      </c>
      <c r="EF888" t="n">
        <v>2</v>
      </c>
      <c r="EG888" t="inlineStr">
        <is>
          <t>Общестроительные работы</t>
        </is>
      </c>
      <c r="EH888" t="n">
        <v>16</v>
      </c>
      <c r="EI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88" t="n">
        <v>1</v>
      </c>
      <c r="EK888" t="n">
        <v>16001</v>
      </c>
      <c r="EL888" t="inlineStr">
        <is>
          <t>Трубопроводы внутренние</t>
        </is>
      </c>
      <c r="EM888" t="inlineStr">
        <is>
          <t>ФЕР-16</t>
        </is>
      </c>
      <c r="EO888" t="inlineStr"/>
      <c r="EQ888" t="n">
        <v>0</v>
      </c>
      <c r="ER888" t="n">
        <v>107.11</v>
      </c>
      <c r="ES888" t="n">
        <v>4.28</v>
      </c>
      <c r="ET888" t="n">
        <v>44.51</v>
      </c>
      <c r="EU888" t="n">
        <v>0</v>
      </c>
      <c r="EV888" t="n">
        <v>58.32</v>
      </c>
      <c r="EW888" t="n">
        <v>5.01</v>
      </c>
      <c r="EX888" t="n">
        <v>0</v>
      </c>
      <c r="EY888" t="n">
        <v>0</v>
      </c>
      <c r="FQ888" t="n">
        <v>0</v>
      </c>
      <c r="FR888" t="n">
        <v>0</v>
      </c>
      <c r="FS888" t="n">
        <v>0</v>
      </c>
      <c r="FX888" t="n">
        <v>121</v>
      </c>
      <c r="FY888" t="n">
        <v>72</v>
      </c>
      <c r="GA888" t="inlineStr"/>
      <c r="GD888" t="n">
        <v>1</v>
      </c>
      <c r="GF888" t="n">
        <v>635989612</v>
      </c>
      <c r="GG888" t="n">
        <v>2</v>
      </c>
      <c r="GH888" t="n">
        <v>1</v>
      </c>
      <c r="GI888" t="n">
        <v>2</v>
      </c>
      <c r="GJ888" t="n">
        <v>0</v>
      </c>
      <c r="GK888" t="n">
        <v>0</v>
      </c>
      <c r="GL888">
        <f>ROUND(IF(AND(BH888=3,BI888=3,FS888&lt;&gt;0),P888,0),0)</f>
        <v/>
      </c>
      <c r="GM888">
        <f>ROUND(O888+X888+Y888,0)+GX888</f>
        <v/>
      </c>
      <c r="GN888">
        <f>IF(OR(BI888=0,BI888=1),GM888-GX888,0)</f>
        <v/>
      </c>
      <c r="GO888">
        <f>IF(BI888=2,GM888-GX888,0)</f>
        <v/>
      </c>
      <c r="GP888">
        <f>IF(BI888=4,GM888-GX888,0)</f>
        <v/>
      </c>
      <c r="GR888" t="n">
        <v>0</v>
      </c>
      <c r="GS888" t="n">
        <v>3</v>
      </c>
      <c r="GT888" t="n">
        <v>0</v>
      </c>
      <c r="GU888" t="inlineStr"/>
      <c r="GV888">
        <f>ROUND((GT888),2)</f>
        <v/>
      </c>
      <c r="GW888" t="n">
        <v>1</v>
      </c>
      <c r="GX888">
        <f>ROUND(HC888*I888,0)</f>
        <v/>
      </c>
      <c r="HA888" t="n">
        <v>0</v>
      </c>
      <c r="HB888" t="n">
        <v>0</v>
      </c>
      <c r="HC888">
        <f>GV888*GW888</f>
        <v/>
      </c>
      <c r="HE888" t="inlineStr"/>
      <c r="HF888" t="inlineStr"/>
      <c r="HM888" t="inlineStr"/>
      <c r="HN888" t="inlineStr">
        <is>
          <t>Пр/812-016.0-1</t>
        </is>
      </c>
      <c r="HO888" t="inlineStr">
        <is>
          <t>Пр/774-016.0</t>
        </is>
      </c>
      <c r="HP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88" t="n">
        <v>0</v>
      </c>
      <c r="IK888" t="n">
        <v>0</v>
      </c>
    </row>
    <row r="889"/>
    <row r="890">
      <c r="A890" s="402" t="n">
        <v>51</v>
      </c>
      <c r="B890" s="402">
        <f>B883</f>
        <v/>
      </c>
      <c r="C890" s="402">
        <f>A883</f>
        <v/>
      </c>
      <c r="D890" s="402">
        <f>ROW(A883)</f>
        <v/>
      </c>
      <c r="E890" s="402" t="n"/>
      <c r="F890" s="402">
        <f>IF(F883&lt;&gt;"",F883,"")</f>
        <v/>
      </c>
      <c r="G890" s="402">
        <f>IF(G883&lt;&gt;"",G883,"")</f>
        <v/>
      </c>
      <c r="H890" s="402" t="n">
        <v>0</v>
      </c>
      <c r="I890" s="402" t="n"/>
      <c r="J890" s="402" t="n"/>
      <c r="K890" s="402" t="n"/>
      <c r="L890" s="402" t="n"/>
      <c r="M890" s="402" t="n"/>
      <c r="N890" s="402" t="n"/>
      <c r="O890" s="402" t="n">
        <v>0</v>
      </c>
      <c r="P890" s="402" t="n">
        <v>0</v>
      </c>
      <c r="Q890" s="402" t="n">
        <v>0</v>
      </c>
      <c r="R890" s="402" t="n">
        <v>0</v>
      </c>
      <c r="S890" s="402" t="n">
        <v>0</v>
      </c>
      <c r="T890" s="402" t="n">
        <v>0</v>
      </c>
      <c r="U890" s="402" t="n">
        <v>0</v>
      </c>
      <c r="V890" s="402" t="n">
        <v>0</v>
      </c>
      <c r="W890" s="402" t="n">
        <v>0</v>
      </c>
      <c r="X890" s="402" t="n">
        <v>0</v>
      </c>
      <c r="Y890" s="402" t="n">
        <v>0</v>
      </c>
      <c r="Z890" s="402" t="n"/>
      <c r="AA890" s="402" t="n"/>
      <c r="AB890" s="402" t="n"/>
      <c r="AC890" s="402" t="n"/>
      <c r="AD890" s="402" t="n"/>
      <c r="AE890" s="402" t="n"/>
      <c r="AF890" s="402" t="n"/>
      <c r="AG890" s="402" t="n"/>
      <c r="AH890" s="402" t="n"/>
      <c r="AI890" s="402" t="n"/>
      <c r="AJ890" s="402" t="n"/>
      <c r="AK890" s="402" t="n"/>
      <c r="AL890" s="402" t="n"/>
      <c r="AM890" s="402" t="n"/>
      <c r="AN890" s="402" t="n"/>
      <c r="AO890" s="402">
        <f>ROUND(BX890,0)</f>
        <v/>
      </c>
      <c r="AP890" s="402">
        <f>ROUND(BY890,0)</f>
        <v/>
      </c>
      <c r="AQ890" s="402">
        <f>ROUND(BZ890,0)</f>
        <v/>
      </c>
      <c r="AR890" s="402">
        <f>ROUND(CA890,0)</f>
        <v/>
      </c>
      <c r="AS890" s="402">
        <f>ROUND(CB890,0)</f>
        <v/>
      </c>
      <c r="AT890" s="402">
        <f>ROUND(CC890,0)</f>
        <v/>
      </c>
      <c r="AU890" s="402">
        <f>ROUND(CD890,0)</f>
        <v/>
      </c>
      <c r="AV890" s="402">
        <f>ROUND(CE890,0)</f>
        <v/>
      </c>
      <c r="AW890" s="402">
        <f>ROUND(CF890,0)</f>
        <v/>
      </c>
      <c r="AX890" s="402">
        <f>ROUND(CG890,0)</f>
        <v/>
      </c>
      <c r="AY890" s="402">
        <f>ROUND(CH890,0)</f>
        <v/>
      </c>
      <c r="AZ890" s="402">
        <f>ROUND(CI890,0)</f>
        <v/>
      </c>
      <c r="BA890" s="402">
        <f>ROUND(CJ890,0)</f>
        <v/>
      </c>
      <c r="BB890" s="402">
        <f>ROUND(CK890,0)</f>
        <v/>
      </c>
      <c r="BC890" s="402">
        <f>ROUND(CL890,0)</f>
        <v/>
      </c>
      <c r="BD890" s="402">
        <f>ROUND(CM890,0)</f>
        <v/>
      </c>
      <c r="BE890" s="402" t="n"/>
      <c r="BF890" s="402" t="n"/>
      <c r="BG890" s="402" t="n"/>
      <c r="BH890" s="402" t="n"/>
      <c r="BI890" s="402" t="n"/>
      <c r="BJ890" s="402" t="n"/>
      <c r="BK890" s="402" t="n"/>
      <c r="BL890" s="402" t="n"/>
      <c r="BM890" s="402" t="n"/>
      <c r="BN890" s="402" t="n"/>
      <c r="BO890" s="402" t="n"/>
      <c r="BP890" s="402" t="n"/>
      <c r="BQ890" s="402" t="n"/>
      <c r="BR890" s="402" t="n"/>
      <c r="BS890" s="402" t="n"/>
      <c r="BT890" s="402" t="n"/>
      <c r="BU890" s="402" t="n"/>
      <c r="BV890" s="402" t="n"/>
      <c r="BW890" s="402" t="n"/>
      <c r="BX890" s="402" t="n"/>
      <c r="BY890" s="402" t="n"/>
      <c r="BZ890" s="402" t="n"/>
      <c r="CA890" s="402" t="n"/>
      <c r="CB890" s="402" t="n"/>
      <c r="CC890" s="402" t="n"/>
      <c r="CD890" s="402" t="n"/>
      <c r="CE890" s="402" t="n"/>
      <c r="CF890" s="402" t="n"/>
      <c r="CG890" s="402" t="n"/>
      <c r="CH890" s="402" t="n"/>
      <c r="CI890" s="402" t="n"/>
      <c r="CJ890" s="402" t="n"/>
      <c r="CK890" s="402" t="n"/>
      <c r="CL890" s="402" t="n"/>
      <c r="CM890" s="402" t="n"/>
      <c r="CN890" s="402" t="n"/>
      <c r="CO890" s="402" t="n"/>
      <c r="CP890" s="402" t="n"/>
      <c r="CQ890" s="402" t="n"/>
      <c r="CR890" s="402" t="n"/>
      <c r="CS890" s="402" t="n"/>
      <c r="CT890" s="402" t="n"/>
      <c r="CU890" s="402" t="n"/>
      <c r="CV890" s="402" t="n"/>
      <c r="CW890" s="402" t="n"/>
      <c r="CX890" s="402" t="n"/>
      <c r="CY890" s="402" t="n"/>
      <c r="CZ890" s="402" t="n"/>
      <c r="DA890" s="402" t="n"/>
      <c r="DB890" s="402" t="n"/>
      <c r="DC890" s="402" t="n"/>
      <c r="DD890" s="402" t="n"/>
      <c r="DE890" s="402" t="n"/>
      <c r="DF890" s="402" t="n"/>
      <c r="DG890" s="403" t="n"/>
      <c r="DH890" s="403" t="n"/>
      <c r="DI890" s="403" t="n"/>
      <c r="DJ890" s="403" t="n"/>
      <c r="DK890" s="403" t="n"/>
      <c r="DL890" s="403" t="n"/>
      <c r="DM890" s="403" t="n"/>
      <c r="DN890" s="403" t="n"/>
      <c r="DO890" s="403" t="n"/>
      <c r="DP890" s="403" t="n"/>
      <c r="DQ890" s="403" t="n"/>
      <c r="DR890" s="403" t="n"/>
      <c r="DS890" s="403" t="n"/>
      <c r="DT890" s="403" t="n"/>
      <c r="DU890" s="403" t="n"/>
      <c r="DV890" s="403" t="n"/>
      <c r="DW890" s="403" t="n"/>
      <c r="DX890" s="403" t="n"/>
      <c r="DY890" s="403" t="n"/>
      <c r="DZ890" s="403" t="n"/>
      <c r="EA890" s="403" t="n"/>
      <c r="EB890" s="403" t="n"/>
      <c r="EC890" s="403" t="n"/>
      <c r="ED890" s="403" t="n"/>
      <c r="EE890" s="403" t="n"/>
      <c r="EF890" s="403" t="n"/>
      <c r="EG890" s="403" t="n"/>
      <c r="EH890" s="403" t="n"/>
      <c r="EI890" s="403" t="n"/>
      <c r="EJ890" s="403" t="n"/>
      <c r="EK890" s="403" t="n"/>
      <c r="EL890" s="403" t="n"/>
      <c r="EM890" s="403" t="n"/>
      <c r="EN890" s="403" t="n"/>
      <c r="EO890" s="403" t="n"/>
      <c r="EP890" s="403" t="n"/>
      <c r="EQ890" s="403" t="n"/>
      <c r="ER890" s="403" t="n"/>
      <c r="ES890" s="403" t="n"/>
      <c r="ET890" s="403" t="n"/>
      <c r="EU890" s="403" t="n"/>
      <c r="EV890" s="403" t="n"/>
      <c r="EW890" s="403" t="n"/>
      <c r="EX890" s="403" t="n"/>
      <c r="EY890" s="403" t="n"/>
      <c r="EZ890" s="403" t="n"/>
      <c r="FA890" s="403" t="n"/>
      <c r="FB890" s="403" t="n"/>
      <c r="FC890" s="403" t="n"/>
      <c r="FD890" s="403" t="n"/>
      <c r="FE890" s="403" t="n"/>
      <c r="FF890" s="403" t="n"/>
      <c r="FG890" s="403" t="n"/>
      <c r="FH890" s="403" t="n"/>
      <c r="FI890" s="403" t="n"/>
      <c r="FJ890" s="403" t="n"/>
      <c r="FK890" s="403" t="n"/>
      <c r="FL890" s="403" t="n"/>
      <c r="FM890" s="403" t="n"/>
      <c r="FN890" s="403" t="n"/>
      <c r="FO890" s="403" t="n"/>
      <c r="FP890" s="403" t="n"/>
      <c r="FQ890" s="403" t="n"/>
      <c r="FR890" s="403" t="n"/>
      <c r="FS890" s="403" t="n"/>
      <c r="FT890" s="403" t="n"/>
      <c r="FU890" s="403" t="n"/>
      <c r="FV890" s="403" t="n"/>
      <c r="FW890" s="403" t="n"/>
      <c r="FX890" s="403" t="n"/>
      <c r="FY890" s="403" t="n"/>
      <c r="FZ890" s="403" t="n"/>
      <c r="GA890" s="403" t="n"/>
      <c r="GB890" s="403" t="n"/>
      <c r="GC890" s="403" t="n"/>
      <c r="GD890" s="403" t="n"/>
      <c r="GE890" s="403" t="n"/>
      <c r="GF890" s="403" t="n"/>
      <c r="GG890" s="403" t="n"/>
      <c r="GH890" s="403" t="n"/>
      <c r="GI890" s="403" t="n"/>
      <c r="GJ890" s="403" t="n"/>
      <c r="GK890" s="403" t="n"/>
      <c r="GL890" s="403" t="n"/>
      <c r="GM890" s="403" t="n"/>
      <c r="GN890" s="403" t="n"/>
      <c r="GO890" s="403" t="n"/>
      <c r="GP890" s="403" t="n"/>
      <c r="GQ890" s="403" t="n"/>
      <c r="GR890" s="403" t="n"/>
      <c r="GS890" s="403" t="n"/>
      <c r="GT890" s="403" t="n"/>
      <c r="GU890" s="403" t="n"/>
      <c r="GV890" s="403" t="n"/>
      <c r="GW890" s="403" t="n"/>
      <c r="GX890" s="403" t="n">
        <v>0</v>
      </c>
    </row>
    <row r="891"/>
    <row r="892">
      <c r="A892" s="404" t="n">
        <v>50</v>
      </c>
      <c r="B892" s="404" t="n">
        <v>0</v>
      </c>
      <c r="C892" s="404" t="n">
        <v>0</v>
      </c>
      <c r="D892" s="404" t="n">
        <v>1</v>
      </c>
      <c r="E892" s="404" t="n">
        <v>201</v>
      </c>
      <c r="F892" s="404">
        <f>ROUND(Source!O890,O892)</f>
        <v/>
      </c>
      <c r="G892" s="404" t="inlineStr">
        <is>
          <t>ПЗ</t>
        </is>
      </c>
      <c r="H892" s="404" t="inlineStr">
        <is>
          <t>Прямые затраты</t>
        </is>
      </c>
      <c r="I892" s="404" t="n"/>
      <c r="J892" s="404" t="n"/>
      <c r="K892" s="404" t="n">
        <v>201</v>
      </c>
      <c r="L892" s="404" t="n">
        <v>1</v>
      </c>
      <c r="M892" s="404" t="n">
        <v>3</v>
      </c>
      <c r="N892" s="404" t="inlineStr"/>
      <c r="O892" s="404" t="n">
        <v>0</v>
      </c>
      <c r="P892" s="404" t="n"/>
      <c r="Q892" s="404" t="n"/>
      <c r="R892" s="404" t="n"/>
      <c r="S892" s="404" t="n"/>
      <c r="T892" s="404" t="n"/>
      <c r="U892" s="404" t="n"/>
      <c r="V892" s="404" t="n"/>
      <c r="W892" s="404" t="n">
        <v>0</v>
      </c>
      <c r="X892" s="404" t="n">
        <v>1</v>
      </c>
      <c r="Y892" s="404" t="n">
        <v>0</v>
      </c>
      <c r="Z892" s="404" t="n"/>
      <c r="AA892" s="404" t="n"/>
      <c r="AB892" s="404" t="n"/>
    </row>
    <row r="893">
      <c r="A893" s="404" t="n">
        <v>50</v>
      </c>
      <c r="B893" s="404" t="n">
        <v>0</v>
      </c>
      <c r="C893" s="404" t="n">
        <v>0</v>
      </c>
      <c r="D893" s="404" t="n">
        <v>1</v>
      </c>
      <c r="E893" s="404" t="n">
        <v>202</v>
      </c>
      <c r="F893" s="404">
        <f>ROUND(Source!P890,O893)</f>
        <v/>
      </c>
      <c r="G893" s="404" t="inlineStr">
        <is>
          <t>СтМатОб</t>
        </is>
      </c>
      <c r="H893" s="404" t="inlineStr">
        <is>
          <t>Стоимость материальных ресурсов (всего)</t>
        </is>
      </c>
      <c r="I893" s="404" t="n"/>
      <c r="J893" s="404" t="n"/>
      <c r="K893" s="404" t="n">
        <v>202</v>
      </c>
      <c r="L893" s="404" t="n">
        <v>2</v>
      </c>
      <c r="M893" s="404" t="n">
        <v>3</v>
      </c>
      <c r="N893" s="404" t="inlineStr"/>
      <c r="O893" s="404" t="n">
        <v>0</v>
      </c>
      <c r="P893" s="404" t="n"/>
      <c r="Q893" s="404" t="n"/>
      <c r="R893" s="404" t="n"/>
      <c r="S893" s="404" t="n"/>
      <c r="T893" s="404" t="n"/>
      <c r="U893" s="404" t="n"/>
      <c r="V893" s="404" t="n"/>
      <c r="W893" s="404" t="n">
        <v>0</v>
      </c>
      <c r="X893" s="404" t="n">
        <v>1</v>
      </c>
      <c r="Y893" s="404" t="n">
        <v>0</v>
      </c>
      <c r="Z893" s="404" t="n"/>
      <c r="AA893" s="404" t="n"/>
      <c r="AB893" s="404" t="n"/>
    </row>
    <row r="894">
      <c r="A894" s="404" t="n">
        <v>50</v>
      </c>
      <c r="B894" s="404" t="n">
        <v>0</v>
      </c>
      <c r="C894" s="404" t="n">
        <v>0</v>
      </c>
      <c r="D894" s="404" t="n">
        <v>1</v>
      </c>
      <c r="E894" s="404" t="n">
        <v>222</v>
      </c>
      <c r="F894" s="404">
        <f>ROUND(Source!AO890,O894)</f>
        <v/>
      </c>
      <c r="G894" s="404" t="inlineStr">
        <is>
          <t>СтМатОбЗак</t>
        </is>
      </c>
      <c r="H894" s="404" t="inlineStr">
        <is>
          <t>Стоимость материалов и оборудования заказчика</t>
        </is>
      </c>
      <c r="I894" s="404" t="n"/>
      <c r="J894" s="404" t="n"/>
      <c r="K894" s="404" t="n">
        <v>222</v>
      </c>
      <c r="L894" s="404" t="n">
        <v>3</v>
      </c>
      <c r="M894" s="404" t="n">
        <v>3</v>
      </c>
      <c r="N894" s="404" t="inlineStr"/>
      <c r="O894" s="404" t="n">
        <v>0</v>
      </c>
      <c r="P894" s="404" t="n"/>
      <c r="Q894" s="404" t="n"/>
      <c r="R894" s="404" t="n"/>
      <c r="S894" s="404" t="n"/>
      <c r="T894" s="404" t="n"/>
      <c r="U894" s="404" t="n"/>
      <c r="V894" s="404" t="n"/>
      <c r="W894" s="404" t="n">
        <v>0</v>
      </c>
      <c r="X894" s="404" t="n">
        <v>1</v>
      </c>
      <c r="Y894" s="404" t="n">
        <v>0</v>
      </c>
      <c r="Z894" s="404" t="n"/>
      <c r="AA894" s="404" t="n"/>
      <c r="AB894" s="404" t="n"/>
    </row>
    <row r="895">
      <c r="A895" s="404" t="n">
        <v>50</v>
      </c>
      <c r="B895" s="404" t="n">
        <v>0</v>
      </c>
      <c r="C895" s="404" t="n">
        <v>0</v>
      </c>
      <c r="D895" s="404" t="n">
        <v>1</v>
      </c>
      <c r="E895" s="404" t="n">
        <v>225</v>
      </c>
      <c r="F895" s="404">
        <f>ROUND(Source!AV890,O895)</f>
        <v/>
      </c>
      <c r="G895" s="404" t="inlineStr">
        <is>
          <t>СтМатОбПод</t>
        </is>
      </c>
      <c r="H895" s="404" t="inlineStr">
        <is>
          <t>Стоимость материалов и оборудования подрядчика</t>
        </is>
      </c>
      <c r="I895" s="404" t="n"/>
      <c r="J895" s="404" t="n"/>
      <c r="K895" s="404" t="n">
        <v>225</v>
      </c>
      <c r="L895" s="404" t="n">
        <v>4</v>
      </c>
      <c r="M895" s="404" t="n">
        <v>3</v>
      </c>
      <c r="N895" s="404" t="inlineStr"/>
      <c r="O895" s="404" t="n">
        <v>0</v>
      </c>
      <c r="P895" s="404" t="n"/>
      <c r="Q895" s="404" t="n"/>
      <c r="R895" s="404" t="n"/>
      <c r="S895" s="404" t="n"/>
      <c r="T895" s="404" t="n"/>
      <c r="U895" s="404" t="n"/>
      <c r="V895" s="404" t="n"/>
      <c r="W895" s="404" t="n">
        <v>0</v>
      </c>
      <c r="X895" s="404" t="n">
        <v>1</v>
      </c>
      <c r="Y895" s="404" t="n">
        <v>0</v>
      </c>
      <c r="Z895" s="404" t="n"/>
      <c r="AA895" s="404" t="n"/>
      <c r="AB895" s="404" t="n"/>
    </row>
    <row r="896">
      <c r="A896" s="404" t="n">
        <v>50</v>
      </c>
      <c r="B896" s="404" t="n">
        <v>0</v>
      </c>
      <c r="C896" s="404" t="n">
        <v>0</v>
      </c>
      <c r="D896" s="404" t="n">
        <v>1</v>
      </c>
      <c r="E896" s="404" t="n">
        <v>226</v>
      </c>
      <c r="F896" s="404">
        <f>ROUND(Source!AW890,O896)</f>
        <v/>
      </c>
      <c r="G896" s="404" t="inlineStr">
        <is>
          <t>СтМат</t>
        </is>
      </c>
      <c r="H896" s="404" t="inlineStr">
        <is>
          <t>Стоимость материалов (всего)</t>
        </is>
      </c>
      <c r="I896" s="404" t="n"/>
      <c r="J896" s="404" t="n"/>
      <c r="K896" s="404" t="n">
        <v>226</v>
      </c>
      <c r="L896" s="404" t="n">
        <v>5</v>
      </c>
      <c r="M896" s="404" t="n">
        <v>3</v>
      </c>
      <c r="N896" s="404" t="inlineStr"/>
      <c r="O896" s="404" t="n">
        <v>0</v>
      </c>
      <c r="P896" s="404" t="n"/>
      <c r="Q896" s="404" t="n"/>
      <c r="R896" s="404" t="n"/>
      <c r="S896" s="404" t="n"/>
      <c r="T896" s="404" t="n"/>
      <c r="U896" s="404" t="n"/>
      <c r="V896" s="404" t="n"/>
      <c r="W896" s="404" t="n">
        <v>0</v>
      </c>
      <c r="X896" s="404" t="n">
        <v>1</v>
      </c>
      <c r="Y896" s="404" t="n">
        <v>0</v>
      </c>
      <c r="Z896" s="404" t="n"/>
      <c r="AA896" s="404" t="n"/>
      <c r="AB896" s="404" t="n"/>
    </row>
    <row r="897">
      <c r="A897" s="404" t="n">
        <v>50</v>
      </c>
      <c r="B897" s="404" t="n">
        <v>0</v>
      </c>
      <c r="C897" s="404" t="n">
        <v>0</v>
      </c>
      <c r="D897" s="404" t="n">
        <v>1</v>
      </c>
      <c r="E897" s="404" t="n">
        <v>227</v>
      </c>
      <c r="F897" s="404">
        <f>ROUND(Source!AX890,O897)</f>
        <v/>
      </c>
      <c r="G897" s="404" t="inlineStr">
        <is>
          <t>СтМатЗак</t>
        </is>
      </c>
      <c r="H897" s="404" t="inlineStr">
        <is>
          <t>Стоимость материалов заказчика</t>
        </is>
      </c>
      <c r="I897" s="404" t="n"/>
      <c r="J897" s="404" t="n"/>
      <c r="K897" s="404" t="n">
        <v>227</v>
      </c>
      <c r="L897" s="404" t="n">
        <v>6</v>
      </c>
      <c r="M897" s="404" t="n">
        <v>3</v>
      </c>
      <c r="N897" s="404" t="inlineStr"/>
      <c r="O897" s="404" t="n">
        <v>0</v>
      </c>
      <c r="P897" s="404" t="n"/>
      <c r="Q897" s="404" t="n"/>
      <c r="R897" s="404" t="n"/>
      <c r="S897" s="404" t="n"/>
      <c r="T897" s="404" t="n"/>
      <c r="U897" s="404" t="n"/>
      <c r="V897" s="404" t="n"/>
      <c r="W897" s="404" t="n">
        <v>0</v>
      </c>
      <c r="X897" s="404" t="n">
        <v>1</v>
      </c>
      <c r="Y897" s="404" t="n">
        <v>0</v>
      </c>
      <c r="Z897" s="404" t="n"/>
      <c r="AA897" s="404" t="n"/>
      <c r="AB897" s="404" t="n"/>
    </row>
    <row r="898">
      <c r="A898" s="404" t="n">
        <v>50</v>
      </c>
      <c r="B898" s="404" t="n">
        <v>0</v>
      </c>
      <c r="C898" s="404" t="n">
        <v>0</v>
      </c>
      <c r="D898" s="404" t="n">
        <v>1</v>
      </c>
      <c r="E898" s="404" t="n">
        <v>228</v>
      </c>
      <c r="F898" s="404">
        <f>ROUND(Source!AY890,O898)</f>
        <v/>
      </c>
      <c r="G898" s="404" t="inlineStr">
        <is>
          <t>СтМатПод</t>
        </is>
      </c>
      <c r="H898" s="404" t="inlineStr">
        <is>
          <t>Стоимость материалов подрядчика</t>
        </is>
      </c>
      <c r="I898" s="404" t="n"/>
      <c r="J898" s="404" t="n"/>
      <c r="K898" s="404" t="n">
        <v>228</v>
      </c>
      <c r="L898" s="404" t="n">
        <v>7</v>
      </c>
      <c r="M898" s="404" t="n">
        <v>3</v>
      </c>
      <c r="N898" s="404" t="inlineStr"/>
      <c r="O898" s="404" t="n">
        <v>0</v>
      </c>
      <c r="P898" s="404" t="n"/>
      <c r="Q898" s="404" t="n"/>
      <c r="R898" s="404" t="n"/>
      <c r="S898" s="404" t="n"/>
      <c r="T898" s="404" t="n"/>
      <c r="U898" s="404" t="n"/>
      <c r="V898" s="404" t="n"/>
      <c r="W898" s="404" t="n">
        <v>0</v>
      </c>
      <c r="X898" s="404" t="n">
        <v>1</v>
      </c>
      <c r="Y898" s="404" t="n">
        <v>0</v>
      </c>
      <c r="Z898" s="404" t="n"/>
      <c r="AA898" s="404" t="n"/>
      <c r="AB898" s="404" t="n"/>
    </row>
    <row r="899">
      <c r="A899" s="404" t="n">
        <v>50</v>
      </c>
      <c r="B899" s="404" t="n">
        <v>0</v>
      </c>
      <c r="C899" s="404" t="n">
        <v>0</v>
      </c>
      <c r="D899" s="404" t="n">
        <v>1</v>
      </c>
      <c r="E899" s="404" t="n">
        <v>216</v>
      </c>
      <c r="F899" s="404">
        <f>ROUND(Source!AP890,O899)</f>
        <v/>
      </c>
      <c r="G899" s="404" t="inlineStr">
        <is>
          <t>Оборуд</t>
        </is>
      </c>
      <c r="H899" s="404" t="inlineStr">
        <is>
          <t>Стоимость оборудования (всего)</t>
        </is>
      </c>
      <c r="I899" s="404" t="n"/>
      <c r="J899" s="404" t="n"/>
      <c r="K899" s="404" t="n">
        <v>216</v>
      </c>
      <c r="L899" s="404" t="n">
        <v>8</v>
      </c>
      <c r="M899" s="404" t="n">
        <v>3</v>
      </c>
      <c r="N899" s="404" t="inlineStr"/>
      <c r="O899" s="404" t="n">
        <v>0</v>
      </c>
      <c r="P899" s="404" t="n"/>
      <c r="Q899" s="404" t="n"/>
      <c r="R899" s="404" t="n"/>
      <c r="S899" s="404" t="n"/>
      <c r="T899" s="404" t="n"/>
      <c r="U899" s="404" t="n"/>
      <c r="V899" s="404" t="n"/>
      <c r="W899" s="404" t="n">
        <v>0</v>
      </c>
      <c r="X899" s="404" t="n">
        <v>1</v>
      </c>
      <c r="Y899" s="404" t="n">
        <v>0</v>
      </c>
      <c r="Z899" s="404" t="n"/>
      <c r="AA899" s="404" t="n"/>
      <c r="AB899" s="404" t="n"/>
    </row>
    <row r="900">
      <c r="A900" s="404" t="n">
        <v>50</v>
      </c>
      <c r="B900" s="404" t="n">
        <v>0</v>
      </c>
      <c r="C900" s="404" t="n">
        <v>0</v>
      </c>
      <c r="D900" s="404" t="n">
        <v>1</v>
      </c>
      <c r="E900" s="404" t="n">
        <v>223</v>
      </c>
      <c r="F900" s="404">
        <f>ROUND(Source!AQ890,O900)</f>
        <v/>
      </c>
      <c r="G900" s="404" t="inlineStr">
        <is>
          <t>ОборудЗак</t>
        </is>
      </c>
      <c r="H900" s="404" t="inlineStr">
        <is>
          <t>Стоимость оборудования заказчика</t>
        </is>
      </c>
      <c r="I900" s="404" t="n"/>
      <c r="J900" s="404" t="n"/>
      <c r="K900" s="404" t="n">
        <v>223</v>
      </c>
      <c r="L900" s="404" t="n">
        <v>9</v>
      </c>
      <c r="M900" s="404" t="n">
        <v>3</v>
      </c>
      <c r="N900" s="404" t="inlineStr"/>
      <c r="O900" s="404" t="n">
        <v>0</v>
      </c>
      <c r="P900" s="404" t="n"/>
      <c r="Q900" s="404" t="n"/>
      <c r="R900" s="404" t="n"/>
      <c r="S900" s="404" t="n"/>
      <c r="T900" s="404" t="n"/>
      <c r="U900" s="404" t="n"/>
      <c r="V900" s="404" t="n"/>
      <c r="W900" s="404" t="n">
        <v>0</v>
      </c>
      <c r="X900" s="404" t="n">
        <v>1</v>
      </c>
      <c r="Y900" s="404" t="n">
        <v>0</v>
      </c>
      <c r="Z900" s="404" t="n"/>
      <c r="AA900" s="404" t="n"/>
      <c r="AB900" s="404" t="n"/>
    </row>
    <row r="901">
      <c r="A901" s="404" t="n">
        <v>50</v>
      </c>
      <c r="B901" s="404" t="n">
        <v>0</v>
      </c>
      <c r="C901" s="404" t="n">
        <v>0</v>
      </c>
      <c r="D901" s="404" t="n">
        <v>1</v>
      </c>
      <c r="E901" s="404" t="n">
        <v>229</v>
      </c>
      <c r="F901" s="404">
        <f>ROUND(Source!AZ890,O901)</f>
        <v/>
      </c>
      <c r="G901" s="404" t="inlineStr">
        <is>
          <t>ОборудПод</t>
        </is>
      </c>
      <c r="H901" s="404" t="inlineStr">
        <is>
          <t>Стоимость оборудования подрядчика</t>
        </is>
      </c>
      <c r="I901" s="404" t="n"/>
      <c r="J901" s="404" t="n"/>
      <c r="K901" s="404" t="n">
        <v>229</v>
      </c>
      <c r="L901" s="404" t="n">
        <v>10</v>
      </c>
      <c r="M901" s="404" t="n">
        <v>3</v>
      </c>
      <c r="N901" s="404" t="inlineStr"/>
      <c r="O901" s="404" t="n">
        <v>0</v>
      </c>
      <c r="P901" s="404" t="n"/>
      <c r="Q901" s="404" t="n"/>
      <c r="R901" s="404" t="n"/>
      <c r="S901" s="404" t="n"/>
      <c r="T901" s="404" t="n"/>
      <c r="U901" s="404" t="n"/>
      <c r="V901" s="404" t="n"/>
      <c r="W901" s="404" t="n">
        <v>0</v>
      </c>
      <c r="X901" s="404" t="n">
        <v>1</v>
      </c>
      <c r="Y901" s="404" t="n">
        <v>0</v>
      </c>
      <c r="Z901" s="404" t="n"/>
      <c r="AA901" s="404" t="n"/>
      <c r="AB901" s="404" t="n"/>
    </row>
    <row r="902">
      <c r="A902" s="404" t="n">
        <v>50</v>
      </c>
      <c r="B902" s="404" t="n">
        <v>0</v>
      </c>
      <c r="C902" s="404" t="n">
        <v>0</v>
      </c>
      <c r="D902" s="404" t="n">
        <v>1</v>
      </c>
      <c r="E902" s="404" t="n">
        <v>203</v>
      </c>
      <c r="F902" s="404">
        <f>ROUND(Source!Q890,O902)</f>
        <v/>
      </c>
      <c r="G902" s="404" t="inlineStr">
        <is>
          <t>ЭММ</t>
        </is>
      </c>
      <c r="H902" s="404" t="inlineStr">
        <is>
          <t>Эксплуатация машин</t>
        </is>
      </c>
      <c r="I902" s="404" t="n"/>
      <c r="J902" s="404" t="n"/>
      <c r="K902" s="404" t="n">
        <v>203</v>
      </c>
      <c r="L902" s="404" t="n">
        <v>11</v>
      </c>
      <c r="M902" s="404" t="n">
        <v>3</v>
      </c>
      <c r="N902" s="404" t="inlineStr"/>
      <c r="O902" s="404" t="n">
        <v>0</v>
      </c>
      <c r="P902" s="404" t="n"/>
      <c r="Q902" s="404" t="n"/>
      <c r="R902" s="404" t="n"/>
      <c r="S902" s="404" t="n"/>
      <c r="T902" s="404" t="n"/>
      <c r="U902" s="404" t="n"/>
      <c r="V902" s="404" t="n"/>
      <c r="W902" s="404" t="n">
        <v>0</v>
      </c>
      <c r="X902" s="404" t="n">
        <v>1</v>
      </c>
      <c r="Y902" s="404" t="n">
        <v>0</v>
      </c>
      <c r="Z902" s="404" t="n"/>
      <c r="AA902" s="404" t="n"/>
      <c r="AB902" s="404" t="n"/>
    </row>
    <row r="903">
      <c r="A903" s="404" t="n">
        <v>50</v>
      </c>
      <c r="B903" s="404" t="n">
        <v>0</v>
      </c>
      <c r="C903" s="404" t="n">
        <v>0</v>
      </c>
      <c r="D903" s="404" t="n">
        <v>1</v>
      </c>
      <c r="E903" s="404" t="n">
        <v>231</v>
      </c>
      <c r="F903" s="404">
        <f>ROUND(Source!BB890,O903)</f>
        <v/>
      </c>
      <c r="G903" s="404" t="inlineStr">
        <is>
          <t>ЭММсНРиСП</t>
        </is>
      </c>
      <c r="H903" s="404" t="inlineStr">
        <is>
          <t>Эксплуатация машин по ТСН-2001.16</t>
        </is>
      </c>
      <c r="I903" s="404" t="n"/>
      <c r="J903" s="404" t="n"/>
      <c r="K903" s="404" t="n">
        <v>231</v>
      </c>
      <c r="L903" s="404" t="n">
        <v>12</v>
      </c>
      <c r="M903" s="404" t="n">
        <v>3</v>
      </c>
      <c r="N903" s="404" t="inlineStr"/>
      <c r="O903" s="404" t="n">
        <v>0</v>
      </c>
      <c r="P903" s="404" t="n"/>
      <c r="Q903" s="404" t="n"/>
      <c r="R903" s="404" t="n"/>
      <c r="S903" s="404" t="n"/>
      <c r="T903" s="404" t="n"/>
      <c r="U903" s="404" t="n"/>
      <c r="V903" s="404" t="n"/>
      <c r="W903" s="404" t="n">
        <v>0</v>
      </c>
      <c r="X903" s="404" t="n">
        <v>1</v>
      </c>
      <c r="Y903" s="404" t="n">
        <v>0</v>
      </c>
      <c r="Z903" s="404" t="n"/>
      <c r="AA903" s="404" t="n"/>
      <c r="AB903" s="404" t="n"/>
    </row>
    <row r="904">
      <c r="A904" s="404" t="n">
        <v>50</v>
      </c>
      <c r="B904" s="404" t="n">
        <v>0</v>
      </c>
      <c r="C904" s="404" t="n">
        <v>0</v>
      </c>
      <c r="D904" s="404" t="n">
        <v>1</v>
      </c>
      <c r="E904" s="404" t="n">
        <v>204</v>
      </c>
      <c r="F904" s="404">
        <f>ROUND(Source!R890,O904)</f>
        <v/>
      </c>
      <c r="G904" s="404" t="inlineStr">
        <is>
          <t>ЗПМ</t>
        </is>
      </c>
      <c r="H904" s="404" t="inlineStr">
        <is>
          <t>ЗП машинистов</t>
        </is>
      </c>
      <c r="I904" s="404" t="n"/>
      <c r="J904" s="404" t="n"/>
      <c r="K904" s="404" t="n">
        <v>204</v>
      </c>
      <c r="L904" s="404" t="n">
        <v>13</v>
      </c>
      <c r="M904" s="404" t="n">
        <v>3</v>
      </c>
      <c r="N904" s="404" t="inlineStr"/>
      <c r="O904" s="404" t="n">
        <v>0</v>
      </c>
      <c r="P904" s="404" t="n"/>
      <c r="Q904" s="404" t="n"/>
      <c r="R904" s="404" t="n"/>
      <c r="S904" s="404" t="n"/>
      <c r="T904" s="404" t="n"/>
      <c r="U904" s="404" t="n"/>
      <c r="V904" s="404" t="n"/>
      <c r="W904" s="404" t="n">
        <v>0</v>
      </c>
      <c r="X904" s="404" t="n">
        <v>1</v>
      </c>
      <c r="Y904" s="404" t="n">
        <v>0</v>
      </c>
      <c r="Z904" s="404" t="n"/>
      <c r="AA904" s="404" t="n"/>
      <c r="AB904" s="404" t="n"/>
    </row>
    <row r="905">
      <c r="A905" s="404" t="n">
        <v>50</v>
      </c>
      <c r="B905" s="404" t="n">
        <v>0</v>
      </c>
      <c r="C905" s="404" t="n">
        <v>0</v>
      </c>
      <c r="D905" s="404" t="n">
        <v>1</v>
      </c>
      <c r="E905" s="404" t="n">
        <v>205</v>
      </c>
      <c r="F905" s="404">
        <f>ROUND(Source!S890,O905)</f>
        <v/>
      </c>
      <c r="G905" s="404" t="inlineStr">
        <is>
          <t>ОЗП</t>
        </is>
      </c>
      <c r="H905" s="404" t="inlineStr">
        <is>
          <t>Основная ЗП рабочих</t>
        </is>
      </c>
      <c r="I905" s="404" t="n"/>
      <c r="J905" s="404" t="n"/>
      <c r="K905" s="404" t="n">
        <v>205</v>
      </c>
      <c r="L905" s="404" t="n">
        <v>14</v>
      </c>
      <c r="M905" s="404" t="n">
        <v>3</v>
      </c>
      <c r="N905" s="404" t="inlineStr"/>
      <c r="O905" s="404" t="n">
        <v>0</v>
      </c>
      <c r="P905" s="404" t="n"/>
      <c r="Q905" s="404" t="n"/>
      <c r="R905" s="404" t="n"/>
      <c r="S905" s="404" t="n"/>
      <c r="T905" s="404" t="n"/>
      <c r="U905" s="404" t="n"/>
      <c r="V905" s="404" t="n"/>
      <c r="W905" s="404" t="n">
        <v>0</v>
      </c>
      <c r="X905" s="404" t="n">
        <v>1</v>
      </c>
      <c r="Y905" s="404" t="n">
        <v>0</v>
      </c>
      <c r="Z905" s="404" t="n"/>
      <c r="AA905" s="404" t="n"/>
      <c r="AB905" s="404" t="n"/>
    </row>
    <row r="906">
      <c r="A906" s="404" t="n">
        <v>50</v>
      </c>
      <c r="B906" s="404" t="n">
        <v>0</v>
      </c>
      <c r="C906" s="404" t="n">
        <v>0</v>
      </c>
      <c r="D906" s="404" t="n">
        <v>1</v>
      </c>
      <c r="E906" s="404" t="n">
        <v>232</v>
      </c>
      <c r="F906" s="404">
        <f>ROUND(Source!BC890,O906)</f>
        <v/>
      </c>
      <c r="G906" s="404" t="inlineStr">
        <is>
          <t>ОЗПсНРиСП</t>
        </is>
      </c>
      <c r="H906" s="404" t="inlineStr">
        <is>
          <t>Основная ЗП рабочих по ТСН-2001.16</t>
        </is>
      </c>
      <c r="I906" s="404" t="n"/>
      <c r="J906" s="404" t="n"/>
      <c r="K906" s="404" t="n">
        <v>232</v>
      </c>
      <c r="L906" s="404" t="n">
        <v>15</v>
      </c>
      <c r="M906" s="404" t="n">
        <v>3</v>
      </c>
      <c r="N906" s="404" t="inlineStr"/>
      <c r="O906" s="404" t="n">
        <v>0</v>
      </c>
      <c r="P906" s="404" t="n"/>
      <c r="Q906" s="404" t="n"/>
      <c r="R906" s="404" t="n"/>
      <c r="S906" s="404" t="n"/>
      <c r="T906" s="404" t="n"/>
      <c r="U906" s="404" t="n"/>
      <c r="V906" s="404" t="n"/>
      <c r="W906" s="404" t="n">
        <v>0</v>
      </c>
      <c r="X906" s="404" t="n">
        <v>1</v>
      </c>
      <c r="Y906" s="404" t="n">
        <v>0</v>
      </c>
      <c r="Z906" s="404" t="n"/>
      <c r="AA906" s="404" t="n"/>
      <c r="AB906" s="404" t="n"/>
    </row>
    <row r="907">
      <c r="A907" s="404" t="n">
        <v>50</v>
      </c>
      <c r="B907" s="404" t="n">
        <v>0</v>
      </c>
      <c r="C907" s="404" t="n">
        <v>0</v>
      </c>
      <c r="D907" s="404" t="n">
        <v>1</v>
      </c>
      <c r="E907" s="404" t="n">
        <v>214</v>
      </c>
      <c r="F907" s="404">
        <f>ROUND(Source!AS890,O907)</f>
        <v/>
      </c>
      <c r="G907" s="404" t="inlineStr">
        <is>
          <t>Строит</t>
        </is>
      </c>
      <c r="H907" s="404" t="inlineStr">
        <is>
          <t>Строительные работы с НР и СП</t>
        </is>
      </c>
      <c r="I907" s="404" t="n"/>
      <c r="J907" s="404" t="n"/>
      <c r="K907" s="404" t="n">
        <v>214</v>
      </c>
      <c r="L907" s="404" t="n">
        <v>16</v>
      </c>
      <c r="M907" s="404" t="n">
        <v>3</v>
      </c>
      <c r="N907" s="404" t="inlineStr"/>
      <c r="O907" s="404" t="n">
        <v>0</v>
      </c>
      <c r="P907" s="404" t="n"/>
      <c r="Q907" s="404" t="n"/>
      <c r="R907" s="404" t="n"/>
      <c r="S907" s="404" t="n"/>
      <c r="T907" s="404" t="n"/>
      <c r="U907" s="404" t="n"/>
      <c r="V907" s="404" t="n"/>
      <c r="W907" s="404" t="n">
        <v>0</v>
      </c>
      <c r="X907" s="404" t="n">
        <v>1</v>
      </c>
      <c r="Y907" s="404" t="n">
        <v>0</v>
      </c>
      <c r="Z907" s="404" t="n"/>
      <c r="AA907" s="404" t="n"/>
      <c r="AB907" s="404" t="n"/>
    </row>
    <row r="908">
      <c r="A908" s="404" t="n">
        <v>50</v>
      </c>
      <c r="B908" s="404" t="n">
        <v>0</v>
      </c>
      <c r="C908" s="404" t="n">
        <v>0</v>
      </c>
      <c r="D908" s="404" t="n">
        <v>1</v>
      </c>
      <c r="E908" s="404" t="n">
        <v>215</v>
      </c>
      <c r="F908" s="404">
        <f>ROUND(Source!AT890,O908)</f>
        <v/>
      </c>
      <c r="G908" s="404" t="inlineStr">
        <is>
          <t>Монтаж</t>
        </is>
      </c>
      <c r="H908" s="404" t="inlineStr">
        <is>
          <t>Монтажные работы с НР и СП</t>
        </is>
      </c>
      <c r="I908" s="404" t="n"/>
      <c r="J908" s="404" t="n"/>
      <c r="K908" s="404" t="n">
        <v>215</v>
      </c>
      <c r="L908" s="404" t="n">
        <v>17</v>
      </c>
      <c r="M908" s="404" t="n">
        <v>3</v>
      </c>
      <c r="N908" s="404" t="inlineStr"/>
      <c r="O908" s="404" t="n">
        <v>0</v>
      </c>
      <c r="P908" s="404" t="n"/>
      <c r="Q908" s="404" t="n"/>
      <c r="R908" s="404" t="n"/>
      <c r="S908" s="404" t="n"/>
      <c r="T908" s="404" t="n"/>
      <c r="U908" s="404" t="n"/>
      <c r="V908" s="404" t="n"/>
      <c r="W908" s="404" t="n">
        <v>0</v>
      </c>
      <c r="X908" s="404" t="n">
        <v>1</v>
      </c>
      <c r="Y908" s="404" t="n">
        <v>0</v>
      </c>
      <c r="Z908" s="404" t="n"/>
      <c r="AA908" s="404" t="n"/>
      <c r="AB908" s="404" t="n"/>
    </row>
    <row r="909">
      <c r="A909" s="404" t="n">
        <v>50</v>
      </c>
      <c r="B909" s="404" t="n">
        <v>0</v>
      </c>
      <c r="C909" s="404" t="n">
        <v>0</v>
      </c>
      <c r="D909" s="404" t="n">
        <v>1</v>
      </c>
      <c r="E909" s="404" t="n">
        <v>217</v>
      </c>
      <c r="F909" s="404">
        <f>ROUND(Source!AU890,O909)</f>
        <v/>
      </c>
      <c r="G909" s="404" t="inlineStr">
        <is>
          <t>Прочие</t>
        </is>
      </c>
      <c r="H909" s="404" t="inlineStr">
        <is>
          <t>Прочие работы с НР и СП</t>
        </is>
      </c>
      <c r="I909" s="404" t="n"/>
      <c r="J909" s="404" t="n"/>
      <c r="K909" s="404" t="n">
        <v>217</v>
      </c>
      <c r="L909" s="404" t="n">
        <v>18</v>
      </c>
      <c r="M909" s="404" t="n">
        <v>3</v>
      </c>
      <c r="N909" s="404" t="inlineStr"/>
      <c r="O909" s="404" t="n">
        <v>0</v>
      </c>
      <c r="P909" s="404" t="n"/>
      <c r="Q909" s="404" t="n"/>
      <c r="R909" s="404" t="n"/>
      <c r="S909" s="404" t="n"/>
      <c r="T909" s="404" t="n"/>
      <c r="U909" s="404" t="n"/>
      <c r="V909" s="404" t="n"/>
      <c r="W909" s="404" t="n">
        <v>0</v>
      </c>
      <c r="X909" s="404" t="n">
        <v>1</v>
      </c>
      <c r="Y909" s="404" t="n">
        <v>0</v>
      </c>
      <c r="Z909" s="404" t="n"/>
      <c r="AA909" s="404" t="n"/>
      <c r="AB909" s="404" t="n"/>
    </row>
    <row r="910">
      <c r="A910" s="404" t="n">
        <v>50</v>
      </c>
      <c r="B910" s="404" t="n">
        <v>0</v>
      </c>
      <c r="C910" s="404" t="n">
        <v>0</v>
      </c>
      <c r="D910" s="404" t="n">
        <v>1</v>
      </c>
      <c r="E910" s="404" t="n">
        <v>230</v>
      </c>
      <c r="F910" s="404">
        <f>ROUND(Source!BA890,O910)</f>
        <v/>
      </c>
      <c r="G910" s="404" t="inlineStr">
        <is>
          <t>ПрочиеЗатр</t>
        </is>
      </c>
      <c r="H910" s="404" t="inlineStr">
        <is>
          <t>Прочие затраты по ТСН-2001.16</t>
        </is>
      </c>
      <c r="I910" s="404" t="n"/>
      <c r="J910" s="404" t="n"/>
      <c r="K910" s="404" t="n">
        <v>230</v>
      </c>
      <c r="L910" s="404" t="n">
        <v>19</v>
      </c>
      <c r="M910" s="404" t="n">
        <v>3</v>
      </c>
      <c r="N910" s="404" t="inlineStr"/>
      <c r="O910" s="404" t="n">
        <v>0</v>
      </c>
      <c r="P910" s="404" t="n"/>
      <c r="Q910" s="404" t="n"/>
      <c r="R910" s="404" t="n"/>
      <c r="S910" s="404" t="n"/>
      <c r="T910" s="404" t="n"/>
      <c r="U910" s="404" t="n"/>
      <c r="V910" s="404" t="n"/>
      <c r="W910" s="404" t="n">
        <v>0</v>
      </c>
      <c r="X910" s="404" t="n">
        <v>1</v>
      </c>
      <c r="Y910" s="404" t="n">
        <v>0</v>
      </c>
      <c r="Z910" s="404" t="n"/>
      <c r="AA910" s="404" t="n"/>
      <c r="AB910" s="404" t="n"/>
    </row>
    <row r="911">
      <c r="A911" s="404" t="n">
        <v>50</v>
      </c>
      <c r="B911" s="404" t="n">
        <v>0</v>
      </c>
      <c r="C911" s="404" t="n">
        <v>0</v>
      </c>
      <c r="D911" s="404" t="n">
        <v>1</v>
      </c>
      <c r="E911" s="404" t="n">
        <v>206</v>
      </c>
      <c r="F911" s="404">
        <f>ROUND(Source!T890,O911)</f>
        <v/>
      </c>
      <c r="G911" s="404" t="inlineStr">
        <is>
          <t>ВозврМат</t>
        </is>
      </c>
      <c r="H911" s="404" t="inlineStr">
        <is>
          <t>Возврат материалов</t>
        </is>
      </c>
      <c r="I911" s="404" t="n"/>
      <c r="J911" s="404" t="n"/>
      <c r="K911" s="404" t="n">
        <v>206</v>
      </c>
      <c r="L911" s="404" t="n">
        <v>20</v>
      </c>
      <c r="M911" s="404" t="n">
        <v>3</v>
      </c>
      <c r="N911" s="404" t="inlineStr"/>
      <c r="O911" s="404" t="n">
        <v>0</v>
      </c>
      <c r="P911" s="404" t="n"/>
      <c r="Q911" s="404" t="n"/>
      <c r="R911" s="404" t="n"/>
      <c r="S911" s="404" t="n"/>
      <c r="T911" s="404" t="n"/>
      <c r="U911" s="404" t="n"/>
      <c r="V911" s="404" t="n"/>
      <c r="W911" s="404" t="n">
        <v>0</v>
      </c>
      <c r="X911" s="404" t="n">
        <v>1</v>
      </c>
      <c r="Y911" s="404" t="n">
        <v>0</v>
      </c>
      <c r="Z911" s="404" t="n"/>
      <c r="AA911" s="404" t="n"/>
      <c r="AB911" s="404" t="n"/>
    </row>
    <row r="912">
      <c r="A912" s="404" t="n">
        <v>50</v>
      </c>
      <c r="B912" s="404" t="n">
        <v>0</v>
      </c>
      <c r="C912" s="404" t="n">
        <v>0</v>
      </c>
      <c r="D912" s="404" t="n">
        <v>1</v>
      </c>
      <c r="E912" s="404" t="n">
        <v>207</v>
      </c>
      <c r="F912" s="404">
        <f>ROUND(Source!U890,O912)</f>
        <v/>
      </c>
      <c r="G912" s="404" t="inlineStr">
        <is>
          <t>ТрудСтр</t>
        </is>
      </c>
      <c r="H912" s="404" t="inlineStr">
        <is>
          <t>Трудозатраты строителей</t>
        </is>
      </c>
      <c r="I912" s="404" t="n"/>
      <c r="J912" s="404" t="n"/>
      <c r="K912" s="404" t="n">
        <v>207</v>
      </c>
      <c r="L912" s="404" t="n">
        <v>21</v>
      </c>
      <c r="M912" s="404" t="n">
        <v>3</v>
      </c>
      <c r="N912" s="404" t="inlineStr"/>
      <c r="O912" s="404" t="n">
        <v>7</v>
      </c>
      <c r="P912" s="404" t="n"/>
      <c r="Q912" s="404" t="n"/>
      <c r="R912" s="404" t="n"/>
      <c r="S912" s="404" t="n"/>
      <c r="T912" s="404" t="n"/>
      <c r="U912" s="404" t="n"/>
      <c r="V912" s="404" t="n"/>
      <c r="W912" s="404" t="n">
        <v>0</v>
      </c>
      <c r="X912" s="404" t="n">
        <v>1</v>
      </c>
      <c r="Y912" s="404" t="n">
        <v>0</v>
      </c>
      <c r="Z912" s="404" t="n"/>
      <c r="AA912" s="404" t="n"/>
      <c r="AB912" s="404" t="n"/>
    </row>
    <row r="913">
      <c r="A913" s="404" t="n">
        <v>50</v>
      </c>
      <c r="B913" s="404" t="n">
        <v>0</v>
      </c>
      <c r="C913" s="404" t="n">
        <v>0</v>
      </c>
      <c r="D913" s="404" t="n">
        <v>1</v>
      </c>
      <c r="E913" s="404" t="n">
        <v>208</v>
      </c>
      <c r="F913" s="404">
        <f>ROUND(Source!V890,O913)</f>
        <v/>
      </c>
      <c r="G913" s="404" t="inlineStr">
        <is>
          <t>ТрудМаш</t>
        </is>
      </c>
      <c r="H913" s="404" t="inlineStr">
        <is>
          <t>Трудозатраты машинистов</t>
        </is>
      </c>
      <c r="I913" s="404" t="n"/>
      <c r="J913" s="404" t="n"/>
      <c r="K913" s="404" t="n">
        <v>208</v>
      </c>
      <c r="L913" s="404" t="n">
        <v>22</v>
      </c>
      <c r="M913" s="404" t="n">
        <v>3</v>
      </c>
      <c r="N913" s="404" t="inlineStr"/>
      <c r="O913" s="404" t="n">
        <v>7</v>
      </c>
      <c r="P913" s="404" t="n"/>
      <c r="Q913" s="404" t="n"/>
      <c r="R913" s="404" t="n"/>
      <c r="S913" s="404" t="n"/>
      <c r="T913" s="404" t="n"/>
      <c r="U913" s="404" t="n"/>
      <c r="V913" s="404" t="n"/>
      <c r="W913" s="404" t="n">
        <v>0</v>
      </c>
      <c r="X913" s="404" t="n">
        <v>1</v>
      </c>
      <c r="Y913" s="404" t="n">
        <v>0</v>
      </c>
      <c r="Z913" s="404" t="n"/>
      <c r="AA913" s="404" t="n"/>
      <c r="AB913" s="404" t="n"/>
    </row>
    <row r="914">
      <c r="A914" s="404" t="n">
        <v>50</v>
      </c>
      <c r="B914" s="404" t="n">
        <v>0</v>
      </c>
      <c r="C914" s="404" t="n">
        <v>0</v>
      </c>
      <c r="D914" s="404" t="n">
        <v>1</v>
      </c>
      <c r="E914" s="404" t="n">
        <v>209</v>
      </c>
      <c r="F914" s="404">
        <f>ROUND(Source!W890,O914)</f>
        <v/>
      </c>
      <c r="G914" s="404" t="inlineStr">
        <is>
          <t>ТранспМат</t>
        </is>
      </c>
      <c r="H914" s="404" t="inlineStr">
        <is>
          <t>Транспорт материалов</t>
        </is>
      </c>
      <c r="I914" s="404" t="n"/>
      <c r="J914" s="404" t="n"/>
      <c r="K914" s="404" t="n">
        <v>209</v>
      </c>
      <c r="L914" s="404" t="n">
        <v>23</v>
      </c>
      <c r="M914" s="404" t="n">
        <v>3</v>
      </c>
      <c r="N914" s="404" t="inlineStr"/>
      <c r="O914" s="404" t="n">
        <v>0</v>
      </c>
      <c r="P914" s="404" t="n"/>
      <c r="Q914" s="404" t="n"/>
      <c r="R914" s="404" t="n"/>
      <c r="S914" s="404" t="n"/>
      <c r="T914" s="404" t="n"/>
      <c r="U914" s="404" t="n"/>
      <c r="V914" s="404" t="n"/>
      <c r="W914" s="404" t="n">
        <v>0</v>
      </c>
      <c r="X914" s="404" t="n">
        <v>1</v>
      </c>
      <c r="Y914" s="404" t="n">
        <v>0</v>
      </c>
      <c r="Z914" s="404" t="n"/>
      <c r="AA914" s="404" t="n"/>
      <c r="AB914" s="404" t="n"/>
    </row>
    <row r="915">
      <c r="A915" s="404" t="n">
        <v>50</v>
      </c>
      <c r="B915" s="404" t="n">
        <v>0</v>
      </c>
      <c r="C915" s="404" t="n">
        <v>0</v>
      </c>
      <c r="D915" s="404" t="n">
        <v>1</v>
      </c>
      <c r="E915" s="404" t="n">
        <v>233</v>
      </c>
      <c r="F915" s="404">
        <f>ROUND(Source!BD890,O915)</f>
        <v/>
      </c>
      <c r="G915" s="404" t="inlineStr">
        <is>
          <t>Перевозка</t>
        </is>
      </c>
      <c r="H915" s="404" t="inlineStr">
        <is>
          <t>Перевозка грузов</t>
        </is>
      </c>
      <c r="I915" s="404" t="n"/>
      <c r="J915" s="404" t="n"/>
      <c r="K915" s="404" t="n">
        <v>233</v>
      </c>
      <c r="L915" s="404" t="n">
        <v>24</v>
      </c>
      <c r="M915" s="404" t="n">
        <v>3</v>
      </c>
      <c r="N915" s="404" t="inlineStr"/>
      <c r="O915" s="404" t="n">
        <v>0</v>
      </c>
      <c r="P915" s="404" t="n"/>
      <c r="Q915" s="404" t="n"/>
      <c r="R915" s="404" t="n"/>
      <c r="S915" s="404" t="n"/>
      <c r="T915" s="404" t="n"/>
      <c r="U915" s="404" t="n"/>
      <c r="V915" s="404" t="n"/>
      <c r="W915" s="404" t="n">
        <v>0</v>
      </c>
      <c r="X915" s="404" t="n">
        <v>1</v>
      </c>
      <c r="Y915" s="404" t="n">
        <v>0</v>
      </c>
      <c r="Z915" s="404" t="n"/>
      <c r="AA915" s="404" t="n"/>
      <c r="AB915" s="404" t="n"/>
    </row>
    <row r="916">
      <c r="A916" s="404" t="n">
        <v>50</v>
      </c>
      <c r="B916" s="404" t="n">
        <v>0</v>
      </c>
      <c r="C916" s="404" t="n">
        <v>0</v>
      </c>
      <c r="D916" s="404" t="n">
        <v>1</v>
      </c>
      <c r="E916" s="404" t="n">
        <v>210</v>
      </c>
      <c r="F916" s="404">
        <f>ROUND(Source!X890,O916)</f>
        <v/>
      </c>
      <c r="G916" s="404" t="inlineStr">
        <is>
          <t>НР</t>
        </is>
      </c>
      <c r="H916" s="404" t="inlineStr">
        <is>
          <t>Накладные расходы</t>
        </is>
      </c>
      <c r="I916" s="404" t="n"/>
      <c r="J916" s="404" t="n"/>
      <c r="K916" s="404" t="n">
        <v>210</v>
      </c>
      <c r="L916" s="404" t="n">
        <v>25</v>
      </c>
      <c r="M916" s="404" t="n">
        <v>3</v>
      </c>
      <c r="N916" s="404" t="inlineStr"/>
      <c r="O916" s="404" t="n">
        <v>0</v>
      </c>
      <c r="P916" s="404" t="n"/>
      <c r="Q916" s="404" t="n"/>
      <c r="R916" s="404" t="n"/>
      <c r="S916" s="404" t="n"/>
      <c r="T916" s="404" t="n"/>
      <c r="U916" s="404" t="n"/>
      <c r="V916" s="404" t="n"/>
      <c r="W916" s="404" t="n">
        <v>0</v>
      </c>
      <c r="X916" s="404" t="n">
        <v>1</v>
      </c>
      <c r="Y916" s="404" t="n">
        <v>0</v>
      </c>
      <c r="Z916" s="404" t="n"/>
      <c r="AA916" s="404" t="n"/>
      <c r="AB916" s="404" t="n"/>
    </row>
    <row r="917">
      <c r="A917" s="404" t="n">
        <v>50</v>
      </c>
      <c r="B917" s="404" t="n">
        <v>0</v>
      </c>
      <c r="C917" s="404" t="n">
        <v>0</v>
      </c>
      <c r="D917" s="404" t="n">
        <v>1</v>
      </c>
      <c r="E917" s="404" t="n">
        <v>211</v>
      </c>
      <c r="F917" s="404">
        <f>ROUND(Source!Y890,O917)</f>
        <v/>
      </c>
      <c r="G917" s="404" t="inlineStr">
        <is>
          <t>СмПриб</t>
        </is>
      </c>
      <c r="H917" s="404" t="inlineStr">
        <is>
          <t>Сметная прибыль</t>
        </is>
      </c>
      <c r="I917" s="404" t="n"/>
      <c r="J917" s="404" t="n"/>
      <c r="K917" s="404" t="n">
        <v>211</v>
      </c>
      <c r="L917" s="404" t="n">
        <v>26</v>
      </c>
      <c r="M917" s="404" t="n">
        <v>3</v>
      </c>
      <c r="N917" s="404" t="inlineStr"/>
      <c r="O917" s="404" t="n">
        <v>0</v>
      </c>
      <c r="P917" s="404" t="n"/>
      <c r="Q917" s="404" t="n"/>
      <c r="R917" s="404" t="n"/>
      <c r="S917" s="404" t="n"/>
      <c r="T917" s="404" t="n"/>
      <c r="U917" s="404" t="n"/>
      <c r="V917" s="404" t="n"/>
      <c r="W917" s="404" t="n">
        <v>0</v>
      </c>
      <c r="X917" s="404" t="n">
        <v>1</v>
      </c>
      <c r="Y917" s="404" t="n">
        <v>0</v>
      </c>
      <c r="Z917" s="404" t="n"/>
      <c r="AA917" s="404" t="n"/>
      <c r="AB917" s="404" t="n"/>
    </row>
    <row r="918">
      <c r="A918" s="404" t="n">
        <v>50</v>
      </c>
      <c r="B918" s="404" t="n">
        <v>0</v>
      </c>
      <c r="C918" s="404" t="n">
        <v>0</v>
      </c>
      <c r="D918" s="404" t="n">
        <v>1</v>
      </c>
      <c r="E918" s="404" t="n">
        <v>224</v>
      </c>
      <c r="F918" s="404">
        <f>ROUND(Source!AR890,O918)</f>
        <v/>
      </c>
      <c r="G918" s="404" t="inlineStr">
        <is>
          <t>Всего</t>
        </is>
      </c>
      <c r="H918" s="404" t="inlineStr">
        <is>
          <t>Всего с НР и СП</t>
        </is>
      </c>
      <c r="I918" s="404" t="n"/>
      <c r="J918" s="404" t="n"/>
      <c r="K918" s="404" t="n">
        <v>224</v>
      </c>
      <c r="L918" s="404" t="n">
        <v>27</v>
      </c>
      <c r="M918" s="404" t="n">
        <v>3</v>
      </c>
      <c r="N918" s="404" t="inlineStr"/>
      <c r="O918" s="404" t="n">
        <v>0</v>
      </c>
      <c r="P918" s="404" t="n"/>
      <c r="Q918" s="404" t="n"/>
      <c r="R918" s="404" t="n"/>
      <c r="S918" s="404" t="n"/>
      <c r="T918" s="404" t="n"/>
      <c r="U918" s="404" t="n"/>
      <c r="V918" s="404" t="n"/>
      <c r="W918" s="404" t="n">
        <v>0</v>
      </c>
      <c r="X918" s="404" t="n">
        <v>1</v>
      </c>
      <c r="Y918" s="404" t="n">
        <v>0</v>
      </c>
      <c r="Z918" s="404" t="n"/>
      <c r="AA918" s="404" t="n"/>
      <c r="AB918" s="404" t="n"/>
    </row>
    <row r="919">
      <c r="A919" s="404" t="n">
        <v>50</v>
      </c>
      <c r="B919" s="404" t="n">
        <v>0</v>
      </c>
      <c r="C919" s="404" t="n">
        <v>0</v>
      </c>
      <c r="D919" s="404" t="n">
        <v>2</v>
      </c>
      <c r="E919" s="404" t="n">
        <v>0</v>
      </c>
      <c r="F919" s="404">
        <f>ROUND(F918,O919)</f>
        <v/>
      </c>
      <c r="G919" s="404" t="inlineStr">
        <is>
          <t>и1</t>
        </is>
      </c>
      <c r="H919" s="404" t="inlineStr">
        <is>
          <t>Итого</t>
        </is>
      </c>
      <c r="I919" s="404" t="n"/>
      <c r="J919" s="404" t="n"/>
      <c r="K919" s="404" t="n">
        <v>212</v>
      </c>
      <c r="L919" s="404" t="n">
        <v>28</v>
      </c>
      <c r="M919" s="404" t="n">
        <v>0</v>
      </c>
      <c r="N919" s="404" t="inlineStr"/>
      <c r="O919" s="404" t="n">
        <v>0</v>
      </c>
      <c r="P919" s="404" t="n"/>
      <c r="Q919" s="404" t="n"/>
      <c r="R919" s="404" t="n"/>
      <c r="S919" s="404" t="n"/>
      <c r="T919" s="404" t="n"/>
      <c r="U919" s="404" t="n"/>
      <c r="V919" s="404" t="n"/>
      <c r="W919" s="404" t="n">
        <v>0</v>
      </c>
      <c r="X919" s="404" t="n">
        <v>1</v>
      </c>
      <c r="Y919" s="404" t="n">
        <v>0</v>
      </c>
      <c r="Z919" s="404" t="n"/>
      <c r="AA919" s="404" t="n"/>
      <c r="AB919" s="404" t="n"/>
    </row>
    <row r="920">
      <c r="A920" s="404" t="n">
        <v>50</v>
      </c>
      <c r="B920" s="404" t="n">
        <v>0</v>
      </c>
      <c r="C920" s="404" t="n">
        <v>0</v>
      </c>
      <c r="D920" s="404" t="n">
        <v>2</v>
      </c>
      <c r="E920" s="404" t="n">
        <v>0</v>
      </c>
      <c r="F920" s="404">
        <f>ROUND(F919*0.22,O920)</f>
        <v/>
      </c>
      <c r="G920" s="404" t="inlineStr">
        <is>
          <t>и2</t>
        </is>
      </c>
      <c r="H920" s="404" t="inlineStr">
        <is>
          <t>НДС 22%</t>
        </is>
      </c>
      <c r="I920" s="404" t="n"/>
      <c r="J920" s="404" t="n"/>
      <c r="K920" s="404" t="n">
        <v>212</v>
      </c>
      <c r="L920" s="404" t="n">
        <v>29</v>
      </c>
      <c r="M920" s="404" t="n">
        <v>0</v>
      </c>
      <c r="N920" s="404" t="inlineStr"/>
      <c r="O920" s="404" t="n">
        <v>0</v>
      </c>
      <c r="P920" s="404" t="n"/>
      <c r="Q920" s="404" t="n"/>
      <c r="R920" s="404" t="n"/>
      <c r="S920" s="404" t="n"/>
      <c r="T920" s="404" t="n"/>
      <c r="U920" s="404" t="n"/>
      <c r="V920" s="404" t="n"/>
      <c r="W920" s="404" t="n">
        <v>0</v>
      </c>
      <c r="X920" s="404" t="n">
        <v>1</v>
      </c>
      <c r="Y920" s="404" t="n">
        <v>0</v>
      </c>
      <c r="Z920" s="404" t="n"/>
      <c r="AA920" s="404" t="n"/>
      <c r="AB920" s="404" t="n"/>
    </row>
    <row r="921">
      <c r="A921" s="404" t="n">
        <v>50</v>
      </c>
      <c r="B921" s="404" t="n">
        <v>0</v>
      </c>
      <c r="C921" s="404" t="n">
        <v>0</v>
      </c>
      <c r="D921" s="404" t="n">
        <v>2</v>
      </c>
      <c r="E921" s="404" t="n">
        <v>213</v>
      </c>
      <c r="F921" s="404">
        <f>ROUND(F919+F920,O921)</f>
        <v/>
      </c>
      <c r="G921" s="404" t="inlineStr">
        <is>
          <t>и3</t>
        </is>
      </c>
      <c r="H921" s="404" t="inlineStr">
        <is>
          <t>Всего</t>
        </is>
      </c>
      <c r="I921" s="404" t="n"/>
      <c r="J921" s="404" t="n"/>
      <c r="K921" s="404" t="n">
        <v>212</v>
      </c>
      <c r="L921" s="404" t="n">
        <v>30</v>
      </c>
      <c r="M921" s="404" t="n">
        <v>0</v>
      </c>
      <c r="N921" s="404" t="inlineStr"/>
      <c r="O921" s="404" t="n">
        <v>0</v>
      </c>
      <c r="P921" s="404" t="n"/>
      <c r="Q921" s="404" t="n"/>
      <c r="R921" s="404" t="n"/>
      <c r="S921" s="404" t="n"/>
      <c r="T921" s="404" t="n"/>
      <c r="U921" s="404" t="n"/>
      <c r="V921" s="404" t="n"/>
      <c r="W921" s="404" t="n">
        <v>0</v>
      </c>
      <c r="X921" s="404" t="n">
        <v>1</v>
      </c>
      <c r="Y921" s="404" t="n">
        <v>0</v>
      </c>
      <c r="Z921" s="404" t="n"/>
      <c r="AA921" s="404" t="n"/>
      <c r="AB921" s="404" t="n"/>
    </row>
    <row r="922"/>
    <row r="923">
      <c r="A923" s="401" t="n">
        <v>3</v>
      </c>
      <c r="B923" s="401" t="n">
        <v>0</v>
      </c>
      <c r="C923" s="401" t="n"/>
      <c r="D923" s="401">
        <f>ROW(A930)</f>
        <v/>
      </c>
      <c r="E923" s="401" t="n"/>
      <c r="F923" s="401" t="inlineStr">
        <is>
          <t>Новая локальная смета</t>
        </is>
      </c>
      <c r="G923" s="401" t="inlineStr">
        <is>
          <t>Поварова 57а</t>
        </is>
      </c>
      <c r="H923" s="401" t="inlineStr"/>
      <c r="I923" s="401" t="n">
        <v>0</v>
      </c>
      <c r="J923" s="401" t="inlineStr"/>
      <c r="K923" s="401" t="n">
        <v>0</v>
      </c>
      <c r="L923" s="401" t="inlineStr">
        <is>
          <t>Новая локальная смета</t>
        </is>
      </c>
      <c r="M923" s="401" t="inlineStr"/>
      <c r="N923" s="401" t="n"/>
      <c r="O923" s="401" t="n"/>
      <c r="P923" s="401" t="n"/>
      <c r="Q923" s="401" t="n"/>
      <c r="R923" s="401" t="n"/>
      <c r="S923" s="401" t="n">
        <v>0</v>
      </c>
      <c r="T923" s="401" t="n"/>
      <c r="U923" s="401" t="inlineStr"/>
      <c r="V923" s="401" t="n">
        <v>0</v>
      </c>
      <c r="W923" s="401" t="n"/>
      <c r="X923" s="401" t="n"/>
      <c r="Y923" s="401" t="n"/>
      <c r="Z923" s="401" t="n"/>
      <c r="AA923" s="401" t="n"/>
      <c r="AB923" s="401" t="inlineStr"/>
      <c r="AC923" s="401" t="inlineStr"/>
      <c r="AD923" s="401" t="inlineStr"/>
      <c r="AE923" s="401" t="inlineStr"/>
      <c r="AF923" s="401" t="inlineStr"/>
      <c r="AG923" s="401" t="inlineStr"/>
      <c r="AH923" s="401" t="n"/>
      <c r="AI923" s="401" t="n"/>
      <c r="AJ923" s="401" t="n"/>
      <c r="AK923" s="401" t="n"/>
      <c r="AL923" s="401" t="n"/>
      <c r="AM923" s="401" t="n"/>
      <c r="AN923" s="401" t="n"/>
      <c r="AO923" s="401" t="n"/>
      <c r="AP923" s="401" t="inlineStr"/>
      <c r="AQ923" s="401" t="inlineStr"/>
      <c r="AR923" s="401" t="inlineStr"/>
      <c r="AS923" s="401" t="n"/>
      <c r="AT923" s="401" t="n"/>
      <c r="AU923" s="401" t="n"/>
      <c r="AV923" s="401" t="n"/>
      <c r="AW923" s="401" t="n"/>
      <c r="AX923" s="401" t="n"/>
      <c r="AY923" s="401" t="n"/>
      <c r="AZ923" s="401" t="inlineStr"/>
      <c r="BA923" s="401" t="n"/>
      <c r="BB923" s="401" t="inlineStr"/>
      <c r="BC923" s="401" t="inlineStr"/>
      <c r="BD923" s="401" t="inlineStr"/>
      <c r="BE923" s="401" t="inlineStr"/>
      <c r="BF923" s="401" t="inlineStr"/>
      <c r="BG923" s="401" t="inlineStr"/>
      <c r="BH923" s="401" t="inlineStr"/>
      <c r="BI923" s="401" t="inlineStr"/>
      <c r="BJ923" s="401" t="inlineStr"/>
      <c r="BK923" s="401" t="inlineStr"/>
      <c r="BL923" s="401" t="inlineStr"/>
      <c r="BM923" s="401" t="inlineStr"/>
      <c r="BN923" s="401" t="inlineStr"/>
      <c r="BO923" s="401" t="inlineStr"/>
      <c r="BP923" s="401" t="inlineStr"/>
      <c r="BQ923" s="401" t="n"/>
      <c r="BR923" s="401" t="n"/>
      <c r="BS923" s="401" t="n"/>
      <c r="BT923" s="401" t="n"/>
      <c r="BU923" s="401" t="n"/>
      <c r="BV923" s="401" t="n"/>
      <c r="BW923" s="401" t="n"/>
      <c r="BX923" s="401" t="n">
        <v>0</v>
      </c>
      <c r="BY923" s="401" t="n"/>
      <c r="BZ923" s="401" t="n"/>
      <c r="CA923" s="401" t="n"/>
      <c r="CB923" s="401" t="n"/>
      <c r="CC923" s="401" t="n"/>
      <c r="CD923" s="401" t="n"/>
      <c r="CE923" s="401" t="n"/>
      <c r="CF923" s="401" t="n">
        <v>0</v>
      </c>
      <c r="CG923" s="401" t="n">
        <v>0</v>
      </c>
      <c r="CH923" s="401" t="n"/>
      <c r="CI923" s="401" t="inlineStr"/>
      <c r="CJ923" s="401" t="inlineStr"/>
      <c r="CK923" t="inlineStr"/>
      <c r="CL923" t="inlineStr"/>
      <c r="CM923" t="inlineStr"/>
      <c r="CN923" t="inlineStr"/>
      <c r="CO923" t="inlineStr"/>
      <c r="CP923" t="inlineStr"/>
      <c r="CQ923" t="inlineStr"/>
    </row>
    <row r="924"/>
    <row r="925">
      <c r="A925" s="402" t="n">
        <v>52</v>
      </c>
      <c r="B925" s="402">
        <f>B930</f>
        <v/>
      </c>
      <c r="C925" s="402">
        <f>C930</f>
        <v/>
      </c>
      <c r="D925" s="402">
        <f>D930</f>
        <v/>
      </c>
      <c r="E925" s="402">
        <f>E930</f>
        <v/>
      </c>
      <c r="F925" s="402">
        <f>F930</f>
        <v/>
      </c>
      <c r="G925" s="402">
        <f>G930</f>
        <v/>
      </c>
      <c r="H925" s="402" t="n"/>
      <c r="I925" s="402" t="n"/>
      <c r="J925" s="402" t="n"/>
      <c r="K925" s="402" t="n"/>
      <c r="L925" s="402" t="n"/>
      <c r="M925" s="402" t="n"/>
      <c r="N925" s="402" t="n"/>
      <c r="O925" s="402">
        <f>O930</f>
        <v/>
      </c>
      <c r="P925" s="402">
        <f>P930</f>
        <v/>
      </c>
      <c r="Q925" s="402">
        <f>Q930</f>
        <v/>
      </c>
      <c r="R925" s="402">
        <f>R930</f>
        <v/>
      </c>
      <c r="S925" s="402">
        <f>S930</f>
        <v/>
      </c>
      <c r="T925" s="402">
        <f>T930</f>
        <v/>
      </c>
      <c r="U925" s="402">
        <f>U930</f>
        <v/>
      </c>
      <c r="V925" s="402">
        <f>V930</f>
        <v/>
      </c>
      <c r="W925" s="402">
        <f>W930</f>
        <v/>
      </c>
      <c r="X925" s="402">
        <f>X930</f>
        <v/>
      </c>
      <c r="Y925" s="402">
        <f>Y930</f>
        <v/>
      </c>
      <c r="Z925" s="402">
        <f>Z930</f>
        <v/>
      </c>
      <c r="AA925" s="402">
        <f>AA930</f>
        <v/>
      </c>
      <c r="AB925" s="402">
        <f>AB930</f>
        <v/>
      </c>
      <c r="AC925" s="402">
        <f>AC930</f>
        <v/>
      </c>
      <c r="AD925" s="402">
        <f>AD930</f>
        <v/>
      </c>
      <c r="AE925" s="402">
        <f>AE930</f>
        <v/>
      </c>
      <c r="AF925" s="402">
        <f>AF930</f>
        <v/>
      </c>
      <c r="AG925" s="402">
        <f>AG930</f>
        <v/>
      </c>
      <c r="AH925" s="402">
        <f>AH930</f>
        <v/>
      </c>
      <c r="AI925" s="402">
        <f>AI930</f>
        <v/>
      </c>
      <c r="AJ925" s="402">
        <f>AJ930</f>
        <v/>
      </c>
      <c r="AK925" s="402">
        <f>AK930</f>
        <v/>
      </c>
      <c r="AL925" s="402">
        <f>AL930</f>
        <v/>
      </c>
      <c r="AM925" s="402">
        <f>AM930</f>
        <v/>
      </c>
      <c r="AN925" s="402">
        <f>AN930</f>
        <v/>
      </c>
      <c r="AO925" s="402">
        <f>AO930</f>
        <v/>
      </c>
      <c r="AP925" s="402">
        <f>AP930</f>
        <v/>
      </c>
      <c r="AQ925" s="402">
        <f>AQ930</f>
        <v/>
      </c>
      <c r="AR925" s="402">
        <f>AR930</f>
        <v/>
      </c>
      <c r="AS925" s="402">
        <f>AS930</f>
        <v/>
      </c>
      <c r="AT925" s="402">
        <f>AT930</f>
        <v/>
      </c>
      <c r="AU925" s="402">
        <f>AU930</f>
        <v/>
      </c>
      <c r="AV925" s="402">
        <f>AV930</f>
        <v/>
      </c>
      <c r="AW925" s="402">
        <f>AW930</f>
        <v/>
      </c>
      <c r="AX925" s="402">
        <f>AX930</f>
        <v/>
      </c>
      <c r="AY925" s="402">
        <f>AY930</f>
        <v/>
      </c>
      <c r="AZ925" s="402">
        <f>AZ930</f>
        <v/>
      </c>
      <c r="BA925" s="402">
        <f>BA930</f>
        <v/>
      </c>
      <c r="BB925" s="402">
        <f>BB930</f>
        <v/>
      </c>
      <c r="BC925" s="402">
        <f>BC930</f>
        <v/>
      </c>
      <c r="BD925" s="402">
        <f>BD930</f>
        <v/>
      </c>
      <c r="BE925" s="402">
        <f>BE930</f>
        <v/>
      </c>
      <c r="BF925" s="402">
        <f>BF930</f>
        <v/>
      </c>
      <c r="BG925" s="402">
        <f>BG930</f>
        <v/>
      </c>
      <c r="BH925" s="402">
        <f>BH930</f>
        <v/>
      </c>
      <c r="BI925" s="402">
        <f>BI930</f>
        <v/>
      </c>
      <c r="BJ925" s="402">
        <f>BJ930</f>
        <v/>
      </c>
      <c r="BK925" s="402">
        <f>BK930</f>
        <v/>
      </c>
      <c r="BL925" s="402">
        <f>BL930</f>
        <v/>
      </c>
      <c r="BM925" s="402">
        <f>BM930</f>
        <v/>
      </c>
      <c r="BN925" s="402">
        <f>BN930</f>
        <v/>
      </c>
      <c r="BO925" s="402">
        <f>BO930</f>
        <v/>
      </c>
      <c r="BP925" s="402">
        <f>BP930</f>
        <v/>
      </c>
      <c r="BQ925" s="402">
        <f>BQ930</f>
        <v/>
      </c>
      <c r="BR925" s="402">
        <f>BR930</f>
        <v/>
      </c>
      <c r="BS925" s="402">
        <f>BS930</f>
        <v/>
      </c>
      <c r="BT925" s="402">
        <f>BT930</f>
        <v/>
      </c>
      <c r="BU925" s="402">
        <f>BU930</f>
        <v/>
      </c>
      <c r="BV925" s="402">
        <f>BV930</f>
        <v/>
      </c>
      <c r="BW925" s="402">
        <f>BW930</f>
        <v/>
      </c>
      <c r="BX925" s="402">
        <f>BX930</f>
        <v/>
      </c>
      <c r="BY925" s="402">
        <f>BY930</f>
        <v/>
      </c>
      <c r="BZ925" s="402">
        <f>BZ930</f>
        <v/>
      </c>
      <c r="CA925" s="402">
        <f>CA930</f>
        <v/>
      </c>
      <c r="CB925" s="402">
        <f>CB930</f>
        <v/>
      </c>
      <c r="CC925" s="402">
        <f>CC930</f>
        <v/>
      </c>
      <c r="CD925" s="402">
        <f>CD930</f>
        <v/>
      </c>
      <c r="CE925" s="402">
        <f>CE930</f>
        <v/>
      </c>
      <c r="CF925" s="402">
        <f>CF930</f>
        <v/>
      </c>
      <c r="CG925" s="402">
        <f>CG930</f>
        <v/>
      </c>
      <c r="CH925" s="402">
        <f>CH930</f>
        <v/>
      </c>
      <c r="CI925" s="402">
        <f>CI930</f>
        <v/>
      </c>
      <c r="CJ925" s="402">
        <f>CJ930</f>
        <v/>
      </c>
      <c r="CK925" s="402">
        <f>CK930</f>
        <v/>
      </c>
      <c r="CL925" s="402">
        <f>CL930</f>
        <v/>
      </c>
      <c r="CM925" s="402">
        <f>CM930</f>
        <v/>
      </c>
      <c r="CN925" s="402">
        <f>CN930</f>
        <v/>
      </c>
      <c r="CO925" s="402">
        <f>CO930</f>
        <v/>
      </c>
      <c r="CP925" s="402">
        <f>CP930</f>
        <v/>
      </c>
      <c r="CQ925" s="402">
        <f>CQ930</f>
        <v/>
      </c>
      <c r="CR925" s="402">
        <f>CR930</f>
        <v/>
      </c>
      <c r="CS925" s="402">
        <f>CS930</f>
        <v/>
      </c>
      <c r="CT925" s="402">
        <f>CT930</f>
        <v/>
      </c>
      <c r="CU925" s="402">
        <f>CU930</f>
        <v/>
      </c>
      <c r="CV925" s="402">
        <f>CV930</f>
        <v/>
      </c>
      <c r="CW925" s="402">
        <f>CW930</f>
        <v/>
      </c>
      <c r="CX925" s="402">
        <f>CX930</f>
        <v/>
      </c>
      <c r="CY925" s="402">
        <f>CY930</f>
        <v/>
      </c>
      <c r="CZ925" s="402">
        <f>CZ930</f>
        <v/>
      </c>
      <c r="DA925" s="402">
        <f>DA930</f>
        <v/>
      </c>
      <c r="DB925" s="402">
        <f>DB930</f>
        <v/>
      </c>
      <c r="DC925" s="402">
        <f>DC930</f>
        <v/>
      </c>
      <c r="DD925" s="402">
        <f>DD930</f>
        <v/>
      </c>
      <c r="DE925" s="402">
        <f>DE930</f>
        <v/>
      </c>
      <c r="DF925" s="402">
        <f>DF930</f>
        <v/>
      </c>
      <c r="DG925" s="403">
        <f>DG930</f>
        <v/>
      </c>
      <c r="DH925" s="403">
        <f>DH930</f>
        <v/>
      </c>
      <c r="DI925" s="403">
        <f>DI930</f>
        <v/>
      </c>
      <c r="DJ925" s="403">
        <f>DJ930</f>
        <v/>
      </c>
      <c r="DK925" s="403">
        <f>DK930</f>
        <v/>
      </c>
      <c r="DL925" s="403">
        <f>DL930</f>
        <v/>
      </c>
      <c r="DM925" s="403">
        <f>DM930</f>
        <v/>
      </c>
      <c r="DN925" s="403">
        <f>DN930</f>
        <v/>
      </c>
      <c r="DO925" s="403">
        <f>DO930</f>
        <v/>
      </c>
      <c r="DP925" s="403">
        <f>DP930</f>
        <v/>
      </c>
      <c r="DQ925" s="403">
        <f>DQ930</f>
        <v/>
      </c>
      <c r="DR925" s="403">
        <f>DR930</f>
        <v/>
      </c>
      <c r="DS925" s="403">
        <f>DS930</f>
        <v/>
      </c>
      <c r="DT925" s="403">
        <f>DT930</f>
        <v/>
      </c>
      <c r="DU925" s="403">
        <f>DU930</f>
        <v/>
      </c>
      <c r="DV925" s="403">
        <f>DV930</f>
        <v/>
      </c>
      <c r="DW925" s="403">
        <f>DW930</f>
        <v/>
      </c>
      <c r="DX925" s="403">
        <f>DX930</f>
        <v/>
      </c>
      <c r="DY925" s="403">
        <f>DY930</f>
        <v/>
      </c>
      <c r="DZ925" s="403">
        <f>DZ930</f>
        <v/>
      </c>
      <c r="EA925" s="403">
        <f>EA930</f>
        <v/>
      </c>
      <c r="EB925" s="403">
        <f>EB930</f>
        <v/>
      </c>
      <c r="EC925" s="403">
        <f>EC930</f>
        <v/>
      </c>
      <c r="ED925" s="403">
        <f>ED930</f>
        <v/>
      </c>
      <c r="EE925" s="403">
        <f>EE930</f>
        <v/>
      </c>
      <c r="EF925" s="403">
        <f>EF930</f>
        <v/>
      </c>
      <c r="EG925" s="403">
        <f>EG930</f>
        <v/>
      </c>
      <c r="EH925" s="403">
        <f>EH930</f>
        <v/>
      </c>
      <c r="EI925" s="403">
        <f>EI930</f>
        <v/>
      </c>
      <c r="EJ925" s="403">
        <f>EJ930</f>
        <v/>
      </c>
      <c r="EK925" s="403">
        <f>EK930</f>
        <v/>
      </c>
      <c r="EL925" s="403">
        <f>EL930</f>
        <v/>
      </c>
      <c r="EM925" s="403">
        <f>EM930</f>
        <v/>
      </c>
      <c r="EN925" s="403">
        <f>EN930</f>
        <v/>
      </c>
      <c r="EO925" s="403">
        <f>EO930</f>
        <v/>
      </c>
      <c r="EP925" s="403">
        <f>EP930</f>
        <v/>
      </c>
      <c r="EQ925" s="403">
        <f>EQ930</f>
        <v/>
      </c>
      <c r="ER925" s="403">
        <f>ER930</f>
        <v/>
      </c>
      <c r="ES925" s="403">
        <f>ES930</f>
        <v/>
      </c>
      <c r="ET925" s="403">
        <f>ET930</f>
        <v/>
      </c>
      <c r="EU925" s="403">
        <f>EU930</f>
        <v/>
      </c>
      <c r="EV925" s="403">
        <f>EV930</f>
        <v/>
      </c>
      <c r="EW925" s="403">
        <f>EW930</f>
        <v/>
      </c>
      <c r="EX925" s="403">
        <f>EX930</f>
        <v/>
      </c>
      <c r="EY925" s="403">
        <f>EY930</f>
        <v/>
      </c>
      <c r="EZ925" s="403">
        <f>EZ930</f>
        <v/>
      </c>
      <c r="FA925" s="403">
        <f>FA930</f>
        <v/>
      </c>
      <c r="FB925" s="403">
        <f>FB930</f>
        <v/>
      </c>
      <c r="FC925" s="403">
        <f>FC930</f>
        <v/>
      </c>
      <c r="FD925" s="403">
        <f>FD930</f>
        <v/>
      </c>
      <c r="FE925" s="403">
        <f>FE930</f>
        <v/>
      </c>
      <c r="FF925" s="403">
        <f>FF930</f>
        <v/>
      </c>
      <c r="FG925" s="403">
        <f>FG930</f>
        <v/>
      </c>
      <c r="FH925" s="403">
        <f>FH930</f>
        <v/>
      </c>
      <c r="FI925" s="403">
        <f>FI930</f>
        <v/>
      </c>
      <c r="FJ925" s="403">
        <f>FJ930</f>
        <v/>
      </c>
      <c r="FK925" s="403">
        <f>FK930</f>
        <v/>
      </c>
      <c r="FL925" s="403">
        <f>FL930</f>
        <v/>
      </c>
      <c r="FM925" s="403">
        <f>FM930</f>
        <v/>
      </c>
      <c r="FN925" s="403">
        <f>FN930</f>
        <v/>
      </c>
      <c r="FO925" s="403">
        <f>FO930</f>
        <v/>
      </c>
      <c r="FP925" s="403">
        <f>FP930</f>
        <v/>
      </c>
      <c r="FQ925" s="403">
        <f>FQ930</f>
        <v/>
      </c>
      <c r="FR925" s="403">
        <f>FR930</f>
        <v/>
      </c>
      <c r="FS925" s="403">
        <f>FS930</f>
        <v/>
      </c>
      <c r="FT925" s="403">
        <f>FT930</f>
        <v/>
      </c>
      <c r="FU925" s="403">
        <f>FU930</f>
        <v/>
      </c>
      <c r="FV925" s="403">
        <f>FV930</f>
        <v/>
      </c>
      <c r="FW925" s="403">
        <f>FW930</f>
        <v/>
      </c>
      <c r="FX925" s="403">
        <f>FX930</f>
        <v/>
      </c>
      <c r="FY925" s="403">
        <f>FY930</f>
        <v/>
      </c>
      <c r="FZ925" s="403">
        <f>FZ930</f>
        <v/>
      </c>
      <c r="GA925" s="403">
        <f>GA930</f>
        <v/>
      </c>
      <c r="GB925" s="403">
        <f>GB930</f>
        <v/>
      </c>
      <c r="GC925" s="403">
        <f>GC930</f>
        <v/>
      </c>
      <c r="GD925" s="403">
        <f>GD930</f>
        <v/>
      </c>
      <c r="GE925" s="403">
        <f>GE930</f>
        <v/>
      </c>
      <c r="GF925" s="403">
        <f>GF930</f>
        <v/>
      </c>
      <c r="GG925" s="403">
        <f>GG930</f>
        <v/>
      </c>
      <c r="GH925" s="403">
        <f>GH930</f>
        <v/>
      </c>
      <c r="GI925" s="403">
        <f>GI930</f>
        <v/>
      </c>
      <c r="GJ925" s="403">
        <f>GJ930</f>
        <v/>
      </c>
      <c r="GK925" s="403">
        <f>GK930</f>
        <v/>
      </c>
      <c r="GL925" s="403">
        <f>GL930</f>
        <v/>
      </c>
      <c r="GM925" s="403">
        <f>GM930</f>
        <v/>
      </c>
      <c r="GN925" s="403">
        <f>GN930</f>
        <v/>
      </c>
      <c r="GO925" s="403">
        <f>GO930</f>
        <v/>
      </c>
      <c r="GP925" s="403">
        <f>GP930</f>
        <v/>
      </c>
      <c r="GQ925" s="403">
        <f>GQ930</f>
        <v/>
      </c>
      <c r="GR925" s="403">
        <f>GR930</f>
        <v/>
      </c>
      <c r="GS925" s="403">
        <f>GS930</f>
        <v/>
      </c>
      <c r="GT925" s="403">
        <f>GT930</f>
        <v/>
      </c>
      <c r="GU925" s="403">
        <f>GU930</f>
        <v/>
      </c>
      <c r="GV925" s="403">
        <f>GV930</f>
        <v/>
      </c>
      <c r="GW925" s="403">
        <f>GW930</f>
        <v/>
      </c>
      <c r="GX925" s="403">
        <f>GX930</f>
        <v/>
      </c>
    </row>
    <row r="926"/>
    <row r="927">
      <c r="A927" t="n">
        <v>17</v>
      </c>
      <c r="B927" t="n">
        <v>0</v>
      </c>
      <c r="C927">
        <f>ROW(SmtRes!A495)</f>
        <v/>
      </c>
      <c r="D927">
        <f>ROW(EtalonRes!A451)</f>
        <v/>
      </c>
      <c r="E927" t="inlineStr">
        <is>
          <t>1</t>
        </is>
      </c>
      <c r="F927" t="inlineStr">
        <is>
          <t>67-5-2</t>
        </is>
      </c>
      <c r="G927" t="inlineStr">
        <is>
          <t>Смена ламп люминесцентных</t>
        </is>
      </c>
      <c r="H927" t="inlineStr">
        <is>
          <t>100 шт.</t>
        </is>
      </c>
      <c r="I927">
        <f>ROUND(ROUND(3/100,4),7)</f>
        <v/>
      </c>
      <c r="J927" t="n">
        <v>0</v>
      </c>
      <c r="K927">
        <f>ROUND(ROUND(3/100,4),7)</f>
        <v/>
      </c>
      <c r="O927">
        <f>ROUND(CP927,0)</f>
        <v/>
      </c>
      <c r="P927">
        <f>ROUND(CQ927*I927,0)</f>
        <v/>
      </c>
      <c r="Q927">
        <f>(ROUND((ROUND(((ET927)*I927),0)*BB927),0)+ROUND((ROUND(((AE927-(EU927))*I927),0)*BS927),0))</f>
        <v/>
      </c>
      <c r="R927">
        <f>(ROUND((ROUND(((EU927)*I927),0)*BS927),0)+ROUND((ROUND(((AE927-(EU927))*I927),0)*BS927),0))</f>
        <v/>
      </c>
      <c r="S927">
        <f>ROUND(CT927*I927,0)</f>
        <v/>
      </c>
      <c r="T927">
        <f>ROUND(CU927*I927,0)</f>
        <v/>
      </c>
      <c r="U927">
        <f>ROUND(CV927*I927,7)</f>
        <v/>
      </c>
      <c r="V927">
        <f>ROUND(CW927*I927,7)</f>
        <v/>
      </c>
      <c r="W927">
        <f>ROUND(CX927*I927,0)</f>
        <v/>
      </c>
      <c r="X927">
        <f>ROUND(CY927,0)</f>
        <v/>
      </c>
      <c r="Y927">
        <f>ROUND(CZ927,0)</f>
        <v/>
      </c>
      <c r="AA927" t="n">
        <v>78869116</v>
      </c>
      <c r="AB927">
        <f>ROUND((AC927+AD927+AF927),2)</f>
        <v/>
      </c>
      <c r="AC927">
        <f>ROUND((ES927),2)</f>
        <v/>
      </c>
      <c r="AD927">
        <f>ROUND((((ET927)-(EU927))+AE927),2)</f>
        <v/>
      </c>
      <c r="AE927">
        <f>ROUND((EU927),2)</f>
        <v/>
      </c>
      <c r="AF927">
        <f>ROUND((EV927),2)</f>
        <v/>
      </c>
      <c r="AG927">
        <f>ROUND((AP927),2)</f>
        <v/>
      </c>
      <c r="AH927">
        <f>(EW927)</f>
        <v/>
      </c>
      <c r="AI927">
        <f>(EX927)</f>
        <v/>
      </c>
      <c r="AJ927">
        <f>(AS927)</f>
        <v/>
      </c>
      <c r="AK927" t="n">
        <v>970.5700000000001</v>
      </c>
      <c r="AL927" t="n">
        <v>852</v>
      </c>
      <c r="AM927" t="n">
        <v>0</v>
      </c>
      <c r="AN927" t="n">
        <v>0</v>
      </c>
      <c r="AO927" t="n">
        <v>118.57</v>
      </c>
      <c r="AP927" t="n">
        <v>0</v>
      </c>
      <c r="AQ927" t="n">
        <v>13.9</v>
      </c>
      <c r="AR927" t="n">
        <v>0</v>
      </c>
      <c r="AS927" t="n">
        <v>0</v>
      </c>
      <c r="AT927" t="n">
        <v>91</v>
      </c>
      <c r="AU927" t="n">
        <v>48</v>
      </c>
      <c r="AV927" t="n">
        <v>1</v>
      </c>
      <c r="AW927" t="n">
        <v>1</v>
      </c>
      <c r="AZ927" t="n">
        <v>1</v>
      </c>
      <c r="BA927" t="n">
        <v>52.25</v>
      </c>
      <c r="BB927" t="n">
        <v>1</v>
      </c>
      <c r="BC927" t="n">
        <v>4.14</v>
      </c>
      <c r="BD927" t="inlineStr"/>
      <c r="BE927" t="inlineStr"/>
      <c r="BF927" t="inlineStr"/>
      <c r="BG927" t="inlineStr"/>
      <c r="BH927" t="n">
        <v>0</v>
      </c>
      <c r="BI927" t="n">
        <v>1</v>
      </c>
      <c r="BJ927" t="inlineStr">
        <is>
          <t>ТЕРр Московской обл., 67-5-2, приказ Минстроя России №675/пр от 28.02.2017 № 263/пр</t>
        </is>
      </c>
      <c r="BM927" t="n">
        <v>67001</v>
      </c>
      <c r="BN927" t="n">
        <v>0</v>
      </c>
      <c r="BO927" t="inlineStr">
        <is>
          <t>67-5-2</t>
        </is>
      </c>
      <c r="BP927" t="n">
        <v>1</v>
      </c>
      <c r="BQ927" t="n">
        <v>6</v>
      </c>
      <c r="BR927" t="n">
        <v>0</v>
      </c>
      <c r="BS927" t="n">
        <v>52.25</v>
      </c>
      <c r="BT927" t="n">
        <v>1</v>
      </c>
      <c r="BU927" t="n">
        <v>1</v>
      </c>
      <c r="BV927" t="n">
        <v>1</v>
      </c>
      <c r="BW927" t="n">
        <v>1</v>
      </c>
      <c r="BX927" t="n">
        <v>1</v>
      </c>
      <c r="BY927" t="inlineStr"/>
      <c r="BZ927" t="n">
        <v>91</v>
      </c>
      <c r="CA927" t="n">
        <v>48</v>
      </c>
      <c r="CB927" t="inlineStr"/>
      <c r="CE927" t="n">
        <v>12</v>
      </c>
      <c r="CF927" t="n">
        <v>0</v>
      </c>
      <c r="CG927" t="n">
        <v>0</v>
      </c>
      <c r="CM927" t="n">
        <v>0</v>
      </c>
      <c r="CN927" t="inlineStr"/>
      <c r="CO927" t="n">
        <v>0</v>
      </c>
      <c r="CP927">
        <f>(P927+Q927+S927)</f>
        <v/>
      </c>
      <c r="CQ927">
        <f>AC927*BC927</f>
        <v/>
      </c>
      <c r="CR927">
        <f>(ROUND((ROUND(((ET927)*1),0)*BB927),0)+ROUND((ROUND(((AE927-(EU927))*1),0)*BS927),0))</f>
        <v/>
      </c>
      <c r="CS927">
        <f>(ROUND((ROUND(((EU927)*1),0)*BS927),0)+ROUND((ROUND(((AE927-(EU927))*1),0)*BS927),0))</f>
        <v/>
      </c>
      <c r="CT927">
        <f>AF927*BA927</f>
        <v/>
      </c>
      <c r="CU927">
        <f>AG927</f>
        <v/>
      </c>
      <c r="CV927">
        <f>AH927</f>
        <v/>
      </c>
      <c r="CW927">
        <f>AI927</f>
        <v/>
      </c>
      <c r="CX927">
        <f>AJ927</f>
        <v/>
      </c>
      <c r="CY927">
        <f>(((S927+R927)*AT927)/100)</f>
        <v/>
      </c>
      <c r="CZ927">
        <f>(((S927+R927)*AU927)/100)</f>
        <v/>
      </c>
      <c r="DC927" t="inlineStr"/>
      <c r="DD927" t="inlineStr"/>
      <c r="DE927" t="inlineStr"/>
      <c r="DF927" t="inlineStr"/>
      <c r="DG927" t="inlineStr"/>
      <c r="DH927" t="inlineStr"/>
      <c r="DI927" t="inlineStr"/>
      <c r="DJ927" t="inlineStr"/>
      <c r="DK927" t="inlineStr"/>
      <c r="DL927" t="inlineStr"/>
      <c r="DM927" t="inlineStr"/>
      <c r="DN927" t="n">
        <v>0</v>
      </c>
      <c r="DO927" t="n">
        <v>0</v>
      </c>
      <c r="DP927" t="n">
        <v>1</v>
      </c>
      <c r="DQ927" t="n">
        <v>1</v>
      </c>
      <c r="DU927" t="n">
        <v>1010</v>
      </c>
      <c r="DV927" t="inlineStr">
        <is>
          <t>100 шт.</t>
        </is>
      </c>
      <c r="DW927" t="inlineStr">
        <is>
          <t>100 шт.</t>
        </is>
      </c>
      <c r="DX927" t="n">
        <v>100</v>
      </c>
      <c r="DZ927" t="inlineStr"/>
      <c r="EA927" t="inlineStr"/>
      <c r="EB927" t="inlineStr"/>
      <c r="EC927" t="inlineStr"/>
      <c r="EE927" t="n">
        <v>78726030</v>
      </c>
      <c r="EF927" t="n">
        <v>6</v>
      </c>
      <c r="EG927" t="inlineStr">
        <is>
          <t>Ремонтно-строительные работы</t>
        </is>
      </c>
      <c r="EH927" t="n">
        <v>101</v>
      </c>
      <c r="EI927" t="inlineStr">
        <is>
          <t>Электромонтажные работы</t>
        </is>
      </c>
      <c r="EJ927" t="n">
        <v>1</v>
      </c>
      <c r="EK927" t="n">
        <v>67001</v>
      </c>
      <c r="EL927" t="inlineStr">
        <is>
          <t>Электромонтажные работы</t>
        </is>
      </c>
      <c r="EM927" t="inlineStr">
        <is>
          <t>рФЕР-67</t>
        </is>
      </c>
      <c r="EO927" t="inlineStr"/>
      <c r="EQ927" t="n">
        <v>0</v>
      </c>
      <c r="ER927" t="n">
        <v>970.5700000000001</v>
      </c>
      <c r="ES927" t="n">
        <v>852</v>
      </c>
      <c r="ET927" t="n">
        <v>0</v>
      </c>
      <c r="EU927" t="n">
        <v>0</v>
      </c>
      <c r="EV927" t="n">
        <v>118.57</v>
      </c>
      <c r="EW927" t="n">
        <v>13.9</v>
      </c>
      <c r="EX927" t="n">
        <v>0</v>
      </c>
      <c r="EY927" t="n">
        <v>0</v>
      </c>
      <c r="FQ927" t="n">
        <v>0</v>
      </c>
      <c r="FR927" t="n">
        <v>0</v>
      </c>
      <c r="FS927" t="n">
        <v>0</v>
      </c>
      <c r="FX927" t="n">
        <v>91</v>
      </c>
      <c r="FY927" t="n">
        <v>48</v>
      </c>
      <c r="GA927" t="inlineStr"/>
      <c r="GD927" t="n">
        <v>1</v>
      </c>
      <c r="GF927" t="n">
        <v>1400342257</v>
      </c>
      <c r="GG927" t="n">
        <v>2</v>
      </c>
      <c r="GH927" t="n">
        <v>1</v>
      </c>
      <c r="GI927" t="n">
        <v>2</v>
      </c>
      <c r="GJ927" t="n">
        <v>0</v>
      </c>
      <c r="GK927" t="n">
        <v>0</v>
      </c>
      <c r="GL927">
        <f>ROUND(IF(AND(BH927=3,BI927=3,FS927&lt;&gt;0),P927,0),0)</f>
        <v/>
      </c>
      <c r="GM927">
        <f>ROUND(O927+X927+Y927,0)+GX927</f>
        <v/>
      </c>
      <c r="GN927">
        <f>IF(OR(BI927=0,BI927=1),GM927-GX927,0)</f>
        <v/>
      </c>
      <c r="GO927">
        <f>IF(BI927=2,GM927-GX927,0)</f>
        <v/>
      </c>
      <c r="GP927">
        <f>IF(BI927=4,GM927-GX927,0)</f>
        <v/>
      </c>
      <c r="GR927" t="n">
        <v>0</v>
      </c>
      <c r="GS927" t="n">
        <v>3</v>
      </c>
      <c r="GT927" t="n">
        <v>0</v>
      </c>
      <c r="GU927" t="inlineStr"/>
      <c r="GV927">
        <f>ROUND((GT927),2)</f>
        <v/>
      </c>
      <c r="GW927" t="n">
        <v>1</v>
      </c>
      <c r="GX927">
        <f>ROUND(HC927*I927,0)</f>
        <v/>
      </c>
      <c r="HA927" t="n">
        <v>0</v>
      </c>
      <c r="HB927" t="n">
        <v>0</v>
      </c>
      <c r="HC927">
        <f>GV927*GW927</f>
        <v/>
      </c>
      <c r="HE927" t="inlineStr"/>
      <c r="HF927" t="inlineStr"/>
      <c r="HM927" t="inlineStr"/>
      <c r="HN927" t="inlineStr">
        <is>
          <t>Пр/812-101.0-1</t>
        </is>
      </c>
      <c r="HO927" t="inlineStr">
        <is>
          <t>Пр/774-101.0</t>
        </is>
      </c>
      <c r="HP927" t="inlineStr">
        <is>
          <t>Электромонтажные работы</t>
        </is>
      </c>
      <c r="HQ927" t="inlineStr">
        <is>
          <t>Электромонтажные работы</t>
        </is>
      </c>
      <c r="HS927" t="n">
        <v>0</v>
      </c>
      <c r="IK927" t="n">
        <v>0</v>
      </c>
    </row>
    <row r="928">
      <c r="A928" t="n">
        <v>18</v>
      </c>
      <c r="B928" t="n">
        <v>0</v>
      </c>
      <c r="C928" t="n">
        <v>495</v>
      </c>
      <c r="E928" t="inlineStr">
        <is>
          <t>1,1</t>
        </is>
      </c>
      <c r="F928" t="inlineStr">
        <is>
          <t>509-6744</t>
        </is>
      </c>
      <c r="G928" t="inlineStr">
        <is>
          <t>Лампы люминесцентные компактные энергосберегающие с цоколем Е27 мощностью 55 Вт</t>
        </is>
      </c>
      <c r="H928" t="inlineStr">
        <is>
          <t>шт.</t>
        </is>
      </c>
      <c r="I928">
        <f>I927*J928</f>
        <v/>
      </c>
      <c r="J928" t="n">
        <v>100</v>
      </c>
      <c r="K928" t="n">
        <v>100</v>
      </c>
      <c r="O928">
        <f>ROUND(CP928,0)</f>
        <v/>
      </c>
      <c r="P928">
        <f>ROUND(CQ928*I928,0)</f>
        <v/>
      </c>
      <c r="Q928">
        <f>(ROUND((ROUND(((ET928)*I928),0)*BB928),0)+ROUND((ROUND(((AE928-(EU928))*I928),0)*BS928),0))</f>
        <v/>
      </c>
      <c r="R928">
        <f>(ROUND((ROUND(((EU928)*I928),0)*BS928),0)+ROUND((ROUND(((AE928-(EU928))*I928),0)*BS928),0))</f>
        <v/>
      </c>
      <c r="S928">
        <f>ROUND(CT928*I928,0)</f>
        <v/>
      </c>
      <c r="T928">
        <f>ROUND(CU928*I928,0)</f>
        <v/>
      </c>
      <c r="U928">
        <f>ROUND(CV928*I928,7)</f>
        <v/>
      </c>
      <c r="V928">
        <f>ROUND(CW928*I928,7)</f>
        <v/>
      </c>
      <c r="W928">
        <f>ROUND(CX928*I928,0)</f>
        <v/>
      </c>
      <c r="X928">
        <f>ROUND(CY928,0)</f>
        <v/>
      </c>
      <c r="Y928">
        <f>ROUND(CZ928,0)</f>
        <v/>
      </c>
      <c r="AA928" t="n">
        <v>78869116</v>
      </c>
      <c r="AB928">
        <f>ROUND((AC928+AD928+AF928),2)</f>
        <v/>
      </c>
      <c r="AC928">
        <f>ROUND((ES928),2)</f>
        <v/>
      </c>
      <c r="AD928">
        <f>ROUND((((ET928)-(EU928))+AE928),2)</f>
        <v/>
      </c>
      <c r="AE928">
        <f>ROUND((EU928),2)</f>
        <v/>
      </c>
      <c r="AF928">
        <f>ROUND((EV928),2)</f>
        <v/>
      </c>
      <c r="AG928">
        <f>ROUND((AP928),2)</f>
        <v/>
      </c>
      <c r="AH928">
        <f>(EW928)</f>
        <v/>
      </c>
      <c r="AI928">
        <f>(EX928)</f>
        <v/>
      </c>
      <c r="AJ928">
        <f>(AS928)</f>
        <v/>
      </c>
      <c r="AK928" t="n">
        <v>140.69</v>
      </c>
      <c r="AL928" t="n">
        <v>140.69</v>
      </c>
      <c r="AM928" t="n">
        <v>0</v>
      </c>
      <c r="AN928" t="n">
        <v>0</v>
      </c>
      <c r="AO928" t="n">
        <v>0</v>
      </c>
      <c r="AP928" t="n">
        <v>0</v>
      </c>
      <c r="AQ928" t="n">
        <v>0</v>
      </c>
      <c r="AR928" t="n">
        <v>0</v>
      </c>
      <c r="AS928" t="n">
        <v>0.02</v>
      </c>
      <c r="AT928" t="n">
        <v>91</v>
      </c>
      <c r="AU928" t="n">
        <v>48</v>
      </c>
      <c r="AV928" t="n">
        <v>1</v>
      </c>
      <c r="AW928" t="n">
        <v>1</v>
      </c>
      <c r="AZ928" t="n">
        <v>1</v>
      </c>
      <c r="BA928" t="n">
        <v>1</v>
      </c>
      <c r="BB928" t="n">
        <v>1</v>
      </c>
      <c r="BC928" t="n">
        <v>1.69</v>
      </c>
      <c r="BD928" t="inlineStr"/>
      <c r="BE928" t="inlineStr"/>
      <c r="BF928" t="inlineStr"/>
      <c r="BG928" t="inlineStr"/>
      <c r="BH928" t="n">
        <v>3</v>
      </c>
      <c r="BI928" t="n">
        <v>1</v>
      </c>
      <c r="BJ928" t="inlineStr">
        <is>
          <t>ТССЦ Московской обл., 509-6744, приказ Минстроя России №675/пр от 28.02.2017 № 258/пр</t>
        </is>
      </c>
      <c r="BM928" t="n">
        <v>67001</v>
      </c>
      <c r="BN928" t="n">
        <v>0</v>
      </c>
      <c r="BO928" t="inlineStr">
        <is>
          <t>509-6744</t>
        </is>
      </c>
      <c r="BP928" t="n">
        <v>1</v>
      </c>
      <c r="BQ928" t="n">
        <v>6</v>
      </c>
      <c r="BR928" t="n">
        <v>0</v>
      </c>
      <c r="BS928" t="n">
        <v>1</v>
      </c>
      <c r="BT928" t="n">
        <v>1</v>
      </c>
      <c r="BU928" t="n">
        <v>1</v>
      </c>
      <c r="BV928" t="n">
        <v>1</v>
      </c>
      <c r="BW928" t="n">
        <v>1</v>
      </c>
      <c r="BX928" t="n">
        <v>1</v>
      </c>
      <c r="BY928" t="inlineStr"/>
      <c r="BZ928" t="n">
        <v>91</v>
      </c>
      <c r="CA928" t="n">
        <v>48</v>
      </c>
      <c r="CB928" t="inlineStr"/>
      <c r="CE928" t="n">
        <v>12</v>
      </c>
      <c r="CF928" t="n">
        <v>0</v>
      </c>
      <c r="CG928" t="n">
        <v>0</v>
      </c>
      <c r="CM928" t="n">
        <v>0</v>
      </c>
      <c r="CN928" t="inlineStr"/>
      <c r="CO928" t="n">
        <v>0</v>
      </c>
      <c r="CP928">
        <f>(P928+Q928+S928)</f>
        <v/>
      </c>
      <c r="CQ928">
        <f>AC928*BC928</f>
        <v/>
      </c>
      <c r="CR928">
        <f>(ROUND((ROUND(((ET928)*1),0)*BB928),0)+ROUND((ROUND(((AE928-(EU928))*1),0)*BS928),0))</f>
        <v/>
      </c>
      <c r="CS928">
        <f>(ROUND((ROUND(((EU928)*1),0)*BS928),0)+ROUND((ROUND(((AE928-(EU928))*1),0)*BS928),0))</f>
        <v/>
      </c>
      <c r="CT928">
        <f>AF928*BA928</f>
        <v/>
      </c>
      <c r="CU928">
        <f>AG928</f>
        <v/>
      </c>
      <c r="CV928">
        <f>AH928</f>
        <v/>
      </c>
      <c r="CW928">
        <f>AI928</f>
        <v/>
      </c>
      <c r="CX928">
        <f>AJ928</f>
        <v/>
      </c>
      <c r="CY928">
        <f>(((S928+R928)*AT928)/100)</f>
        <v/>
      </c>
      <c r="CZ928">
        <f>(((S928+R928)*AU928)/100)</f>
        <v/>
      </c>
      <c r="DC928" t="inlineStr"/>
      <c r="DD928" t="inlineStr"/>
      <c r="DE928" t="inlineStr"/>
      <c r="DF928" t="inlineStr"/>
      <c r="DG928" t="inlineStr"/>
      <c r="DH928" t="inlineStr"/>
      <c r="DI928" t="inlineStr"/>
      <c r="DJ928" t="inlineStr"/>
      <c r="DK928" t="inlineStr"/>
      <c r="DL928" t="inlineStr"/>
      <c r="DM928" t="inlineStr"/>
      <c r="DN928" t="n">
        <v>0</v>
      </c>
      <c r="DO928" t="n">
        <v>0</v>
      </c>
      <c r="DP928" t="n">
        <v>1</v>
      </c>
      <c r="DQ928" t="n">
        <v>1</v>
      </c>
      <c r="DU928" t="n">
        <v>1010</v>
      </c>
      <c r="DV928" t="inlineStr">
        <is>
          <t>шт.</t>
        </is>
      </c>
      <c r="DW928" t="inlineStr">
        <is>
          <t>шт.</t>
        </is>
      </c>
      <c r="DX928" t="n">
        <v>1</v>
      </c>
      <c r="DZ928" t="inlineStr"/>
      <c r="EA928" t="inlineStr"/>
      <c r="EB928" t="inlineStr"/>
      <c r="EC928" t="inlineStr"/>
      <c r="EE928" t="n">
        <v>78726030</v>
      </c>
      <c r="EF928" t="n">
        <v>6</v>
      </c>
      <c r="EG928" t="inlineStr">
        <is>
          <t>Ремонтно-строительные работы</t>
        </is>
      </c>
      <c r="EH928" t="n">
        <v>101</v>
      </c>
      <c r="EI928" t="inlineStr">
        <is>
          <t>Электромонтажные работы</t>
        </is>
      </c>
      <c r="EJ928" t="n">
        <v>1</v>
      </c>
      <c r="EK928" t="n">
        <v>67001</v>
      </c>
      <c r="EL928" t="inlineStr">
        <is>
          <t>Электромонтажные работы</t>
        </is>
      </c>
      <c r="EM928" t="inlineStr">
        <is>
          <t>рФЕР-67</t>
        </is>
      </c>
      <c r="EO928" t="inlineStr"/>
      <c r="EQ928" t="n">
        <v>0</v>
      </c>
      <c r="ER928" t="n">
        <v>140.69</v>
      </c>
      <c r="ES928" t="n">
        <v>140.69</v>
      </c>
      <c r="ET928" t="n">
        <v>0</v>
      </c>
      <c r="EU928" t="n">
        <v>0</v>
      </c>
      <c r="EV928" t="n">
        <v>0</v>
      </c>
      <c r="EW928" t="n">
        <v>0</v>
      </c>
      <c r="EX928" t="n">
        <v>0</v>
      </c>
      <c r="FQ928" t="n">
        <v>0</v>
      </c>
      <c r="FR928" t="n">
        <v>0</v>
      </c>
      <c r="FS928" t="n">
        <v>0</v>
      </c>
      <c r="FX928" t="n">
        <v>91</v>
      </c>
      <c r="FY928" t="n">
        <v>48</v>
      </c>
      <c r="GA928" t="inlineStr"/>
      <c r="GD928" t="n">
        <v>1</v>
      </c>
      <c r="GF928" t="n">
        <v>-228955380</v>
      </c>
      <c r="GG928" t="n">
        <v>2</v>
      </c>
      <c r="GH928" t="n">
        <v>1</v>
      </c>
      <c r="GI928" t="n">
        <v>2</v>
      </c>
      <c r="GJ928" t="n">
        <v>0</v>
      </c>
      <c r="GK928" t="n">
        <v>0</v>
      </c>
      <c r="GL928">
        <f>ROUND(IF(AND(BH928=3,BI928=3,FS928&lt;&gt;0),P928,0),0)</f>
        <v/>
      </c>
      <c r="GM928">
        <f>ROUND(O928+X928+Y928,0)+GX928</f>
        <v/>
      </c>
      <c r="GN928">
        <f>IF(OR(BI928=0,BI928=1),GM928-GX928,0)</f>
        <v/>
      </c>
      <c r="GO928">
        <f>IF(BI928=2,GM928-GX928,0)</f>
        <v/>
      </c>
      <c r="GP928">
        <f>IF(BI928=4,GM928-GX928,0)</f>
        <v/>
      </c>
      <c r="GR928" t="n">
        <v>0</v>
      </c>
      <c r="GS928" t="n">
        <v>3</v>
      </c>
      <c r="GT928" t="n">
        <v>0</v>
      </c>
      <c r="GU928" t="inlineStr"/>
      <c r="GV928">
        <f>ROUND((GT928),2)</f>
        <v/>
      </c>
      <c r="GW928" t="n">
        <v>1</v>
      </c>
      <c r="GX928">
        <f>ROUND(HC928*I928,0)</f>
        <v/>
      </c>
      <c r="HA928" t="n">
        <v>0</v>
      </c>
      <c r="HB928" t="n">
        <v>0</v>
      </c>
      <c r="HC928">
        <f>GV928*GW928</f>
        <v/>
      </c>
      <c r="HE928" t="inlineStr"/>
      <c r="HF928" t="inlineStr"/>
      <c r="HM928" t="inlineStr"/>
      <c r="HN928" t="inlineStr">
        <is>
          <t>Пр/812-101.0-1</t>
        </is>
      </c>
      <c r="HO928" t="inlineStr">
        <is>
          <t>Пр/774-101.0</t>
        </is>
      </c>
      <c r="HP928" t="inlineStr">
        <is>
          <t>Электромонтажные работы</t>
        </is>
      </c>
      <c r="HQ928" t="inlineStr">
        <is>
          <t>Электромонтажные работы</t>
        </is>
      </c>
      <c r="HS928" t="n">
        <v>0</v>
      </c>
      <c r="IK928" t="n">
        <v>0</v>
      </c>
    </row>
    <row r="929"/>
    <row r="930">
      <c r="A930" s="402" t="n">
        <v>51</v>
      </c>
      <c r="B930" s="402">
        <f>B923</f>
        <v/>
      </c>
      <c r="C930" s="402">
        <f>A923</f>
        <v/>
      </c>
      <c r="D930" s="402">
        <f>ROW(A923)</f>
        <v/>
      </c>
      <c r="E930" s="402" t="n"/>
      <c r="F930" s="402">
        <f>IF(F923&lt;&gt;"",F923,"")</f>
        <v/>
      </c>
      <c r="G930" s="402">
        <f>IF(G923&lt;&gt;"",G923,"")</f>
        <v/>
      </c>
      <c r="H930" s="402" t="n">
        <v>0</v>
      </c>
      <c r="I930" s="402" t="n"/>
      <c r="J930" s="402" t="n"/>
      <c r="K930" s="402" t="n"/>
      <c r="L930" s="402" t="n"/>
      <c r="M930" s="402" t="n"/>
      <c r="N930" s="402" t="n"/>
      <c r="O930" s="402" t="n">
        <v>0</v>
      </c>
      <c r="P930" s="402" t="n">
        <v>0</v>
      </c>
      <c r="Q930" s="402" t="n">
        <v>0</v>
      </c>
      <c r="R930" s="402" t="n">
        <v>0</v>
      </c>
      <c r="S930" s="402" t="n">
        <v>0</v>
      </c>
      <c r="T930" s="402" t="n">
        <v>0</v>
      </c>
      <c r="U930" s="402" t="n">
        <v>0</v>
      </c>
      <c r="V930" s="402" t="n">
        <v>0</v>
      </c>
      <c r="W930" s="402" t="n">
        <v>0</v>
      </c>
      <c r="X930" s="402" t="n">
        <v>0</v>
      </c>
      <c r="Y930" s="402" t="n">
        <v>0</v>
      </c>
      <c r="Z930" s="402" t="n"/>
      <c r="AA930" s="402" t="n"/>
      <c r="AB930" s="402" t="n"/>
      <c r="AC930" s="402" t="n"/>
      <c r="AD930" s="402" t="n"/>
      <c r="AE930" s="402" t="n"/>
      <c r="AF930" s="402" t="n"/>
      <c r="AG930" s="402" t="n"/>
      <c r="AH930" s="402" t="n"/>
      <c r="AI930" s="402" t="n"/>
      <c r="AJ930" s="402" t="n"/>
      <c r="AK930" s="402" t="n"/>
      <c r="AL930" s="402" t="n"/>
      <c r="AM930" s="402" t="n"/>
      <c r="AN930" s="402" t="n"/>
      <c r="AO930" s="402">
        <f>ROUND(BX930,0)</f>
        <v/>
      </c>
      <c r="AP930" s="402">
        <f>ROUND(BY930,0)</f>
        <v/>
      </c>
      <c r="AQ930" s="402">
        <f>ROUND(BZ930,0)</f>
        <v/>
      </c>
      <c r="AR930" s="402">
        <f>ROUND(CA930,0)</f>
        <v/>
      </c>
      <c r="AS930" s="402">
        <f>ROUND(CB930,0)</f>
        <v/>
      </c>
      <c r="AT930" s="402">
        <f>ROUND(CC930,0)</f>
        <v/>
      </c>
      <c r="AU930" s="402">
        <f>ROUND(CD930,0)</f>
        <v/>
      </c>
      <c r="AV930" s="402">
        <f>ROUND(CE930,0)</f>
        <v/>
      </c>
      <c r="AW930" s="402">
        <f>ROUND(CF930,0)</f>
        <v/>
      </c>
      <c r="AX930" s="402">
        <f>ROUND(CG930,0)</f>
        <v/>
      </c>
      <c r="AY930" s="402">
        <f>ROUND(CH930,0)</f>
        <v/>
      </c>
      <c r="AZ930" s="402">
        <f>ROUND(CI930,0)</f>
        <v/>
      </c>
      <c r="BA930" s="402">
        <f>ROUND(CJ930,0)</f>
        <v/>
      </c>
      <c r="BB930" s="402">
        <f>ROUND(CK930,0)</f>
        <v/>
      </c>
      <c r="BC930" s="402">
        <f>ROUND(CL930,0)</f>
        <v/>
      </c>
      <c r="BD930" s="402">
        <f>ROUND(CM930,0)</f>
        <v/>
      </c>
      <c r="BE930" s="402" t="n"/>
      <c r="BF930" s="402" t="n"/>
      <c r="BG930" s="402" t="n"/>
      <c r="BH930" s="402" t="n"/>
      <c r="BI930" s="402" t="n"/>
      <c r="BJ930" s="402" t="n"/>
      <c r="BK930" s="402" t="n"/>
      <c r="BL930" s="402" t="n"/>
      <c r="BM930" s="402" t="n"/>
      <c r="BN930" s="402" t="n"/>
      <c r="BO930" s="402" t="n"/>
      <c r="BP930" s="402" t="n"/>
      <c r="BQ930" s="402" t="n"/>
      <c r="BR930" s="402" t="n"/>
      <c r="BS930" s="402" t="n"/>
      <c r="BT930" s="402" t="n"/>
      <c r="BU930" s="402" t="n"/>
      <c r="BV930" s="402" t="n"/>
      <c r="BW930" s="402" t="n"/>
      <c r="BX930" s="402" t="n"/>
      <c r="BY930" s="402" t="n"/>
      <c r="BZ930" s="402" t="n"/>
      <c r="CA930" s="402" t="n"/>
      <c r="CB930" s="402" t="n"/>
      <c r="CC930" s="402" t="n"/>
      <c r="CD930" s="402" t="n"/>
      <c r="CE930" s="402" t="n"/>
      <c r="CF930" s="402" t="n"/>
      <c r="CG930" s="402" t="n"/>
      <c r="CH930" s="402" t="n"/>
      <c r="CI930" s="402" t="n"/>
      <c r="CJ930" s="402" t="n"/>
      <c r="CK930" s="402" t="n"/>
      <c r="CL930" s="402" t="n"/>
      <c r="CM930" s="402" t="n"/>
      <c r="CN930" s="402" t="n"/>
      <c r="CO930" s="402" t="n"/>
      <c r="CP930" s="402" t="n"/>
      <c r="CQ930" s="402" t="n"/>
      <c r="CR930" s="402" t="n"/>
      <c r="CS930" s="402" t="n"/>
      <c r="CT930" s="402" t="n"/>
      <c r="CU930" s="402" t="n"/>
      <c r="CV930" s="402" t="n"/>
      <c r="CW930" s="402" t="n"/>
      <c r="CX930" s="402" t="n"/>
      <c r="CY930" s="402" t="n"/>
      <c r="CZ930" s="402" t="n"/>
      <c r="DA930" s="402" t="n"/>
      <c r="DB930" s="402" t="n"/>
      <c r="DC930" s="402" t="n"/>
      <c r="DD930" s="402" t="n"/>
      <c r="DE930" s="402" t="n"/>
      <c r="DF930" s="402" t="n"/>
      <c r="DG930" s="403" t="n"/>
      <c r="DH930" s="403" t="n"/>
      <c r="DI930" s="403" t="n"/>
      <c r="DJ930" s="403" t="n"/>
      <c r="DK930" s="403" t="n"/>
      <c r="DL930" s="403" t="n"/>
      <c r="DM930" s="403" t="n"/>
      <c r="DN930" s="403" t="n"/>
      <c r="DO930" s="403" t="n"/>
      <c r="DP930" s="403" t="n"/>
      <c r="DQ930" s="403" t="n"/>
      <c r="DR930" s="403" t="n"/>
      <c r="DS930" s="403" t="n"/>
      <c r="DT930" s="403" t="n"/>
      <c r="DU930" s="403" t="n"/>
      <c r="DV930" s="403" t="n"/>
      <c r="DW930" s="403" t="n"/>
      <c r="DX930" s="403" t="n"/>
      <c r="DY930" s="403" t="n"/>
      <c r="DZ930" s="403" t="n"/>
      <c r="EA930" s="403" t="n"/>
      <c r="EB930" s="403" t="n"/>
      <c r="EC930" s="403" t="n"/>
      <c r="ED930" s="403" t="n"/>
      <c r="EE930" s="403" t="n"/>
      <c r="EF930" s="403" t="n"/>
      <c r="EG930" s="403" t="n"/>
      <c r="EH930" s="403" t="n"/>
      <c r="EI930" s="403" t="n"/>
      <c r="EJ930" s="403" t="n"/>
      <c r="EK930" s="403" t="n"/>
      <c r="EL930" s="403" t="n"/>
      <c r="EM930" s="403" t="n"/>
      <c r="EN930" s="403" t="n"/>
      <c r="EO930" s="403" t="n"/>
      <c r="EP930" s="403" t="n"/>
      <c r="EQ930" s="403" t="n"/>
      <c r="ER930" s="403" t="n"/>
      <c r="ES930" s="403" t="n"/>
      <c r="ET930" s="403" t="n"/>
      <c r="EU930" s="403" t="n"/>
      <c r="EV930" s="403" t="n"/>
      <c r="EW930" s="403" t="n"/>
      <c r="EX930" s="403" t="n"/>
      <c r="EY930" s="403" t="n"/>
      <c r="EZ930" s="403" t="n"/>
      <c r="FA930" s="403" t="n"/>
      <c r="FB930" s="403" t="n"/>
      <c r="FC930" s="403" t="n"/>
      <c r="FD930" s="403" t="n"/>
      <c r="FE930" s="403" t="n"/>
      <c r="FF930" s="403" t="n"/>
      <c r="FG930" s="403" t="n"/>
      <c r="FH930" s="403" t="n"/>
      <c r="FI930" s="403" t="n"/>
      <c r="FJ930" s="403" t="n"/>
      <c r="FK930" s="403" t="n"/>
      <c r="FL930" s="403" t="n"/>
      <c r="FM930" s="403" t="n"/>
      <c r="FN930" s="403" t="n"/>
      <c r="FO930" s="403" t="n"/>
      <c r="FP930" s="403" t="n"/>
      <c r="FQ930" s="403" t="n"/>
      <c r="FR930" s="403" t="n"/>
      <c r="FS930" s="403" t="n"/>
      <c r="FT930" s="403" t="n"/>
      <c r="FU930" s="403" t="n"/>
      <c r="FV930" s="403" t="n"/>
      <c r="FW930" s="403" t="n"/>
      <c r="FX930" s="403" t="n"/>
      <c r="FY930" s="403" t="n"/>
      <c r="FZ930" s="403" t="n"/>
      <c r="GA930" s="403" t="n"/>
      <c r="GB930" s="403" t="n"/>
      <c r="GC930" s="403" t="n"/>
      <c r="GD930" s="403" t="n"/>
      <c r="GE930" s="403" t="n"/>
      <c r="GF930" s="403" t="n"/>
      <c r="GG930" s="403" t="n"/>
      <c r="GH930" s="403" t="n"/>
      <c r="GI930" s="403" t="n"/>
      <c r="GJ930" s="403" t="n"/>
      <c r="GK930" s="403" t="n"/>
      <c r="GL930" s="403" t="n"/>
      <c r="GM930" s="403" t="n"/>
      <c r="GN930" s="403" t="n"/>
      <c r="GO930" s="403" t="n"/>
      <c r="GP930" s="403" t="n"/>
      <c r="GQ930" s="403" t="n"/>
      <c r="GR930" s="403" t="n"/>
      <c r="GS930" s="403" t="n"/>
      <c r="GT930" s="403" t="n"/>
      <c r="GU930" s="403" t="n"/>
      <c r="GV930" s="403" t="n"/>
      <c r="GW930" s="403" t="n"/>
      <c r="GX930" s="403" t="n">
        <v>0</v>
      </c>
    </row>
    <row r="931"/>
    <row r="932">
      <c r="A932" s="404" t="n">
        <v>50</v>
      </c>
      <c r="B932" s="404" t="n">
        <v>0</v>
      </c>
      <c r="C932" s="404" t="n">
        <v>0</v>
      </c>
      <c r="D932" s="404" t="n">
        <v>1</v>
      </c>
      <c r="E932" s="404" t="n">
        <v>201</v>
      </c>
      <c r="F932" s="404">
        <f>ROUND(Source!O930,O932)</f>
        <v/>
      </c>
      <c r="G932" s="404" t="inlineStr">
        <is>
          <t>ПЗ</t>
        </is>
      </c>
      <c r="H932" s="404" t="inlineStr">
        <is>
          <t>Прямые затраты</t>
        </is>
      </c>
      <c r="I932" s="404" t="n"/>
      <c r="J932" s="404" t="n"/>
      <c r="K932" s="404" t="n">
        <v>201</v>
      </c>
      <c r="L932" s="404" t="n">
        <v>1</v>
      </c>
      <c r="M932" s="404" t="n">
        <v>3</v>
      </c>
      <c r="N932" s="404" t="inlineStr"/>
      <c r="O932" s="404" t="n">
        <v>0</v>
      </c>
      <c r="P932" s="404" t="n"/>
      <c r="Q932" s="404" t="n"/>
      <c r="R932" s="404" t="n"/>
      <c r="S932" s="404" t="n"/>
      <c r="T932" s="404" t="n"/>
      <c r="U932" s="404" t="n"/>
      <c r="V932" s="404" t="n"/>
      <c r="W932" s="404" t="n">
        <v>0</v>
      </c>
      <c r="X932" s="404" t="n">
        <v>1</v>
      </c>
      <c r="Y932" s="404" t="n">
        <v>0</v>
      </c>
      <c r="Z932" s="404" t="n"/>
      <c r="AA932" s="404" t="n"/>
      <c r="AB932" s="404" t="n"/>
    </row>
    <row r="933">
      <c r="A933" s="404" t="n">
        <v>50</v>
      </c>
      <c r="B933" s="404" t="n">
        <v>0</v>
      </c>
      <c r="C933" s="404" t="n">
        <v>0</v>
      </c>
      <c r="D933" s="404" t="n">
        <v>1</v>
      </c>
      <c r="E933" s="404" t="n">
        <v>202</v>
      </c>
      <c r="F933" s="404">
        <f>ROUND(Source!P930,O933)</f>
        <v/>
      </c>
      <c r="G933" s="404" t="inlineStr">
        <is>
          <t>СтМатОб</t>
        </is>
      </c>
      <c r="H933" s="404" t="inlineStr">
        <is>
          <t>Стоимость материальных ресурсов (всего)</t>
        </is>
      </c>
      <c r="I933" s="404" t="n"/>
      <c r="J933" s="404" t="n"/>
      <c r="K933" s="404" t="n">
        <v>202</v>
      </c>
      <c r="L933" s="404" t="n">
        <v>2</v>
      </c>
      <c r="M933" s="404" t="n">
        <v>3</v>
      </c>
      <c r="N933" s="404" t="inlineStr"/>
      <c r="O933" s="404" t="n">
        <v>0</v>
      </c>
      <c r="P933" s="404" t="n"/>
      <c r="Q933" s="404" t="n"/>
      <c r="R933" s="404" t="n"/>
      <c r="S933" s="404" t="n"/>
      <c r="T933" s="404" t="n"/>
      <c r="U933" s="404" t="n"/>
      <c r="V933" s="404" t="n"/>
      <c r="W933" s="404" t="n">
        <v>0</v>
      </c>
      <c r="X933" s="404" t="n">
        <v>1</v>
      </c>
      <c r="Y933" s="404" t="n">
        <v>0</v>
      </c>
      <c r="Z933" s="404" t="n"/>
      <c r="AA933" s="404" t="n"/>
      <c r="AB933" s="404" t="n"/>
    </row>
    <row r="934">
      <c r="A934" s="404" t="n">
        <v>50</v>
      </c>
      <c r="B934" s="404" t="n">
        <v>0</v>
      </c>
      <c r="C934" s="404" t="n">
        <v>0</v>
      </c>
      <c r="D934" s="404" t="n">
        <v>1</v>
      </c>
      <c r="E934" s="404" t="n">
        <v>222</v>
      </c>
      <c r="F934" s="404">
        <f>ROUND(Source!AO930,O934)</f>
        <v/>
      </c>
      <c r="G934" s="404" t="inlineStr">
        <is>
          <t>СтМатОбЗак</t>
        </is>
      </c>
      <c r="H934" s="404" t="inlineStr">
        <is>
          <t>Стоимость материалов и оборудования заказчика</t>
        </is>
      </c>
      <c r="I934" s="404" t="n"/>
      <c r="J934" s="404" t="n"/>
      <c r="K934" s="404" t="n">
        <v>222</v>
      </c>
      <c r="L934" s="404" t="n">
        <v>3</v>
      </c>
      <c r="M934" s="404" t="n">
        <v>3</v>
      </c>
      <c r="N934" s="404" t="inlineStr"/>
      <c r="O934" s="404" t="n">
        <v>0</v>
      </c>
      <c r="P934" s="404" t="n"/>
      <c r="Q934" s="404" t="n"/>
      <c r="R934" s="404" t="n"/>
      <c r="S934" s="404" t="n"/>
      <c r="T934" s="404" t="n"/>
      <c r="U934" s="404" t="n"/>
      <c r="V934" s="404" t="n"/>
      <c r="W934" s="404" t="n">
        <v>0</v>
      </c>
      <c r="X934" s="404" t="n">
        <v>1</v>
      </c>
      <c r="Y934" s="404" t="n">
        <v>0</v>
      </c>
      <c r="Z934" s="404" t="n"/>
      <c r="AA934" s="404" t="n"/>
      <c r="AB934" s="404" t="n"/>
    </row>
    <row r="935">
      <c r="A935" s="404" t="n">
        <v>50</v>
      </c>
      <c r="B935" s="404" t="n">
        <v>0</v>
      </c>
      <c r="C935" s="404" t="n">
        <v>0</v>
      </c>
      <c r="D935" s="404" t="n">
        <v>1</v>
      </c>
      <c r="E935" s="404" t="n">
        <v>225</v>
      </c>
      <c r="F935" s="404">
        <f>ROUND(Source!AV930,O935)</f>
        <v/>
      </c>
      <c r="G935" s="404" t="inlineStr">
        <is>
          <t>СтМатОбПод</t>
        </is>
      </c>
      <c r="H935" s="404" t="inlineStr">
        <is>
          <t>Стоимость материалов и оборудования подрядчика</t>
        </is>
      </c>
      <c r="I935" s="404" t="n"/>
      <c r="J935" s="404" t="n"/>
      <c r="K935" s="404" t="n">
        <v>225</v>
      </c>
      <c r="L935" s="404" t="n">
        <v>4</v>
      </c>
      <c r="M935" s="404" t="n">
        <v>3</v>
      </c>
      <c r="N935" s="404" t="inlineStr"/>
      <c r="O935" s="404" t="n">
        <v>0</v>
      </c>
      <c r="P935" s="404" t="n"/>
      <c r="Q935" s="404" t="n"/>
      <c r="R935" s="404" t="n"/>
      <c r="S935" s="404" t="n"/>
      <c r="T935" s="404" t="n"/>
      <c r="U935" s="404" t="n"/>
      <c r="V935" s="404" t="n"/>
      <c r="W935" s="404" t="n">
        <v>0</v>
      </c>
      <c r="X935" s="404" t="n">
        <v>1</v>
      </c>
      <c r="Y935" s="404" t="n">
        <v>0</v>
      </c>
      <c r="Z935" s="404" t="n"/>
      <c r="AA935" s="404" t="n"/>
      <c r="AB935" s="404" t="n"/>
    </row>
    <row r="936">
      <c r="A936" s="404" t="n">
        <v>50</v>
      </c>
      <c r="B936" s="404" t="n">
        <v>0</v>
      </c>
      <c r="C936" s="404" t="n">
        <v>0</v>
      </c>
      <c r="D936" s="404" t="n">
        <v>1</v>
      </c>
      <c r="E936" s="404" t="n">
        <v>226</v>
      </c>
      <c r="F936" s="404">
        <f>ROUND(Source!AW930,O936)</f>
        <v/>
      </c>
      <c r="G936" s="404" t="inlineStr">
        <is>
          <t>СтМат</t>
        </is>
      </c>
      <c r="H936" s="404" t="inlineStr">
        <is>
          <t>Стоимость материалов (всего)</t>
        </is>
      </c>
      <c r="I936" s="404" t="n"/>
      <c r="J936" s="404" t="n"/>
      <c r="K936" s="404" t="n">
        <v>226</v>
      </c>
      <c r="L936" s="404" t="n">
        <v>5</v>
      </c>
      <c r="M936" s="404" t="n">
        <v>3</v>
      </c>
      <c r="N936" s="404" t="inlineStr"/>
      <c r="O936" s="404" t="n">
        <v>0</v>
      </c>
      <c r="P936" s="404" t="n"/>
      <c r="Q936" s="404" t="n"/>
      <c r="R936" s="404" t="n"/>
      <c r="S936" s="404" t="n"/>
      <c r="T936" s="404" t="n"/>
      <c r="U936" s="404" t="n"/>
      <c r="V936" s="404" t="n"/>
      <c r="W936" s="404" t="n">
        <v>0</v>
      </c>
      <c r="X936" s="404" t="n">
        <v>1</v>
      </c>
      <c r="Y936" s="404" t="n">
        <v>0</v>
      </c>
      <c r="Z936" s="404" t="n"/>
      <c r="AA936" s="404" t="n"/>
      <c r="AB936" s="404" t="n"/>
    </row>
    <row r="937">
      <c r="A937" s="404" t="n">
        <v>50</v>
      </c>
      <c r="B937" s="404" t="n">
        <v>0</v>
      </c>
      <c r="C937" s="404" t="n">
        <v>0</v>
      </c>
      <c r="D937" s="404" t="n">
        <v>1</v>
      </c>
      <c r="E937" s="404" t="n">
        <v>227</v>
      </c>
      <c r="F937" s="404">
        <f>ROUND(Source!AX930,O937)</f>
        <v/>
      </c>
      <c r="G937" s="404" t="inlineStr">
        <is>
          <t>СтМатЗак</t>
        </is>
      </c>
      <c r="H937" s="404" t="inlineStr">
        <is>
          <t>Стоимость материалов заказчика</t>
        </is>
      </c>
      <c r="I937" s="404" t="n"/>
      <c r="J937" s="404" t="n"/>
      <c r="K937" s="404" t="n">
        <v>227</v>
      </c>
      <c r="L937" s="404" t="n">
        <v>6</v>
      </c>
      <c r="M937" s="404" t="n">
        <v>3</v>
      </c>
      <c r="N937" s="404" t="inlineStr"/>
      <c r="O937" s="404" t="n">
        <v>0</v>
      </c>
      <c r="P937" s="404" t="n"/>
      <c r="Q937" s="404" t="n"/>
      <c r="R937" s="404" t="n"/>
      <c r="S937" s="404" t="n"/>
      <c r="T937" s="404" t="n"/>
      <c r="U937" s="404" t="n"/>
      <c r="V937" s="404" t="n"/>
      <c r="W937" s="404" t="n">
        <v>0</v>
      </c>
      <c r="X937" s="404" t="n">
        <v>1</v>
      </c>
      <c r="Y937" s="404" t="n">
        <v>0</v>
      </c>
      <c r="Z937" s="404" t="n"/>
      <c r="AA937" s="404" t="n"/>
      <c r="AB937" s="404" t="n"/>
    </row>
    <row r="938">
      <c r="A938" s="404" t="n">
        <v>50</v>
      </c>
      <c r="B938" s="404" t="n">
        <v>0</v>
      </c>
      <c r="C938" s="404" t="n">
        <v>0</v>
      </c>
      <c r="D938" s="404" t="n">
        <v>1</v>
      </c>
      <c r="E938" s="404" t="n">
        <v>228</v>
      </c>
      <c r="F938" s="404">
        <f>ROUND(Source!AY930,O938)</f>
        <v/>
      </c>
      <c r="G938" s="404" t="inlineStr">
        <is>
          <t>СтМатПод</t>
        </is>
      </c>
      <c r="H938" s="404" t="inlineStr">
        <is>
          <t>Стоимость материалов подрядчика</t>
        </is>
      </c>
      <c r="I938" s="404" t="n"/>
      <c r="J938" s="404" t="n"/>
      <c r="K938" s="404" t="n">
        <v>228</v>
      </c>
      <c r="L938" s="404" t="n">
        <v>7</v>
      </c>
      <c r="M938" s="404" t="n">
        <v>3</v>
      </c>
      <c r="N938" s="404" t="inlineStr"/>
      <c r="O938" s="404" t="n">
        <v>0</v>
      </c>
      <c r="P938" s="404" t="n"/>
      <c r="Q938" s="404" t="n"/>
      <c r="R938" s="404" t="n"/>
      <c r="S938" s="404" t="n"/>
      <c r="T938" s="404" t="n"/>
      <c r="U938" s="404" t="n"/>
      <c r="V938" s="404" t="n"/>
      <c r="W938" s="404" t="n">
        <v>0</v>
      </c>
      <c r="X938" s="404" t="n">
        <v>1</v>
      </c>
      <c r="Y938" s="404" t="n">
        <v>0</v>
      </c>
      <c r="Z938" s="404" t="n"/>
      <c r="AA938" s="404" t="n"/>
      <c r="AB938" s="404" t="n"/>
    </row>
    <row r="939">
      <c r="A939" s="404" t="n">
        <v>50</v>
      </c>
      <c r="B939" s="404" t="n">
        <v>0</v>
      </c>
      <c r="C939" s="404" t="n">
        <v>0</v>
      </c>
      <c r="D939" s="404" t="n">
        <v>1</v>
      </c>
      <c r="E939" s="404" t="n">
        <v>216</v>
      </c>
      <c r="F939" s="404">
        <f>ROUND(Source!AP930,O939)</f>
        <v/>
      </c>
      <c r="G939" s="404" t="inlineStr">
        <is>
          <t>Оборуд</t>
        </is>
      </c>
      <c r="H939" s="404" t="inlineStr">
        <is>
          <t>Стоимость оборудования (всего)</t>
        </is>
      </c>
      <c r="I939" s="404" t="n"/>
      <c r="J939" s="404" t="n"/>
      <c r="K939" s="404" t="n">
        <v>216</v>
      </c>
      <c r="L939" s="404" t="n">
        <v>8</v>
      </c>
      <c r="M939" s="404" t="n">
        <v>3</v>
      </c>
      <c r="N939" s="404" t="inlineStr"/>
      <c r="O939" s="404" t="n">
        <v>0</v>
      </c>
      <c r="P939" s="404" t="n"/>
      <c r="Q939" s="404" t="n"/>
      <c r="R939" s="404" t="n"/>
      <c r="S939" s="404" t="n"/>
      <c r="T939" s="404" t="n"/>
      <c r="U939" s="404" t="n"/>
      <c r="V939" s="404" t="n"/>
      <c r="W939" s="404" t="n">
        <v>0</v>
      </c>
      <c r="X939" s="404" t="n">
        <v>1</v>
      </c>
      <c r="Y939" s="404" t="n">
        <v>0</v>
      </c>
      <c r="Z939" s="404" t="n"/>
      <c r="AA939" s="404" t="n"/>
      <c r="AB939" s="404" t="n"/>
    </row>
    <row r="940">
      <c r="A940" s="404" t="n">
        <v>50</v>
      </c>
      <c r="B940" s="404" t="n">
        <v>0</v>
      </c>
      <c r="C940" s="404" t="n">
        <v>0</v>
      </c>
      <c r="D940" s="404" t="n">
        <v>1</v>
      </c>
      <c r="E940" s="404" t="n">
        <v>223</v>
      </c>
      <c r="F940" s="404">
        <f>ROUND(Source!AQ930,O940)</f>
        <v/>
      </c>
      <c r="G940" s="404" t="inlineStr">
        <is>
          <t>ОборудЗак</t>
        </is>
      </c>
      <c r="H940" s="404" t="inlineStr">
        <is>
          <t>Стоимость оборудования заказчика</t>
        </is>
      </c>
      <c r="I940" s="404" t="n"/>
      <c r="J940" s="404" t="n"/>
      <c r="K940" s="404" t="n">
        <v>223</v>
      </c>
      <c r="L940" s="404" t="n">
        <v>9</v>
      </c>
      <c r="M940" s="404" t="n">
        <v>3</v>
      </c>
      <c r="N940" s="404" t="inlineStr"/>
      <c r="O940" s="404" t="n">
        <v>0</v>
      </c>
      <c r="P940" s="404" t="n"/>
      <c r="Q940" s="404" t="n"/>
      <c r="R940" s="404" t="n"/>
      <c r="S940" s="404" t="n"/>
      <c r="T940" s="404" t="n"/>
      <c r="U940" s="404" t="n"/>
      <c r="V940" s="404" t="n"/>
      <c r="W940" s="404" t="n">
        <v>0</v>
      </c>
      <c r="X940" s="404" t="n">
        <v>1</v>
      </c>
      <c r="Y940" s="404" t="n">
        <v>0</v>
      </c>
      <c r="Z940" s="404" t="n"/>
      <c r="AA940" s="404" t="n"/>
      <c r="AB940" s="404" t="n"/>
    </row>
    <row r="941">
      <c r="A941" s="404" t="n">
        <v>50</v>
      </c>
      <c r="B941" s="404" t="n">
        <v>0</v>
      </c>
      <c r="C941" s="404" t="n">
        <v>0</v>
      </c>
      <c r="D941" s="404" t="n">
        <v>1</v>
      </c>
      <c r="E941" s="404" t="n">
        <v>229</v>
      </c>
      <c r="F941" s="404">
        <f>ROUND(Source!AZ930,O941)</f>
        <v/>
      </c>
      <c r="G941" s="404" t="inlineStr">
        <is>
          <t>ОборудПод</t>
        </is>
      </c>
      <c r="H941" s="404" t="inlineStr">
        <is>
          <t>Стоимость оборудования подрядчика</t>
        </is>
      </c>
      <c r="I941" s="404" t="n"/>
      <c r="J941" s="404" t="n"/>
      <c r="K941" s="404" t="n">
        <v>229</v>
      </c>
      <c r="L941" s="404" t="n">
        <v>10</v>
      </c>
      <c r="M941" s="404" t="n">
        <v>3</v>
      </c>
      <c r="N941" s="404" t="inlineStr"/>
      <c r="O941" s="404" t="n">
        <v>0</v>
      </c>
      <c r="P941" s="404" t="n"/>
      <c r="Q941" s="404" t="n"/>
      <c r="R941" s="404" t="n"/>
      <c r="S941" s="404" t="n"/>
      <c r="T941" s="404" t="n"/>
      <c r="U941" s="404" t="n"/>
      <c r="V941" s="404" t="n"/>
      <c r="W941" s="404" t="n">
        <v>0</v>
      </c>
      <c r="X941" s="404" t="n">
        <v>1</v>
      </c>
      <c r="Y941" s="404" t="n">
        <v>0</v>
      </c>
      <c r="Z941" s="404" t="n"/>
      <c r="AA941" s="404" t="n"/>
      <c r="AB941" s="404" t="n"/>
    </row>
    <row r="942">
      <c r="A942" s="404" t="n">
        <v>50</v>
      </c>
      <c r="B942" s="404" t="n">
        <v>0</v>
      </c>
      <c r="C942" s="404" t="n">
        <v>0</v>
      </c>
      <c r="D942" s="404" t="n">
        <v>1</v>
      </c>
      <c r="E942" s="404" t="n">
        <v>203</v>
      </c>
      <c r="F942" s="404">
        <f>ROUND(Source!Q930,O942)</f>
        <v/>
      </c>
      <c r="G942" s="404" t="inlineStr">
        <is>
          <t>ЭММ</t>
        </is>
      </c>
      <c r="H942" s="404" t="inlineStr">
        <is>
          <t>Эксплуатация машин</t>
        </is>
      </c>
      <c r="I942" s="404" t="n"/>
      <c r="J942" s="404" t="n"/>
      <c r="K942" s="404" t="n">
        <v>203</v>
      </c>
      <c r="L942" s="404" t="n">
        <v>11</v>
      </c>
      <c r="M942" s="404" t="n">
        <v>3</v>
      </c>
      <c r="N942" s="404" t="inlineStr"/>
      <c r="O942" s="404" t="n">
        <v>0</v>
      </c>
      <c r="P942" s="404" t="n"/>
      <c r="Q942" s="404" t="n"/>
      <c r="R942" s="404" t="n"/>
      <c r="S942" s="404" t="n"/>
      <c r="T942" s="404" t="n"/>
      <c r="U942" s="404" t="n"/>
      <c r="V942" s="404" t="n"/>
      <c r="W942" s="404" t="n">
        <v>0</v>
      </c>
      <c r="X942" s="404" t="n">
        <v>1</v>
      </c>
      <c r="Y942" s="404" t="n">
        <v>0</v>
      </c>
      <c r="Z942" s="404" t="n"/>
      <c r="AA942" s="404" t="n"/>
      <c r="AB942" s="404" t="n"/>
    </row>
    <row r="943">
      <c r="A943" s="404" t="n">
        <v>50</v>
      </c>
      <c r="B943" s="404" t="n">
        <v>0</v>
      </c>
      <c r="C943" s="404" t="n">
        <v>0</v>
      </c>
      <c r="D943" s="404" t="n">
        <v>1</v>
      </c>
      <c r="E943" s="404" t="n">
        <v>231</v>
      </c>
      <c r="F943" s="404">
        <f>ROUND(Source!BB930,O943)</f>
        <v/>
      </c>
      <c r="G943" s="404" t="inlineStr">
        <is>
          <t>ЭММсНРиСП</t>
        </is>
      </c>
      <c r="H943" s="404" t="inlineStr">
        <is>
          <t>Эксплуатация машин по ТСН-2001.16</t>
        </is>
      </c>
      <c r="I943" s="404" t="n"/>
      <c r="J943" s="404" t="n"/>
      <c r="K943" s="404" t="n">
        <v>231</v>
      </c>
      <c r="L943" s="404" t="n">
        <v>12</v>
      </c>
      <c r="M943" s="404" t="n">
        <v>3</v>
      </c>
      <c r="N943" s="404" t="inlineStr"/>
      <c r="O943" s="404" t="n">
        <v>0</v>
      </c>
      <c r="P943" s="404" t="n"/>
      <c r="Q943" s="404" t="n"/>
      <c r="R943" s="404" t="n"/>
      <c r="S943" s="404" t="n"/>
      <c r="T943" s="404" t="n"/>
      <c r="U943" s="404" t="n"/>
      <c r="V943" s="404" t="n"/>
      <c r="W943" s="404" t="n">
        <v>0</v>
      </c>
      <c r="X943" s="404" t="n">
        <v>1</v>
      </c>
      <c r="Y943" s="404" t="n">
        <v>0</v>
      </c>
      <c r="Z943" s="404" t="n"/>
      <c r="AA943" s="404" t="n"/>
      <c r="AB943" s="404" t="n"/>
    </row>
    <row r="944">
      <c r="A944" s="404" t="n">
        <v>50</v>
      </c>
      <c r="B944" s="404" t="n">
        <v>0</v>
      </c>
      <c r="C944" s="404" t="n">
        <v>0</v>
      </c>
      <c r="D944" s="404" t="n">
        <v>1</v>
      </c>
      <c r="E944" s="404" t="n">
        <v>204</v>
      </c>
      <c r="F944" s="404">
        <f>ROUND(Source!R930,O944)</f>
        <v/>
      </c>
      <c r="G944" s="404" t="inlineStr">
        <is>
          <t>ЗПМ</t>
        </is>
      </c>
      <c r="H944" s="404" t="inlineStr">
        <is>
          <t>ЗП машинистов</t>
        </is>
      </c>
      <c r="I944" s="404" t="n"/>
      <c r="J944" s="404" t="n"/>
      <c r="K944" s="404" t="n">
        <v>204</v>
      </c>
      <c r="L944" s="404" t="n">
        <v>13</v>
      </c>
      <c r="M944" s="404" t="n">
        <v>3</v>
      </c>
      <c r="N944" s="404" t="inlineStr"/>
      <c r="O944" s="404" t="n">
        <v>0</v>
      </c>
      <c r="P944" s="404" t="n"/>
      <c r="Q944" s="404" t="n"/>
      <c r="R944" s="404" t="n"/>
      <c r="S944" s="404" t="n"/>
      <c r="T944" s="404" t="n"/>
      <c r="U944" s="404" t="n"/>
      <c r="V944" s="404" t="n"/>
      <c r="W944" s="404" t="n">
        <v>0</v>
      </c>
      <c r="X944" s="404" t="n">
        <v>1</v>
      </c>
      <c r="Y944" s="404" t="n">
        <v>0</v>
      </c>
      <c r="Z944" s="404" t="n"/>
      <c r="AA944" s="404" t="n"/>
      <c r="AB944" s="404" t="n"/>
    </row>
    <row r="945">
      <c r="A945" s="404" t="n">
        <v>50</v>
      </c>
      <c r="B945" s="404" t="n">
        <v>0</v>
      </c>
      <c r="C945" s="404" t="n">
        <v>0</v>
      </c>
      <c r="D945" s="404" t="n">
        <v>1</v>
      </c>
      <c r="E945" s="404" t="n">
        <v>205</v>
      </c>
      <c r="F945" s="404">
        <f>ROUND(Source!S930,O945)</f>
        <v/>
      </c>
      <c r="G945" s="404" t="inlineStr">
        <is>
          <t>ОЗП</t>
        </is>
      </c>
      <c r="H945" s="404" t="inlineStr">
        <is>
          <t>Основная ЗП рабочих</t>
        </is>
      </c>
      <c r="I945" s="404" t="n"/>
      <c r="J945" s="404" t="n"/>
      <c r="K945" s="404" t="n">
        <v>205</v>
      </c>
      <c r="L945" s="404" t="n">
        <v>14</v>
      </c>
      <c r="M945" s="404" t="n">
        <v>3</v>
      </c>
      <c r="N945" s="404" t="inlineStr"/>
      <c r="O945" s="404" t="n">
        <v>0</v>
      </c>
      <c r="P945" s="404" t="n"/>
      <c r="Q945" s="404" t="n"/>
      <c r="R945" s="404" t="n"/>
      <c r="S945" s="404" t="n"/>
      <c r="T945" s="404" t="n"/>
      <c r="U945" s="404" t="n"/>
      <c r="V945" s="404" t="n"/>
      <c r="W945" s="404" t="n">
        <v>0</v>
      </c>
      <c r="X945" s="404" t="n">
        <v>1</v>
      </c>
      <c r="Y945" s="404" t="n">
        <v>0</v>
      </c>
      <c r="Z945" s="404" t="n"/>
      <c r="AA945" s="404" t="n"/>
      <c r="AB945" s="404" t="n"/>
    </row>
    <row r="946">
      <c r="A946" s="404" t="n">
        <v>50</v>
      </c>
      <c r="B946" s="404" t="n">
        <v>0</v>
      </c>
      <c r="C946" s="404" t="n">
        <v>0</v>
      </c>
      <c r="D946" s="404" t="n">
        <v>1</v>
      </c>
      <c r="E946" s="404" t="n">
        <v>232</v>
      </c>
      <c r="F946" s="404">
        <f>ROUND(Source!BC930,O946)</f>
        <v/>
      </c>
      <c r="G946" s="404" t="inlineStr">
        <is>
          <t>ОЗПсНРиСП</t>
        </is>
      </c>
      <c r="H946" s="404" t="inlineStr">
        <is>
          <t>Основная ЗП рабочих по ТСН-2001.16</t>
        </is>
      </c>
      <c r="I946" s="404" t="n"/>
      <c r="J946" s="404" t="n"/>
      <c r="K946" s="404" t="n">
        <v>232</v>
      </c>
      <c r="L946" s="404" t="n">
        <v>15</v>
      </c>
      <c r="M946" s="404" t="n">
        <v>3</v>
      </c>
      <c r="N946" s="404" t="inlineStr"/>
      <c r="O946" s="404" t="n">
        <v>0</v>
      </c>
      <c r="P946" s="404" t="n"/>
      <c r="Q946" s="404" t="n"/>
      <c r="R946" s="404" t="n"/>
      <c r="S946" s="404" t="n"/>
      <c r="T946" s="404" t="n"/>
      <c r="U946" s="404" t="n"/>
      <c r="V946" s="404" t="n"/>
      <c r="W946" s="404" t="n">
        <v>0</v>
      </c>
      <c r="X946" s="404" t="n">
        <v>1</v>
      </c>
      <c r="Y946" s="404" t="n">
        <v>0</v>
      </c>
      <c r="Z946" s="404" t="n"/>
      <c r="AA946" s="404" t="n"/>
      <c r="AB946" s="404" t="n"/>
    </row>
    <row r="947">
      <c r="A947" s="404" t="n">
        <v>50</v>
      </c>
      <c r="B947" s="404" t="n">
        <v>0</v>
      </c>
      <c r="C947" s="404" t="n">
        <v>0</v>
      </c>
      <c r="D947" s="404" t="n">
        <v>1</v>
      </c>
      <c r="E947" s="404" t="n">
        <v>214</v>
      </c>
      <c r="F947" s="404">
        <f>ROUND(Source!AS930,O947)</f>
        <v/>
      </c>
      <c r="G947" s="404" t="inlineStr">
        <is>
          <t>Строит</t>
        </is>
      </c>
      <c r="H947" s="404" t="inlineStr">
        <is>
          <t>Строительные работы с НР и СП</t>
        </is>
      </c>
      <c r="I947" s="404" t="n"/>
      <c r="J947" s="404" t="n"/>
      <c r="K947" s="404" t="n">
        <v>214</v>
      </c>
      <c r="L947" s="404" t="n">
        <v>16</v>
      </c>
      <c r="M947" s="404" t="n">
        <v>3</v>
      </c>
      <c r="N947" s="404" t="inlineStr"/>
      <c r="O947" s="404" t="n">
        <v>0</v>
      </c>
      <c r="P947" s="404" t="n"/>
      <c r="Q947" s="404" t="n"/>
      <c r="R947" s="404" t="n"/>
      <c r="S947" s="404" t="n"/>
      <c r="T947" s="404" t="n"/>
      <c r="U947" s="404" t="n"/>
      <c r="V947" s="404" t="n"/>
      <c r="W947" s="404" t="n">
        <v>0</v>
      </c>
      <c r="X947" s="404" t="n">
        <v>1</v>
      </c>
      <c r="Y947" s="404" t="n">
        <v>0</v>
      </c>
      <c r="Z947" s="404" t="n"/>
      <c r="AA947" s="404" t="n"/>
      <c r="AB947" s="404" t="n"/>
    </row>
    <row r="948">
      <c r="A948" s="404" t="n">
        <v>50</v>
      </c>
      <c r="B948" s="404" t="n">
        <v>0</v>
      </c>
      <c r="C948" s="404" t="n">
        <v>0</v>
      </c>
      <c r="D948" s="404" t="n">
        <v>1</v>
      </c>
      <c r="E948" s="404" t="n">
        <v>215</v>
      </c>
      <c r="F948" s="404">
        <f>ROUND(Source!AT930,O948)</f>
        <v/>
      </c>
      <c r="G948" s="404" t="inlineStr">
        <is>
          <t>Монтаж</t>
        </is>
      </c>
      <c r="H948" s="404" t="inlineStr">
        <is>
          <t>Монтажные работы с НР и СП</t>
        </is>
      </c>
      <c r="I948" s="404" t="n"/>
      <c r="J948" s="404" t="n"/>
      <c r="K948" s="404" t="n">
        <v>215</v>
      </c>
      <c r="L948" s="404" t="n">
        <v>17</v>
      </c>
      <c r="M948" s="404" t="n">
        <v>3</v>
      </c>
      <c r="N948" s="404" t="inlineStr"/>
      <c r="O948" s="404" t="n">
        <v>0</v>
      </c>
      <c r="P948" s="404" t="n"/>
      <c r="Q948" s="404" t="n"/>
      <c r="R948" s="404" t="n"/>
      <c r="S948" s="404" t="n"/>
      <c r="T948" s="404" t="n"/>
      <c r="U948" s="404" t="n"/>
      <c r="V948" s="404" t="n"/>
      <c r="W948" s="404" t="n">
        <v>0</v>
      </c>
      <c r="X948" s="404" t="n">
        <v>1</v>
      </c>
      <c r="Y948" s="404" t="n">
        <v>0</v>
      </c>
      <c r="Z948" s="404" t="n"/>
      <c r="AA948" s="404" t="n"/>
      <c r="AB948" s="404" t="n"/>
    </row>
    <row r="949">
      <c r="A949" s="404" t="n">
        <v>50</v>
      </c>
      <c r="B949" s="404" t="n">
        <v>0</v>
      </c>
      <c r="C949" s="404" t="n">
        <v>0</v>
      </c>
      <c r="D949" s="404" t="n">
        <v>1</v>
      </c>
      <c r="E949" s="404" t="n">
        <v>217</v>
      </c>
      <c r="F949" s="404">
        <f>ROUND(Source!AU930,O949)</f>
        <v/>
      </c>
      <c r="G949" s="404" t="inlineStr">
        <is>
          <t>Прочие</t>
        </is>
      </c>
      <c r="H949" s="404" t="inlineStr">
        <is>
          <t>Прочие работы с НР и СП</t>
        </is>
      </c>
      <c r="I949" s="404" t="n"/>
      <c r="J949" s="404" t="n"/>
      <c r="K949" s="404" t="n">
        <v>217</v>
      </c>
      <c r="L949" s="404" t="n">
        <v>18</v>
      </c>
      <c r="M949" s="404" t="n">
        <v>3</v>
      </c>
      <c r="N949" s="404" t="inlineStr"/>
      <c r="O949" s="404" t="n">
        <v>0</v>
      </c>
      <c r="P949" s="404" t="n"/>
      <c r="Q949" s="404" t="n"/>
      <c r="R949" s="404" t="n"/>
      <c r="S949" s="404" t="n"/>
      <c r="T949" s="404" t="n"/>
      <c r="U949" s="404" t="n"/>
      <c r="V949" s="404" t="n"/>
      <c r="W949" s="404" t="n">
        <v>0</v>
      </c>
      <c r="X949" s="404" t="n">
        <v>1</v>
      </c>
      <c r="Y949" s="404" t="n">
        <v>0</v>
      </c>
      <c r="Z949" s="404" t="n"/>
      <c r="AA949" s="404" t="n"/>
      <c r="AB949" s="404" t="n"/>
    </row>
    <row r="950">
      <c r="A950" s="404" t="n">
        <v>50</v>
      </c>
      <c r="B950" s="404" t="n">
        <v>0</v>
      </c>
      <c r="C950" s="404" t="n">
        <v>0</v>
      </c>
      <c r="D950" s="404" t="n">
        <v>1</v>
      </c>
      <c r="E950" s="404" t="n">
        <v>230</v>
      </c>
      <c r="F950" s="404">
        <f>ROUND(Source!BA930,O950)</f>
        <v/>
      </c>
      <c r="G950" s="404" t="inlineStr">
        <is>
          <t>ПрочиеЗатр</t>
        </is>
      </c>
      <c r="H950" s="404" t="inlineStr">
        <is>
          <t>Прочие затраты по ТСН-2001.16</t>
        </is>
      </c>
      <c r="I950" s="404" t="n"/>
      <c r="J950" s="404" t="n"/>
      <c r="K950" s="404" t="n">
        <v>230</v>
      </c>
      <c r="L950" s="404" t="n">
        <v>19</v>
      </c>
      <c r="M950" s="404" t="n">
        <v>3</v>
      </c>
      <c r="N950" s="404" t="inlineStr"/>
      <c r="O950" s="404" t="n">
        <v>0</v>
      </c>
      <c r="P950" s="404" t="n"/>
      <c r="Q950" s="404" t="n"/>
      <c r="R950" s="404" t="n"/>
      <c r="S950" s="404" t="n"/>
      <c r="T950" s="404" t="n"/>
      <c r="U950" s="404" t="n"/>
      <c r="V950" s="404" t="n"/>
      <c r="W950" s="404" t="n">
        <v>0</v>
      </c>
      <c r="X950" s="404" t="n">
        <v>1</v>
      </c>
      <c r="Y950" s="404" t="n">
        <v>0</v>
      </c>
      <c r="Z950" s="404" t="n"/>
      <c r="AA950" s="404" t="n"/>
      <c r="AB950" s="404" t="n"/>
    </row>
    <row r="951">
      <c r="A951" s="404" t="n">
        <v>50</v>
      </c>
      <c r="B951" s="404" t="n">
        <v>0</v>
      </c>
      <c r="C951" s="404" t="n">
        <v>0</v>
      </c>
      <c r="D951" s="404" t="n">
        <v>1</v>
      </c>
      <c r="E951" s="404" t="n">
        <v>206</v>
      </c>
      <c r="F951" s="404">
        <f>ROUND(Source!T930,O951)</f>
        <v/>
      </c>
      <c r="G951" s="404" t="inlineStr">
        <is>
          <t>ВозврМат</t>
        </is>
      </c>
      <c r="H951" s="404" t="inlineStr">
        <is>
          <t>Возврат материалов</t>
        </is>
      </c>
      <c r="I951" s="404" t="n"/>
      <c r="J951" s="404" t="n"/>
      <c r="K951" s="404" t="n">
        <v>206</v>
      </c>
      <c r="L951" s="404" t="n">
        <v>20</v>
      </c>
      <c r="M951" s="404" t="n">
        <v>3</v>
      </c>
      <c r="N951" s="404" t="inlineStr"/>
      <c r="O951" s="404" t="n">
        <v>0</v>
      </c>
      <c r="P951" s="404" t="n"/>
      <c r="Q951" s="404" t="n"/>
      <c r="R951" s="404" t="n"/>
      <c r="S951" s="404" t="n"/>
      <c r="T951" s="404" t="n"/>
      <c r="U951" s="404" t="n"/>
      <c r="V951" s="404" t="n"/>
      <c r="W951" s="404" t="n">
        <v>0</v>
      </c>
      <c r="X951" s="404" t="n">
        <v>1</v>
      </c>
      <c r="Y951" s="404" t="n">
        <v>0</v>
      </c>
      <c r="Z951" s="404" t="n"/>
      <c r="AA951" s="404" t="n"/>
      <c r="AB951" s="404" t="n"/>
    </row>
    <row r="952">
      <c r="A952" s="404" t="n">
        <v>50</v>
      </c>
      <c r="B952" s="404" t="n">
        <v>0</v>
      </c>
      <c r="C952" s="404" t="n">
        <v>0</v>
      </c>
      <c r="D952" s="404" t="n">
        <v>1</v>
      </c>
      <c r="E952" s="404" t="n">
        <v>207</v>
      </c>
      <c r="F952" s="404">
        <f>ROUND(Source!U930,O952)</f>
        <v/>
      </c>
      <c r="G952" s="404" t="inlineStr">
        <is>
          <t>ТрудСтр</t>
        </is>
      </c>
      <c r="H952" s="404" t="inlineStr">
        <is>
          <t>Трудозатраты строителей</t>
        </is>
      </c>
      <c r="I952" s="404" t="n"/>
      <c r="J952" s="404" t="n"/>
      <c r="K952" s="404" t="n">
        <v>207</v>
      </c>
      <c r="L952" s="404" t="n">
        <v>21</v>
      </c>
      <c r="M952" s="404" t="n">
        <v>3</v>
      </c>
      <c r="N952" s="404" t="inlineStr"/>
      <c r="O952" s="404" t="n">
        <v>7</v>
      </c>
      <c r="P952" s="404" t="n"/>
      <c r="Q952" s="404" t="n"/>
      <c r="R952" s="404" t="n"/>
      <c r="S952" s="404" t="n"/>
      <c r="T952" s="404" t="n"/>
      <c r="U952" s="404" t="n"/>
      <c r="V952" s="404" t="n"/>
      <c r="W952" s="404" t="n">
        <v>0</v>
      </c>
      <c r="X952" s="404" t="n">
        <v>1</v>
      </c>
      <c r="Y952" s="404" t="n">
        <v>0</v>
      </c>
      <c r="Z952" s="404" t="n"/>
      <c r="AA952" s="404" t="n"/>
      <c r="AB952" s="404" t="n"/>
    </row>
    <row r="953">
      <c r="A953" s="404" t="n">
        <v>50</v>
      </c>
      <c r="B953" s="404" t="n">
        <v>0</v>
      </c>
      <c r="C953" s="404" t="n">
        <v>0</v>
      </c>
      <c r="D953" s="404" t="n">
        <v>1</v>
      </c>
      <c r="E953" s="404" t="n">
        <v>208</v>
      </c>
      <c r="F953" s="404">
        <f>ROUND(Source!V930,O953)</f>
        <v/>
      </c>
      <c r="G953" s="404" t="inlineStr">
        <is>
          <t>ТрудМаш</t>
        </is>
      </c>
      <c r="H953" s="404" t="inlineStr">
        <is>
          <t>Трудозатраты машинистов</t>
        </is>
      </c>
      <c r="I953" s="404" t="n"/>
      <c r="J953" s="404" t="n"/>
      <c r="K953" s="404" t="n">
        <v>208</v>
      </c>
      <c r="L953" s="404" t="n">
        <v>22</v>
      </c>
      <c r="M953" s="404" t="n">
        <v>3</v>
      </c>
      <c r="N953" s="404" t="inlineStr"/>
      <c r="O953" s="404" t="n">
        <v>7</v>
      </c>
      <c r="P953" s="404" t="n"/>
      <c r="Q953" s="404" t="n"/>
      <c r="R953" s="404" t="n"/>
      <c r="S953" s="404" t="n"/>
      <c r="T953" s="404" t="n"/>
      <c r="U953" s="404" t="n"/>
      <c r="V953" s="404" t="n"/>
      <c r="W953" s="404" t="n">
        <v>0</v>
      </c>
      <c r="X953" s="404" t="n">
        <v>1</v>
      </c>
      <c r="Y953" s="404" t="n">
        <v>0</v>
      </c>
      <c r="Z953" s="404" t="n"/>
      <c r="AA953" s="404" t="n"/>
      <c r="AB953" s="404" t="n"/>
    </row>
    <row r="954">
      <c r="A954" s="404" t="n">
        <v>50</v>
      </c>
      <c r="B954" s="404" t="n">
        <v>0</v>
      </c>
      <c r="C954" s="404" t="n">
        <v>0</v>
      </c>
      <c r="D954" s="404" t="n">
        <v>1</v>
      </c>
      <c r="E954" s="404" t="n">
        <v>209</v>
      </c>
      <c r="F954" s="404">
        <f>ROUND(Source!W930,O954)</f>
        <v/>
      </c>
      <c r="G954" s="404" t="inlineStr">
        <is>
          <t>ТранспМат</t>
        </is>
      </c>
      <c r="H954" s="404" t="inlineStr">
        <is>
          <t>Транспорт материалов</t>
        </is>
      </c>
      <c r="I954" s="404" t="n"/>
      <c r="J954" s="404" t="n"/>
      <c r="K954" s="404" t="n">
        <v>209</v>
      </c>
      <c r="L954" s="404" t="n">
        <v>23</v>
      </c>
      <c r="M954" s="404" t="n">
        <v>3</v>
      </c>
      <c r="N954" s="404" t="inlineStr"/>
      <c r="O954" s="404" t="n">
        <v>0</v>
      </c>
      <c r="P954" s="404" t="n"/>
      <c r="Q954" s="404" t="n"/>
      <c r="R954" s="404" t="n"/>
      <c r="S954" s="404" t="n"/>
      <c r="T954" s="404" t="n"/>
      <c r="U954" s="404" t="n"/>
      <c r="V954" s="404" t="n"/>
      <c r="W954" s="404" t="n">
        <v>0</v>
      </c>
      <c r="X954" s="404" t="n">
        <v>1</v>
      </c>
      <c r="Y954" s="404" t="n">
        <v>0</v>
      </c>
      <c r="Z954" s="404" t="n"/>
      <c r="AA954" s="404" t="n"/>
      <c r="AB954" s="404" t="n"/>
    </row>
    <row r="955">
      <c r="A955" s="404" t="n">
        <v>50</v>
      </c>
      <c r="B955" s="404" t="n">
        <v>0</v>
      </c>
      <c r="C955" s="404" t="n">
        <v>0</v>
      </c>
      <c r="D955" s="404" t="n">
        <v>1</v>
      </c>
      <c r="E955" s="404" t="n">
        <v>233</v>
      </c>
      <c r="F955" s="404">
        <f>ROUND(Source!BD930,O955)</f>
        <v/>
      </c>
      <c r="G955" s="404" t="inlineStr">
        <is>
          <t>Перевозка</t>
        </is>
      </c>
      <c r="H955" s="404" t="inlineStr">
        <is>
          <t>Перевозка грузов</t>
        </is>
      </c>
      <c r="I955" s="404" t="n"/>
      <c r="J955" s="404" t="n"/>
      <c r="K955" s="404" t="n">
        <v>233</v>
      </c>
      <c r="L955" s="404" t="n">
        <v>24</v>
      </c>
      <c r="M955" s="404" t="n">
        <v>3</v>
      </c>
      <c r="N955" s="404" t="inlineStr"/>
      <c r="O955" s="404" t="n">
        <v>0</v>
      </c>
      <c r="P955" s="404" t="n"/>
      <c r="Q955" s="404" t="n"/>
      <c r="R955" s="404" t="n"/>
      <c r="S955" s="404" t="n"/>
      <c r="T955" s="404" t="n"/>
      <c r="U955" s="404" t="n"/>
      <c r="V955" s="404" t="n"/>
      <c r="W955" s="404" t="n">
        <v>0</v>
      </c>
      <c r="X955" s="404" t="n">
        <v>1</v>
      </c>
      <c r="Y955" s="404" t="n">
        <v>0</v>
      </c>
      <c r="Z955" s="404" t="n"/>
      <c r="AA955" s="404" t="n"/>
      <c r="AB955" s="404" t="n"/>
    </row>
    <row r="956">
      <c r="A956" s="404" t="n">
        <v>50</v>
      </c>
      <c r="B956" s="404" t="n">
        <v>0</v>
      </c>
      <c r="C956" s="404" t="n">
        <v>0</v>
      </c>
      <c r="D956" s="404" t="n">
        <v>1</v>
      </c>
      <c r="E956" s="404" t="n">
        <v>210</v>
      </c>
      <c r="F956" s="404">
        <f>ROUND(Source!X930,O956)</f>
        <v/>
      </c>
      <c r="G956" s="404" t="inlineStr">
        <is>
          <t>НР</t>
        </is>
      </c>
      <c r="H956" s="404" t="inlineStr">
        <is>
          <t>Накладные расходы</t>
        </is>
      </c>
      <c r="I956" s="404" t="n"/>
      <c r="J956" s="404" t="n"/>
      <c r="K956" s="404" t="n">
        <v>210</v>
      </c>
      <c r="L956" s="404" t="n">
        <v>25</v>
      </c>
      <c r="M956" s="404" t="n">
        <v>3</v>
      </c>
      <c r="N956" s="404" t="inlineStr"/>
      <c r="O956" s="404" t="n">
        <v>0</v>
      </c>
      <c r="P956" s="404" t="n"/>
      <c r="Q956" s="404" t="n"/>
      <c r="R956" s="404" t="n"/>
      <c r="S956" s="404" t="n"/>
      <c r="T956" s="404" t="n"/>
      <c r="U956" s="404" t="n"/>
      <c r="V956" s="404" t="n"/>
      <c r="W956" s="404" t="n">
        <v>0</v>
      </c>
      <c r="X956" s="404" t="n">
        <v>1</v>
      </c>
      <c r="Y956" s="404" t="n">
        <v>0</v>
      </c>
      <c r="Z956" s="404" t="n"/>
      <c r="AA956" s="404" t="n"/>
      <c r="AB956" s="404" t="n"/>
    </row>
    <row r="957">
      <c r="A957" s="404" t="n">
        <v>50</v>
      </c>
      <c r="B957" s="404" t="n">
        <v>0</v>
      </c>
      <c r="C957" s="404" t="n">
        <v>0</v>
      </c>
      <c r="D957" s="404" t="n">
        <v>1</v>
      </c>
      <c r="E957" s="404" t="n">
        <v>211</v>
      </c>
      <c r="F957" s="404">
        <f>ROUND(Source!Y930,O957)</f>
        <v/>
      </c>
      <c r="G957" s="404" t="inlineStr">
        <is>
          <t>СмПриб</t>
        </is>
      </c>
      <c r="H957" s="404" t="inlineStr">
        <is>
          <t>Сметная прибыль</t>
        </is>
      </c>
      <c r="I957" s="404" t="n"/>
      <c r="J957" s="404" t="n"/>
      <c r="K957" s="404" t="n">
        <v>211</v>
      </c>
      <c r="L957" s="404" t="n">
        <v>26</v>
      </c>
      <c r="M957" s="404" t="n">
        <v>3</v>
      </c>
      <c r="N957" s="404" t="inlineStr"/>
      <c r="O957" s="404" t="n">
        <v>0</v>
      </c>
      <c r="P957" s="404" t="n"/>
      <c r="Q957" s="404" t="n"/>
      <c r="R957" s="404" t="n"/>
      <c r="S957" s="404" t="n"/>
      <c r="T957" s="404" t="n"/>
      <c r="U957" s="404" t="n"/>
      <c r="V957" s="404" t="n"/>
      <c r="W957" s="404" t="n">
        <v>0</v>
      </c>
      <c r="X957" s="404" t="n">
        <v>1</v>
      </c>
      <c r="Y957" s="404" t="n">
        <v>0</v>
      </c>
      <c r="Z957" s="404" t="n"/>
      <c r="AA957" s="404" t="n"/>
      <c r="AB957" s="404" t="n"/>
    </row>
    <row r="958">
      <c r="A958" s="404" t="n">
        <v>50</v>
      </c>
      <c r="B958" s="404" t="n">
        <v>0</v>
      </c>
      <c r="C958" s="404" t="n">
        <v>0</v>
      </c>
      <c r="D958" s="404" t="n">
        <v>1</v>
      </c>
      <c r="E958" s="404" t="n">
        <v>224</v>
      </c>
      <c r="F958" s="404">
        <f>ROUND(Source!AR930,O958)</f>
        <v/>
      </c>
      <c r="G958" s="404" t="inlineStr">
        <is>
          <t>Всего</t>
        </is>
      </c>
      <c r="H958" s="404" t="inlineStr">
        <is>
          <t>Всего с НР и СП</t>
        </is>
      </c>
      <c r="I958" s="404" t="n"/>
      <c r="J958" s="404" t="n"/>
      <c r="K958" s="404" t="n">
        <v>224</v>
      </c>
      <c r="L958" s="404" t="n">
        <v>27</v>
      </c>
      <c r="M958" s="404" t="n">
        <v>3</v>
      </c>
      <c r="N958" s="404" t="inlineStr"/>
      <c r="O958" s="404" t="n">
        <v>0</v>
      </c>
      <c r="P958" s="404" t="n"/>
      <c r="Q958" s="404" t="n"/>
      <c r="R958" s="404" t="n"/>
      <c r="S958" s="404" t="n"/>
      <c r="T958" s="404" t="n"/>
      <c r="U958" s="404" t="n"/>
      <c r="V958" s="404" t="n"/>
      <c r="W958" s="404" t="n">
        <v>0</v>
      </c>
      <c r="X958" s="404" t="n">
        <v>1</v>
      </c>
      <c r="Y958" s="404" t="n">
        <v>0</v>
      </c>
      <c r="Z958" s="404" t="n"/>
      <c r="AA958" s="404" t="n"/>
      <c r="AB958" s="404" t="n"/>
    </row>
    <row r="959">
      <c r="A959" s="404" t="n">
        <v>50</v>
      </c>
      <c r="B959" s="404" t="n">
        <v>0</v>
      </c>
      <c r="C959" s="404" t="n">
        <v>0</v>
      </c>
      <c r="D959" s="404" t="n">
        <v>2</v>
      </c>
      <c r="E959" s="404" t="n">
        <v>0</v>
      </c>
      <c r="F959" s="404">
        <f>ROUND(F958,O959)</f>
        <v/>
      </c>
      <c r="G959" s="404" t="inlineStr">
        <is>
          <t>и1</t>
        </is>
      </c>
      <c r="H959" s="404" t="inlineStr">
        <is>
          <t>Итого</t>
        </is>
      </c>
      <c r="I959" s="404" t="n"/>
      <c r="J959" s="404" t="n"/>
      <c r="K959" s="404" t="n">
        <v>212</v>
      </c>
      <c r="L959" s="404" t="n">
        <v>28</v>
      </c>
      <c r="M959" s="404" t="n">
        <v>0</v>
      </c>
      <c r="N959" s="404" t="inlineStr"/>
      <c r="O959" s="404" t="n">
        <v>0</v>
      </c>
      <c r="P959" s="404" t="n"/>
      <c r="Q959" s="404" t="n"/>
      <c r="R959" s="404" t="n"/>
      <c r="S959" s="404" t="n"/>
      <c r="T959" s="404" t="n"/>
      <c r="U959" s="404" t="n"/>
      <c r="V959" s="404" t="n"/>
      <c r="W959" s="404" t="n">
        <v>0</v>
      </c>
      <c r="X959" s="404" t="n">
        <v>1</v>
      </c>
      <c r="Y959" s="404" t="n">
        <v>0</v>
      </c>
      <c r="Z959" s="404" t="n"/>
      <c r="AA959" s="404" t="n"/>
      <c r="AB959" s="404" t="n"/>
    </row>
    <row r="960">
      <c r="A960" s="404" t="n">
        <v>50</v>
      </c>
      <c r="B960" s="404" t="n">
        <v>0</v>
      </c>
      <c r="C960" s="404" t="n">
        <v>0</v>
      </c>
      <c r="D960" s="404" t="n">
        <v>2</v>
      </c>
      <c r="E960" s="404" t="n">
        <v>0</v>
      </c>
      <c r="F960" s="404">
        <f>ROUND(F959*0.22,O960)</f>
        <v/>
      </c>
      <c r="G960" s="404" t="inlineStr">
        <is>
          <t>и2</t>
        </is>
      </c>
      <c r="H960" s="404" t="inlineStr">
        <is>
          <t>НДС 22%</t>
        </is>
      </c>
      <c r="I960" s="404" t="n"/>
      <c r="J960" s="404" t="n"/>
      <c r="K960" s="404" t="n">
        <v>212</v>
      </c>
      <c r="L960" s="404" t="n">
        <v>29</v>
      </c>
      <c r="M960" s="404" t="n">
        <v>0</v>
      </c>
      <c r="N960" s="404" t="inlineStr"/>
      <c r="O960" s="404" t="n">
        <v>0</v>
      </c>
      <c r="P960" s="404" t="n"/>
      <c r="Q960" s="404" t="n"/>
      <c r="R960" s="404" t="n"/>
      <c r="S960" s="404" t="n"/>
      <c r="T960" s="404" t="n"/>
      <c r="U960" s="404" t="n"/>
      <c r="V960" s="404" t="n"/>
      <c r="W960" s="404" t="n">
        <v>0</v>
      </c>
      <c r="X960" s="404" t="n">
        <v>1</v>
      </c>
      <c r="Y960" s="404" t="n">
        <v>0</v>
      </c>
      <c r="Z960" s="404" t="n"/>
      <c r="AA960" s="404" t="n"/>
      <c r="AB960" s="404" t="n"/>
    </row>
    <row r="961">
      <c r="A961" s="404" t="n">
        <v>50</v>
      </c>
      <c r="B961" s="404" t="n">
        <v>0</v>
      </c>
      <c r="C961" s="404" t="n">
        <v>0</v>
      </c>
      <c r="D961" s="404" t="n">
        <v>2</v>
      </c>
      <c r="E961" s="404" t="n">
        <v>213</v>
      </c>
      <c r="F961" s="404">
        <f>ROUND(F959+F960,O961)</f>
        <v/>
      </c>
      <c r="G961" s="404" t="inlineStr">
        <is>
          <t>и3</t>
        </is>
      </c>
      <c r="H961" s="404" t="inlineStr">
        <is>
          <t>Всего</t>
        </is>
      </c>
      <c r="I961" s="404" t="n"/>
      <c r="J961" s="404" t="n"/>
      <c r="K961" s="404" t="n">
        <v>212</v>
      </c>
      <c r="L961" s="404" t="n">
        <v>30</v>
      </c>
      <c r="M961" s="404" t="n">
        <v>0</v>
      </c>
      <c r="N961" s="404" t="inlineStr"/>
      <c r="O961" s="404" t="n">
        <v>0</v>
      </c>
      <c r="P961" s="404" t="n"/>
      <c r="Q961" s="404" t="n"/>
      <c r="R961" s="404" t="n"/>
      <c r="S961" s="404" t="n"/>
      <c r="T961" s="404" t="n"/>
      <c r="U961" s="404" t="n"/>
      <c r="V961" s="404" t="n"/>
      <c r="W961" s="404" t="n">
        <v>0</v>
      </c>
      <c r="X961" s="404" t="n">
        <v>1</v>
      </c>
      <c r="Y961" s="404" t="n">
        <v>0</v>
      </c>
      <c r="Z961" s="404" t="n"/>
      <c r="AA961" s="404" t="n"/>
      <c r="AB961" s="404" t="n"/>
    </row>
    <row r="962"/>
    <row r="963">
      <c r="A963" s="401" t="n">
        <v>3</v>
      </c>
      <c r="B963" s="401" t="n">
        <v>0</v>
      </c>
      <c r="C963" s="401" t="n"/>
      <c r="D963" s="401">
        <f>ROW(A970)</f>
        <v/>
      </c>
      <c r="E963" s="401" t="n"/>
      <c r="F963" s="401" t="inlineStr">
        <is>
          <t>Новая локальная смета</t>
        </is>
      </c>
      <c r="G963" s="401" t="inlineStr">
        <is>
          <t>Еремино 1</t>
        </is>
      </c>
      <c r="H963" s="401" t="inlineStr"/>
      <c r="I963" s="401" t="n">
        <v>0</v>
      </c>
      <c r="J963" s="401" t="inlineStr"/>
      <c r="K963" s="401" t="n">
        <v>0</v>
      </c>
      <c r="L963" s="401" t="inlineStr">
        <is>
          <t>Новая локальная смета</t>
        </is>
      </c>
      <c r="M963" s="401" t="inlineStr"/>
      <c r="N963" s="401" t="n"/>
      <c r="O963" s="401" t="n"/>
      <c r="P963" s="401" t="n"/>
      <c r="Q963" s="401" t="n"/>
      <c r="R963" s="401" t="n"/>
      <c r="S963" s="401" t="n">
        <v>0</v>
      </c>
      <c r="T963" s="401" t="n"/>
      <c r="U963" s="401" t="inlineStr"/>
      <c r="V963" s="401" t="n">
        <v>0</v>
      </c>
      <c r="W963" s="401" t="n"/>
      <c r="X963" s="401" t="n"/>
      <c r="Y963" s="401" t="n"/>
      <c r="Z963" s="401" t="n"/>
      <c r="AA963" s="401" t="n"/>
      <c r="AB963" s="401" t="inlineStr"/>
      <c r="AC963" s="401" t="inlineStr"/>
      <c r="AD963" s="401" t="inlineStr"/>
      <c r="AE963" s="401" t="inlineStr"/>
      <c r="AF963" s="401" t="inlineStr"/>
      <c r="AG963" s="401" t="inlineStr"/>
      <c r="AH963" s="401" t="n"/>
      <c r="AI963" s="401" t="n"/>
      <c r="AJ963" s="401" t="n"/>
      <c r="AK963" s="401" t="n"/>
      <c r="AL963" s="401" t="n"/>
      <c r="AM963" s="401" t="n"/>
      <c r="AN963" s="401" t="n"/>
      <c r="AO963" s="401" t="n"/>
      <c r="AP963" s="401" t="inlineStr"/>
      <c r="AQ963" s="401" t="inlineStr"/>
      <c r="AR963" s="401" t="inlineStr"/>
      <c r="AS963" s="401" t="n"/>
      <c r="AT963" s="401" t="n"/>
      <c r="AU963" s="401" t="n"/>
      <c r="AV963" s="401" t="n"/>
      <c r="AW963" s="401" t="n"/>
      <c r="AX963" s="401" t="n"/>
      <c r="AY963" s="401" t="n"/>
      <c r="AZ963" s="401" t="inlineStr"/>
      <c r="BA963" s="401" t="n"/>
      <c r="BB963" s="401" t="inlineStr"/>
      <c r="BC963" s="401" t="inlineStr"/>
      <c r="BD963" s="401" t="inlineStr"/>
      <c r="BE963" s="401" t="inlineStr"/>
      <c r="BF963" s="401" t="inlineStr"/>
      <c r="BG963" s="401" t="inlineStr"/>
      <c r="BH963" s="401" t="inlineStr"/>
      <c r="BI963" s="401" t="inlineStr"/>
      <c r="BJ963" s="401" t="inlineStr"/>
      <c r="BK963" s="401" t="inlineStr"/>
      <c r="BL963" s="401" t="inlineStr"/>
      <c r="BM963" s="401" t="inlineStr"/>
      <c r="BN963" s="401" t="inlineStr"/>
      <c r="BO963" s="401" t="inlineStr"/>
      <c r="BP963" s="401" t="inlineStr"/>
      <c r="BQ963" s="401" t="n"/>
      <c r="BR963" s="401" t="n"/>
      <c r="BS963" s="401" t="n"/>
      <c r="BT963" s="401" t="n"/>
      <c r="BU963" s="401" t="n"/>
      <c r="BV963" s="401" t="n"/>
      <c r="BW963" s="401" t="n"/>
      <c r="BX963" s="401" t="n">
        <v>0</v>
      </c>
      <c r="BY963" s="401" t="n"/>
      <c r="BZ963" s="401" t="n"/>
      <c r="CA963" s="401" t="n"/>
      <c r="CB963" s="401" t="n"/>
      <c r="CC963" s="401" t="n"/>
      <c r="CD963" s="401" t="n"/>
      <c r="CE963" s="401" t="n"/>
      <c r="CF963" s="401" t="n">
        <v>0</v>
      </c>
      <c r="CG963" s="401" t="n">
        <v>0</v>
      </c>
      <c r="CH963" s="401" t="n"/>
      <c r="CI963" s="401" t="inlineStr"/>
      <c r="CJ963" s="401" t="inlineStr"/>
      <c r="CK963" t="inlineStr"/>
      <c r="CL963" t="inlineStr"/>
      <c r="CM963" t="inlineStr"/>
      <c r="CN963" t="inlineStr"/>
      <c r="CO963" t="inlineStr"/>
      <c r="CP963" t="inlineStr"/>
      <c r="CQ963" t="inlineStr"/>
    </row>
    <row r="964"/>
    <row r="965">
      <c r="A965" s="402" t="n">
        <v>52</v>
      </c>
      <c r="B965" s="402">
        <f>B970</f>
        <v/>
      </c>
      <c r="C965" s="402">
        <f>C970</f>
        <v/>
      </c>
      <c r="D965" s="402">
        <f>D970</f>
        <v/>
      </c>
      <c r="E965" s="402">
        <f>E970</f>
        <v/>
      </c>
      <c r="F965" s="402">
        <f>F970</f>
        <v/>
      </c>
      <c r="G965" s="402">
        <f>G970</f>
        <v/>
      </c>
      <c r="H965" s="402" t="n"/>
      <c r="I965" s="402" t="n"/>
      <c r="J965" s="402" t="n"/>
      <c r="K965" s="402" t="n"/>
      <c r="L965" s="402" t="n"/>
      <c r="M965" s="402" t="n"/>
      <c r="N965" s="402" t="n"/>
      <c r="O965" s="402">
        <f>O970</f>
        <v/>
      </c>
      <c r="P965" s="402">
        <f>P970</f>
        <v/>
      </c>
      <c r="Q965" s="402">
        <f>Q970</f>
        <v/>
      </c>
      <c r="R965" s="402">
        <f>R970</f>
        <v/>
      </c>
      <c r="S965" s="402">
        <f>S970</f>
        <v/>
      </c>
      <c r="T965" s="402">
        <f>T970</f>
        <v/>
      </c>
      <c r="U965" s="402">
        <f>U970</f>
        <v/>
      </c>
      <c r="V965" s="402">
        <f>V970</f>
        <v/>
      </c>
      <c r="W965" s="402">
        <f>W970</f>
        <v/>
      </c>
      <c r="X965" s="402">
        <f>X970</f>
        <v/>
      </c>
      <c r="Y965" s="402">
        <f>Y970</f>
        <v/>
      </c>
      <c r="Z965" s="402">
        <f>Z970</f>
        <v/>
      </c>
      <c r="AA965" s="402">
        <f>AA970</f>
        <v/>
      </c>
      <c r="AB965" s="402">
        <f>AB970</f>
        <v/>
      </c>
      <c r="AC965" s="402">
        <f>AC970</f>
        <v/>
      </c>
      <c r="AD965" s="402">
        <f>AD970</f>
        <v/>
      </c>
      <c r="AE965" s="402">
        <f>AE970</f>
        <v/>
      </c>
      <c r="AF965" s="402">
        <f>AF970</f>
        <v/>
      </c>
      <c r="AG965" s="402">
        <f>AG970</f>
        <v/>
      </c>
      <c r="AH965" s="402">
        <f>AH970</f>
        <v/>
      </c>
      <c r="AI965" s="402">
        <f>AI970</f>
        <v/>
      </c>
      <c r="AJ965" s="402">
        <f>AJ970</f>
        <v/>
      </c>
      <c r="AK965" s="402">
        <f>AK970</f>
        <v/>
      </c>
      <c r="AL965" s="402">
        <f>AL970</f>
        <v/>
      </c>
      <c r="AM965" s="402">
        <f>AM970</f>
        <v/>
      </c>
      <c r="AN965" s="402">
        <f>AN970</f>
        <v/>
      </c>
      <c r="AO965" s="402">
        <f>AO970</f>
        <v/>
      </c>
      <c r="AP965" s="402">
        <f>AP970</f>
        <v/>
      </c>
      <c r="AQ965" s="402">
        <f>AQ970</f>
        <v/>
      </c>
      <c r="AR965" s="402">
        <f>AR970</f>
        <v/>
      </c>
      <c r="AS965" s="402">
        <f>AS970</f>
        <v/>
      </c>
      <c r="AT965" s="402">
        <f>AT970</f>
        <v/>
      </c>
      <c r="AU965" s="402">
        <f>AU970</f>
        <v/>
      </c>
      <c r="AV965" s="402">
        <f>AV970</f>
        <v/>
      </c>
      <c r="AW965" s="402">
        <f>AW970</f>
        <v/>
      </c>
      <c r="AX965" s="402">
        <f>AX970</f>
        <v/>
      </c>
      <c r="AY965" s="402">
        <f>AY970</f>
        <v/>
      </c>
      <c r="AZ965" s="402">
        <f>AZ970</f>
        <v/>
      </c>
      <c r="BA965" s="402">
        <f>BA970</f>
        <v/>
      </c>
      <c r="BB965" s="402">
        <f>BB970</f>
        <v/>
      </c>
      <c r="BC965" s="402">
        <f>BC970</f>
        <v/>
      </c>
      <c r="BD965" s="402">
        <f>BD970</f>
        <v/>
      </c>
      <c r="BE965" s="402">
        <f>BE970</f>
        <v/>
      </c>
      <c r="BF965" s="402">
        <f>BF970</f>
        <v/>
      </c>
      <c r="BG965" s="402">
        <f>BG970</f>
        <v/>
      </c>
      <c r="BH965" s="402">
        <f>BH970</f>
        <v/>
      </c>
      <c r="BI965" s="402">
        <f>BI970</f>
        <v/>
      </c>
      <c r="BJ965" s="402">
        <f>BJ970</f>
        <v/>
      </c>
      <c r="BK965" s="402">
        <f>BK970</f>
        <v/>
      </c>
      <c r="BL965" s="402">
        <f>BL970</f>
        <v/>
      </c>
      <c r="BM965" s="402">
        <f>BM970</f>
        <v/>
      </c>
      <c r="BN965" s="402">
        <f>BN970</f>
        <v/>
      </c>
      <c r="BO965" s="402">
        <f>BO970</f>
        <v/>
      </c>
      <c r="BP965" s="402">
        <f>BP970</f>
        <v/>
      </c>
      <c r="BQ965" s="402">
        <f>BQ970</f>
        <v/>
      </c>
      <c r="BR965" s="402">
        <f>BR970</f>
        <v/>
      </c>
      <c r="BS965" s="402">
        <f>BS970</f>
        <v/>
      </c>
      <c r="BT965" s="402">
        <f>BT970</f>
        <v/>
      </c>
      <c r="BU965" s="402">
        <f>BU970</f>
        <v/>
      </c>
      <c r="BV965" s="402">
        <f>BV970</f>
        <v/>
      </c>
      <c r="BW965" s="402">
        <f>BW970</f>
        <v/>
      </c>
      <c r="BX965" s="402">
        <f>BX970</f>
        <v/>
      </c>
      <c r="BY965" s="402">
        <f>BY970</f>
        <v/>
      </c>
      <c r="BZ965" s="402">
        <f>BZ970</f>
        <v/>
      </c>
      <c r="CA965" s="402">
        <f>CA970</f>
        <v/>
      </c>
      <c r="CB965" s="402">
        <f>CB970</f>
        <v/>
      </c>
      <c r="CC965" s="402">
        <f>CC970</f>
        <v/>
      </c>
      <c r="CD965" s="402">
        <f>CD970</f>
        <v/>
      </c>
      <c r="CE965" s="402">
        <f>CE970</f>
        <v/>
      </c>
      <c r="CF965" s="402">
        <f>CF970</f>
        <v/>
      </c>
      <c r="CG965" s="402">
        <f>CG970</f>
        <v/>
      </c>
      <c r="CH965" s="402">
        <f>CH970</f>
        <v/>
      </c>
      <c r="CI965" s="402">
        <f>CI970</f>
        <v/>
      </c>
      <c r="CJ965" s="402">
        <f>CJ970</f>
        <v/>
      </c>
      <c r="CK965" s="402">
        <f>CK970</f>
        <v/>
      </c>
      <c r="CL965" s="402">
        <f>CL970</f>
        <v/>
      </c>
      <c r="CM965" s="402">
        <f>CM970</f>
        <v/>
      </c>
      <c r="CN965" s="402">
        <f>CN970</f>
        <v/>
      </c>
      <c r="CO965" s="402">
        <f>CO970</f>
        <v/>
      </c>
      <c r="CP965" s="402">
        <f>CP970</f>
        <v/>
      </c>
      <c r="CQ965" s="402">
        <f>CQ970</f>
        <v/>
      </c>
      <c r="CR965" s="402">
        <f>CR970</f>
        <v/>
      </c>
      <c r="CS965" s="402">
        <f>CS970</f>
        <v/>
      </c>
      <c r="CT965" s="402">
        <f>CT970</f>
        <v/>
      </c>
      <c r="CU965" s="402">
        <f>CU970</f>
        <v/>
      </c>
      <c r="CV965" s="402">
        <f>CV970</f>
        <v/>
      </c>
      <c r="CW965" s="402">
        <f>CW970</f>
        <v/>
      </c>
      <c r="CX965" s="402">
        <f>CX970</f>
        <v/>
      </c>
      <c r="CY965" s="402">
        <f>CY970</f>
        <v/>
      </c>
      <c r="CZ965" s="402">
        <f>CZ970</f>
        <v/>
      </c>
      <c r="DA965" s="402">
        <f>DA970</f>
        <v/>
      </c>
      <c r="DB965" s="402">
        <f>DB970</f>
        <v/>
      </c>
      <c r="DC965" s="402">
        <f>DC970</f>
        <v/>
      </c>
      <c r="DD965" s="402">
        <f>DD970</f>
        <v/>
      </c>
      <c r="DE965" s="402">
        <f>DE970</f>
        <v/>
      </c>
      <c r="DF965" s="402">
        <f>DF970</f>
        <v/>
      </c>
      <c r="DG965" s="403">
        <f>DG970</f>
        <v/>
      </c>
      <c r="DH965" s="403">
        <f>DH970</f>
        <v/>
      </c>
      <c r="DI965" s="403">
        <f>DI970</f>
        <v/>
      </c>
      <c r="DJ965" s="403">
        <f>DJ970</f>
        <v/>
      </c>
      <c r="DK965" s="403">
        <f>DK970</f>
        <v/>
      </c>
      <c r="DL965" s="403">
        <f>DL970</f>
        <v/>
      </c>
      <c r="DM965" s="403">
        <f>DM970</f>
        <v/>
      </c>
      <c r="DN965" s="403">
        <f>DN970</f>
        <v/>
      </c>
      <c r="DO965" s="403">
        <f>DO970</f>
        <v/>
      </c>
      <c r="DP965" s="403">
        <f>DP970</f>
        <v/>
      </c>
      <c r="DQ965" s="403">
        <f>DQ970</f>
        <v/>
      </c>
      <c r="DR965" s="403">
        <f>DR970</f>
        <v/>
      </c>
      <c r="DS965" s="403">
        <f>DS970</f>
        <v/>
      </c>
      <c r="DT965" s="403">
        <f>DT970</f>
        <v/>
      </c>
      <c r="DU965" s="403">
        <f>DU970</f>
        <v/>
      </c>
      <c r="DV965" s="403">
        <f>DV970</f>
        <v/>
      </c>
      <c r="DW965" s="403">
        <f>DW970</f>
        <v/>
      </c>
      <c r="DX965" s="403">
        <f>DX970</f>
        <v/>
      </c>
      <c r="DY965" s="403">
        <f>DY970</f>
        <v/>
      </c>
      <c r="DZ965" s="403">
        <f>DZ970</f>
        <v/>
      </c>
      <c r="EA965" s="403">
        <f>EA970</f>
        <v/>
      </c>
      <c r="EB965" s="403">
        <f>EB970</f>
        <v/>
      </c>
      <c r="EC965" s="403">
        <f>EC970</f>
        <v/>
      </c>
      <c r="ED965" s="403">
        <f>ED970</f>
        <v/>
      </c>
      <c r="EE965" s="403">
        <f>EE970</f>
        <v/>
      </c>
      <c r="EF965" s="403">
        <f>EF970</f>
        <v/>
      </c>
      <c r="EG965" s="403">
        <f>EG970</f>
        <v/>
      </c>
      <c r="EH965" s="403">
        <f>EH970</f>
        <v/>
      </c>
      <c r="EI965" s="403">
        <f>EI970</f>
        <v/>
      </c>
      <c r="EJ965" s="403">
        <f>EJ970</f>
        <v/>
      </c>
      <c r="EK965" s="403">
        <f>EK970</f>
        <v/>
      </c>
      <c r="EL965" s="403">
        <f>EL970</f>
        <v/>
      </c>
      <c r="EM965" s="403">
        <f>EM970</f>
        <v/>
      </c>
      <c r="EN965" s="403">
        <f>EN970</f>
        <v/>
      </c>
      <c r="EO965" s="403">
        <f>EO970</f>
        <v/>
      </c>
      <c r="EP965" s="403">
        <f>EP970</f>
        <v/>
      </c>
      <c r="EQ965" s="403">
        <f>EQ970</f>
        <v/>
      </c>
      <c r="ER965" s="403">
        <f>ER970</f>
        <v/>
      </c>
      <c r="ES965" s="403">
        <f>ES970</f>
        <v/>
      </c>
      <c r="ET965" s="403">
        <f>ET970</f>
        <v/>
      </c>
      <c r="EU965" s="403">
        <f>EU970</f>
        <v/>
      </c>
      <c r="EV965" s="403">
        <f>EV970</f>
        <v/>
      </c>
      <c r="EW965" s="403">
        <f>EW970</f>
        <v/>
      </c>
      <c r="EX965" s="403">
        <f>EX970</f>
        <v/>
      </c>
      <c r="EY965" s="403">
        <f>EY970</f>
        <v/>
      </c>
      <c r="EZ965" s="403">
        <f>EZ970</f>
        <v/>
      </c>
      <c r="FA965" s="403">
        <f>FA970</f>
        <v/>
      </c>
      <c r="FB965" s="403">
        <f>FB970</f>
        <v/>
      </c>
      <c r="FC965" s="403">
        <f>FC970</f>
        <v/>
      </c>
      <c r="FD965" s="403">
        <f>FD970</f>
        <v/>
      </c>
      <c r="FE965" s="403">
        <f>FE970</f>
        <v/>
      </c>
      <c r="FF965" s="403">
        <f>FF970</f>
        <v/>
      </c>
      <c r="FG965" s="403">
        <f>FG970</f>
        <v/>
      </c>
      <c r="FH965" s="403">
        <f>FH970</f>
        <v/>
      </c>
      <c r="FI965" s="403">
        <f>FI970</f>
        <v/>
      </c>
      <c r="FJ965" s="403">
        <f>FJ970</f>
        <v/>
      </c>
      <c r="FK965" s="403">
        <f>FK970</f>
        <v/>
      </c>
      <c r="FL965" s="403">
        <f>FL970</f>
        <v/>
      </c>
      <c r="FM965" s="403">
        <f>FM970</f>
        <v/>
      </c>
      <c r="FN965" s="403">
        <f>FN970</f>
        <v/>
      </c>
      <c r="FO965" s="403">
        <f>FO970</f>
        <v/>
      </c>
      <c r="FP965" s="403">
        <f>FP970</f>
        <v/>
      </c>
      <c r="FQ965" s="403">
        <f>FQ970</f>
        <v/>
      </c>
      <c r="FR965" s="403">
        <f>FR970</f>
        <v/>
      </c>
      <c r="FS965" s="403">
        <f>FS970</f>
        <v/>
      </c>
      <c r="FT965" s="403">
        <f>FT970</f>
        <v/>
      </c>
      <c r="FU965" s="403">
        <f>FU970</f>
        <v/>
      </c>
      <c r="FV965" s="403">
        <f>FV970</f>
        <v/>
      </c>
      <c r="FW965" s="403">
        <f>FW970</f>
        <v/>
      </c>
      <c r="FX965" s="403">
        <f>FX970</f>
        <v/>
      </c>
      <c r="FY965" s="403">
        <f>FY970</f>
        <v/>
      </c>
      <c r="FZ965" s="403">
        <f>FZ970</f>
        <v/>
      </c>
      <c r="GA965" s="403">
        <f>GA970</f>
        <v/>
      </c>
      <c r="GB965" s="403">
        <f>GB970</f>
        <v/>
      </c>
      <c r="GC965" s="403">
        <f>GC970</f>
        <v/>
      </c>
      <c r="GD965" s="403">
        <f>GD970</f>
        <v/>
      </c>
      <c r="GE965" s="403">
        <f>GE970</f>
        <v/>
      </c>
      <c r="GF965" s="403">
        <f>GF970</f>
        <v/>
      </c>
      <c r="GG965" s="403">
        <f>GG970</f>
        <v/>
      </c>
      <c r="GH965" s="403">
        <f>GH970</f>
        <v/>
      </c>
      <c r="GI965" s="403">
        <f>GI970</f>
        <v/>
      </c>
      <c r="GJ965" s="403">
        <f>GJ970</f>
        <v/>
      </c>
      <c r="GK965" s="403">
        <f>GK970</f>
        <v/>
      </c>
      <c r="GL965" s="403">
        <f>GL970</f>
        <v/>
      </c>
      <c r="GM965" s="403">
        <f>GM970</f>
        <v/>
      </c>
      <c r="GN965" s="403">
        <f>GN970</f>
        <v/>
      </c>
      <c r="GO965" s="403">
        <f>GO970</f>
        <v/>
      </c>
      <c r="GP965" s="403">
        <f>GP970</f>
        <v/>
      </c>
      <c r="GQ965" s="403">
        <f>GQ970</f>
        <v/>
      </c>
      <c r="GR965" s="403">
        <f>GR970</f>
        <v/>
      </c>
      <c r="GS965" s="403">
        <f>GS970</f>
        <v/>
      </c>
      <c r="GT965" s="403">
        <f>GT970</f>
        <v/>
      </c>
      <c r="GU965" s="403">
        <f>GU970</f>
        <v/>
      </c>
      <c r="GV965" s="403">
        <f>GV970</f>
        <v/>
      </c>
      <c r="GW965" s="403">
        <f>GW970</f>
        <v/>
      </c>
      <c r="GX965" s="403">
        <f>GX970</f>
        <v/>
      </c>
    </row>
    <row r="966"/>
    <row r="967">
      <c r="A967" t="n">
        <v>17</v>
      </c>
      <c r="B967" t="n">
        <v>0</v>
      </c>
      <c r="C967">
        <f>ROW(SmtRes!A501)</f>
        <v/>
      </c>
      <c r="D967">
        <f>ROW(EtalonRes!A457)</f>
        <v/>
      </c>
      <c r="E967" t="inlineStr">
        <is>
          <t>1</t>
        </is>
      </c>
      <c r="F967" t="inlineStr">
        <is>
          <t>46-01-013-1</t>
        </is>
      </c>
      <c r="G967" t="inlineStr">
        <is>
          <t>Усиление сварных швов (наплавкой)</t>
        </is>
      </c>
      <c r="H967" t="inlineStr">
        <is>
          <t>1 м шва</t>
        </is>
      </c>
      <c r="I967">
        <f>ROUND(ROUND(0.315,4),7)</f>
        <v/>
      </c>
      <c r="J967" t="n">
        <v>0</v>
      </c>
      <c r="K967">
        <f>ROUND(ROUND(0.315,4),7)</f>
        <v/>
      </c>
      <c r="O967">
        <f>ROUND(CP967,0)</f>
        <v/>
      </c>
      <c r="P967">
        <f>ROUND(CQ967*I967,0)</f>
        <v/>
      </c>
      <c r="Q967">
        <f>(ROUND((ROUND(((ET967)*I967),0)*BB967),0)+ROUND((ROUND(((AE967-(EU967))*I967),0)*BS967),0))</f>
        <v/>
      </c>
      <c r="R967">
        <f>(ROUND((ROUND(((EU967)*I967),0)*BS967),0)+ROUND((ROUND(((AE967-(EU967))*I967),0)*BS967),0))</f>
        <v/>
      </c>
      <c r="S967">
        <f>ROUND(CT967*I967,0)</f>
        <v/>
      </c>
      <c r="T967">
        <f>ROUND(CU967*I967,0)</f>
        <v/>
      </c>
      <c r="U967">
        <f>ROUND(CV967*I967,7)</f>
        <v/>
      </c>
      <c r="V967">
        <f>ROUND(CW967*I967,7)</f>
        <v/>
      </c>
      <c r="W967">
        <f>ROUND(CX967*I967,0)</f>
        <v/>
      </c>
      <c r="X967">
        <f>ROUND(CY967,0)</f>
        <v/>
      </c>
      <c r="Y967">
        <f>ROUND(CZ967,0)</f>
        <v/>
      </c>
      <c r="AA967" t="n">
        <v>78869116</v>
      </c>
      <c r="AB967">
        <f>ROUND((AC967+AD967+AF967),2)</f>
        <v/>
      </c>
      <c r="AC967">
        <f>ROUND((ES967),2)</f>
        <v/>
      </c>
      <c r="AD967">
        <f>ROUND((((ET967)-(EU967))+AE967),2)</f>
        <v/>
      </c>
      <c r="AE967">
        <f>ROUND((EU967),2)</f>
        <v/>
      </c>
      <c r="AF967">
        <f>ROUND((EV967),2)</f>
        <v/>
      </c>
      <c r="AG967">
        <f>ROUND((AP967),2)</f>
        <v/>
      </c>
      <c r="AH967">
        <f>(EW967)</f>
        <v/>
      </c>
      <c r="AI967">
        <f>(EX967)</f>
        <v/>
      </c>
      <c r="AJ967">
        <f>(AS967)</f>
        <v/>
      </c>
      <c r="AK967" t="n">
        <v>60.56</v>
      </c>
      <c r="AL967" t="n">
        <v>20.2</v>
      </c>
      <c r="AM967" t="n">
        <v>17.44</v>
      </c>
      <c r="AN967" t="n">
        <v>0</v>
      </c>
      <c r="AO967" t="n">
        <v>22.92</v>
      </c>
      <c r="AP967" t="n">
        <v>0</v>
      </c>
      <c r="AQ967" t="n">
        <v>2.31</v>
      </c>
      <c r="AR967" t="n">
        <v>0</v>
      </c>
      <c r="AS967" t="n">
        <v>0</v>
      </c>
      <c r="AT967" t="n">
        <v>103</v>
      </c>
      <c r="AU967" t="n">
        <v>59</v>
      </c>
      <c r="AV967" t="n">
        <v>1</v>
      </c>
      <c r="AW967" t="n">
        <v>1</v>
      </c>
      <c r="AZ967" t="n">
        <v>1</v>
      </c>
      <c r="BA967" t="n">
        <v>52.25</v>
      </c>
      <c r="BB967" t="n">
        <v>7.1</v>
      </c>
      <c r="BC967" t="n">
        <v>21.95</v>
      </c>
      <c r="BD967" t="inlineStr"/>
      <c r="BE967" t="inlineStr"/>
      <c r="BF967" t="inlineStr"/>
      <c r="BG967" t="inlineStr"/>
      <c r="BH967" t="n">
        <v>0</v>
      </c>
      <c r="BI967" t="n">
        <v>1</v>
      </c>
      <c r="BJ967" t="inlineStr">
        <is>
          <t>ТЕР Московской обл., 46-01-013-1, приказ Минстроя России №675/пр от 28.02.2017 № 260/пр</t>
        </is>
      </c>
      <c r="BM967" t="n">
        <v>46001</v>
      </c>
      <c r="BN967" t="n">
        <v>0</v>
      </c>
      <c r="BO967" t="inlineStr">
        <is>
          <t>46-01-013-1</t>
        </is>
      </c>
      <c r="BP967" t="n">
        <v>1</v>
      </c>
      <c r="BQ967" t="n">
        <v>2</v>
      </c>
      <c r="BR967" t="n">
        <v>0</v>
      </c>
      <c r="BS967" t="n">
        <v>52.25</v>
      </c>
      <c r="BT967" t="n">
        <v>1</v>
      </c>
      <c r="BU967" t="n">
        <v>1</v>
      </c>
      <c r="BV967" t="n">
        <v>1</v>
      </c>
      <c r="BW967" t="n">
        <v>1</v>
      </c>
      <c r="BX967" t="n">
        <v>1</v>
      </c>
      <c r="BY967" t="inlineStr"/>
      <c r="BZ967" t="n">
        <v>103</v>
      </c>
      <c r="CA967" t="n">
        <v>59</v>
      </c>
      <c r="CB967" t="inlineStr"/>
      <c r="CE967" t="n">
        <v>12</v>
      </c>
      <c r="CF967" t="n">
        <v>0</v>
      </c>
      <c r="CG967" t="n">
        <v>0</v>
      </c>
      <c r="CM967" t="n">
        <v>0</v>
      </c>
      <c r="CN967" t="inlineStr"/>
      <c r="CO967" t="n">
        <v>0</v>
      </c>
      <c r="CP967">
        <f>(P967+Q967+S967)</f>
        <v/>
      </c>
      <c r="CQ967">
        <f>AC967*BC967</f>
        <v/>
      </c>
      <c r="CR967">
        <f>(ROUND((ROUND(((ET967)*1),0)*BB967),0)+ROUND((ROUND(((AE967-(EU967))*1),0)*BS967),0))</f>
        <v/>
      </c>
      <c r="CS967">
        <f>(ROUND((ROUND(((EU967)*1),0)*BS967),0)+ROUND((ROUND(((AE967-(EU967))*1),0)*BS967),0))</f>
        <v/>
      </c>
      <c r="CT967">
        <f>AF967*BA967</f>
        <v/>
      </c>
      <c r="CU967">
        <f>AG967</f>
        <v/>
      </c>
      <c r="CV967">
        <f>AH967</f>
        <v/>
      </c>
      <c r="CW967">
        <f>AI967</f>
        <v/>
      </c>
      <c r="CX967">
        <f>AJ967</f>
        <v/>
      </c>
      <c r="CY967">
        <f>(((S967+R967)*AT967)/100)</f>
        <v/>
      </c>
      <c r="CZ967">
        <f>(((S967+R967)*AU967)/100)</f>
        <v/>
      </c>
      <c r="DC967" t="inlineStr"/>
      <c r="DD967" t="inlineStr"/>
      <c r="DE967" t="inlineStr"/>
      <c r="DF967" t="inlineStr"/>
      <c r="DG967" t="inlineStr"/>
      <c r="DH967" t="inlineStr"/>
      <c r="DI967" t="inlineStr"/>
      <c r="DJ967" t="inlineStr"/>
      <c r="DK967" t="inlineStr"/>
      <c r="DL967" t="inlineStr"/>
      <c r="DM967" t="inlineStr"/>
      <c r="DN967" t="n">
        <v>0</v>
      </c>
      <c r="DO967" t="n">
        <v>0</v>
      </c>
      <c r="DP967" t="n">
        <v>1</v>
      </c>
      <c r="DQ967" t="n">
        <v>1</v>
      </c>
      <c r="DU967" t="n">
        <v>1013</v>
      </c>
      <c r="DV967" t="inlineStr">
        <is>
          <t>1 м шва</t>
        </is>
      </c>
      <c r="DW967" t="inlineStr">
        <is>
          <t>1 м шва</t>
        </is>
      </c>
      <c r="DX967" t="n">
        <v>1</v>
      </c>
      <c r="DZ967" t="inlineStr"/>
      <c r="EA967" t="inlineStr"/>
      <c r="EB967" t="inlineStr"/>
      <c r="EC967" t="inlineStr"/>
      <c r="EE967" t="n">
        <v>78725950</v>
      </c>
      <c r="EF967" t="n">
        <v>2</v>
      </c>
      <c r="EG967" t="inlineStr">
        <is>
          <t>Общестроительные работы</t>
        </is>
      </c>
      <c r="EH967" t="n">
        <v>40</v>
      </c>
      <c r="EI967" t="inlineStr">
        <is>
          <t>Работы по реконструкции зданий и сооружений</t>
        </is>
      </c>
      <c r="EJ967" t="n">
        <v>1</v>
      </c>
      <c r="EK967" t="n">
        <v>46001</v>
      </c>
      <c r="EL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967" t="inlineStr">
        <is>
          <t>ФЕР-46</t>
        </is>
      </c>
      <c r="EO967" t="inlineStr"/>
      <c r="EQ967" t="n">
        <v>0</v>
      </c>
      <c r="ER967" t="n">
        <v>60.56</v>
      </c>
      <c r="ES967" t="n">
        <v>20.2</v>
      </c>
      <c r="ET967" t="n">
        <v>17.44</v>
      </c>
      <c r="EU967" t="n">
        <v>0</v>
      </c>
      <c r="EV967" t="n">
        <v>22.92</v>
      </c>
      <c r="EW967" t="n">
        <v>2.31</v>
      </c>
      <c r="EX967" t="n">
        <v>0</v>
      </c>
      <c r="EY967" t="n">
        <v>0</v>
      </c>
      <c r="FQ967" t="n">
        <v>0</v>
      </c>
      <c r="FR967" t="n">
        <v>0</v>
      </c>
      <c r="FS967" t="n">
        <v>0</v>
      </c>
      <c r="FX967" t="n">
        <v>103</v>
      </c>
      <c r="FY967" t="n">
        <v>59</v>
      </c>
      <c r="GA967" t="inlineStr"/>
      <c r="GD967" t="n">
        <v>1</v>
      </c>
      <c r="GF967" t="n">
        <v>1020622633</v>
      </c>
      <c r="GG967" t="n">
        <v>2</v>
      </c>
      <c r="GH967" t="n">
        <v>1</v>
      </c>
      <c r="GI967" t="n">
        <v>2</v>
      </c>
      <c r="GJ967" t="n">
        <v>0</v>
      </c>
      <c r="GK967" t="n">
        <v>0</v>
      </c>
      <c r="GL967">
        <f>ROUND(IF(AND(BH967=3,BI967=3,FS967&lt;&gt;0),P967,0),0)</f>
        <v/>
      </c>
      <c r="GM967">
        <f>ROUND(O967+X967+Y967,0)+GX967</f>
        <v/>
      </c>
      <c r="GN967">
        <f>IF(OR(BI967=0,BI967=1),GM967-GX967,0)</f>
        <v/>
      </c>
      <c r="GO967">
        <f>IF(BI967=2,GM967-GX967,0)</f>
        <v/>
      </c>
      <c r="GP967">
        <f>IF(BI967=4,GM967-GX967,0)</f>
        <v/>
      </c>
      <c r="GR967" t="n">
        <v>0</v>
      </c>
      <c r="GS967" t="n">
        <v>3</v>
      </c>
      <c r="GT967" t="n">
        <v>0</v>
      </c>
      <c r="GU967" t="inlineStr"/>
      <c r="GV967">
        <f>ROUND((GT967),2)</f>
        <v/>
      </c>
      <c r="GW967" t="n">
        <v>1</v>
      </c>
      <c r="GX967">
        <f>ROUND(HC967*I967,0)</f>
        <v/>
      </c>
      <c r="HA967" t="n">
        <v>0</v>
      </c>
      <c r="HB967" t="n">
        <v>0</v>
      </c>
      <c r="HC967">
        <f>GV967*GW967</f>
        <v/>
      </c>
      <c r="HE967" t="inlineStr"/>
      <c r="HF967" t="inlineStr"/>
      <c r="HM967" t="inlineStr"/>
      <c r="HN967" t="inlineStr">
        <is>
          <t>Пр/812-040.1-1</t>
        </is>
      </c>
      <c r="HO967" t="inlineStr">
        <is>
          <t>Пр/774-040.1</t>
        </is>
      </c>
      <c r="HP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967" t="n">
        <v>0</v>
      </c>
      <c r="IK967" t="n">
        <v>0</v>
      </c>
    </row>
    <row r="968">
      <c r="A968" t="n">
        <v>17</v>
      </c>
      <c r="B968" t="n">
        <v>0</v>
      </c>
      <c r="C968">
        <f>ROW(SmtRes!A507)</f>
        <v/>
      </c>
      <c r="D968">
        <f>ROW(EtalonRes!A463)</f>
        <v/>
      </c>
      <c r="E968" t="inlineStr">
        <is>
          <t>2</t>
        </is>
      </c>
      <c r="F968" t="inlineStr">
        <is>
          <t>16-07-005-1</t>
        </is>
      </c>
      <c r="G96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968" t="inlineStr">
        <is>
          <t>100 м трубопровода</t>
        </is>
      </c>
      <c r="I968">
        <f>ROUND(ROUND(18/100,4),7)</f>
        <v/>
      </c>
      <c r="J968" t="n">
        <v>0</v>
      </c>
      <c r="K968">
        <f>ROUND(ROUND(18/100,4),7)</f>
        <v/>
      </c>
      <c r="O968">
        <f>ROUND(CP968,0)</f>
        <v/>
      </c>
      <c r="P968">
        <f>ROUND(CQ968*I968,0)</f>
        <v/>
      </c>
      <c r="Q968">
        <f>(ROUND((ROUND(((ET968)*I968),0)*BB968),0)+ROUND((ROUND(((AE968-(EU968))*I968),0)*BS968),0))</f>
        <v/>
      </c>
      <c r="R968">
        <f>(ROUND((ROUND(((EU968)*I968),0)*BS968),0)+ROUND((ROUND(((AE968-(EU968))*I968),0)*BS968),0))</f>
        <v/>
      </c>
      <c r="S968">
        <f>ROUND(CT968*I968,0)</f>
        <v/>
      </c>
      <c r="T968">
        <f>ROUND(CU968*I968,0)</f>
        <v/>
      </c>
      <c r="U968">
        <f>ROUND(CV968*I968,7)</f>
        <v/>
      </c>
      <c r="V968">
        <f>ROUND(CW968*I968,7)</f>
        <v/>
      </c>
      <c r="W968">
        <f>ROUND(CX968*I968,0)</f>
        <v/>
      </c>
      <c r="X968">
        <f>ROUND(CY968,0)</f>
        <v/>
      </c>
      <c r="Y968">
        <f>ROUND(CZ968,0)</f>
        <v/>
      </c>
      <c r="AA968" t="n">
        <v>78869116</v>
      </c>
      <c r="AB968">
        <f>ROUND((AC968+AD968+AF968),2)</f>
        <v/>
      </c>
      <c r="AC968">
        <f>ROUND((ES968),2)</f>
        <v/>
      </c>
      <c r="AD968">
        <f>ROUND((((ET968)-(EU968))+AE968),2)</f>
        <v/>
      </c>
      <c r="AE968">
        <f>ROUND((EU968),2)</f>
        <v/>
      </c>
      <c r="AF968">
        <f>ROUND((EV968),2)</f>
        <v/>
      </c>
      <c r="AG968">
        <f>ROUND((AP968),2)</f>
        <v/>
      </c>
      <c r="AH968">
        <f>(EW968)</f>
        <v/>
      </c>
      <c r="AI968">
        <f>(EX968)</f>
        <v/>
      </c>
      <c r="AJ968">
        <f>(AS968)</f>
        <v/>
      </c>
      <c r="AK968" t="n">
        <v>107.11</v>
      </c>
      <c r="AL968" t="n">
        <v>4.28</v>
      </c>
      <c r="AM968" t="n">
        <v>44.51</v>
      </c>
      <c r="AN968" t="n">
        <v>0</v>
      </c>
      <c r="AO968" t="n">
        <v>58.32</v>
      </c>
      <c r="AP968" t="n">
        <v>0</v>
      </c>
      <c r="AQ968" t="n">
        <v>5.01</v>
      </c>
      <c r="AR968" t="n">
        <v>0</v>
      </c>
      <c r="AS968" t="n">
        <v>0</v>
      </c>
      <c r="AT968" t="n">
        <v>121</v>
      </c>
      <c r="AU968" t="n">
        <v>72</v>
      </c>
      <c r="AV968" t="n">
        <v>1</v>
      </c>
      <c r="AW968" t="n">
        <v>1</v>
      </c>
      <c r="AZ968" t="n">
        <v>1</v>
      </c>
      <c r="BA968" t="n">
        <v>52.25</v>
      </c>
      <c r="BB968" t="n">
        <v>5.97</v>
      </c>
      <c r="BC968" t="n">
        <v>11.38</v>
      </c>
      <c r="BD968" t="inlineStr"/>
      <c r="BE968" t="inlineStr"/>
      <c r="BF968" t="inlineStr"/>
      <c r="BG968" t="inlineStr"/>
      <c r="BH968" t="n">
        <v>0</v>
      </c>
      <c r="BI968" t="n">
        <v>1</v>
      </c>
      <c r="BJ968" t="inlineStr">
        <is>
          <t>ТЕР Московской обл., 16-07-005-1, приказ Минстроя России №675/пр от 28.02.2017 № 260/пр</t>
        </is>
      </c>
      <c r="BM968" t="n">
        <v>16001</v>
      </c>
      <c r="BN968" t="n">
        <v>0</v>
      </c>
      <c r="BO968" t="inlineStr">
        <is>
          <t>16-07-005-1</t>
        </is>
      </c>
      <c r="BP968" t="n">
        <v>1</v>
      </c>
      <c r="BQ968" t="n">
        <v>2</v>
      </c>
      <c r="BR968" t="n">
        <v>0</v>
      </c>
      <c r="BS968" t="n">
        <v>52.25</v>
      </c>
      <c r="BT968" t="n">
        <v>1</v>
      </c>
      <c r="BU968" t="n">
        <v>1</v>
      </c>
      <c r="BV968" t="n">
        <v>1</v>
      </c>
      <c r="BW968" t="n">
        <v>1</v>
      </c>
      <c r="BX968" t="n">
        <v>1</v>
      </c>
      <c r="BY968" t="inlineStr"/>
      <c r="BZ968" t="n">
        <v>121</v>
      </c>
      <c r="CA968" t="n">
        <v>72</v>
      </c>
      <c r="CB968" t="inlineStr"/>
      <c r="CE968" t="n">
        <v>12</v>
      </c>
      <c r="CF968" t="n">
        <v>0</v>
      </c>
      <c r="CG968" t="n">
        <v>0</v>
      </c>
      <c r="CM968" t="n">
        <v>0</v>
      </c>
      <c r="CN968" t="inlineStr"/>
      <c r="CO968" t="n">
        <v>0</v>
      </c>
      <c r="CP968">
        <f>(P968+Q968+S968)</f>
        <v/>
      </c>
      <c r="CQ968">
        <f>AC968*BC968</f>
        <v/>
      </c>
      <c r="CR968">
        <f>(ROUND((ROUND(((ET968)*1),0)*BB968),0)+ROUND((ROUND(((AE968-(EU968))*1),0)*BS968),0))</f>
        <v/>
      </c>
      <c r="CS968">
        <f>(ROUND((ROUND(((EU968)*1),0)*BS968),0)+ROUND((ROUND(((AE968-(EU968))*1),0)*BS968),0))</f>
        <v/>
      </c>
      <c r="CT968">
        <f>AF968*BA968</f>
        <v/>
      </c>
      <c r="CU968">
        <f>AG968</f>
        <v/>
      </c>
      <c r="CV968">
        <f>AH968</f>
        <v/>
      </c>
      <c r="CW968">
        <f>AI968</f>
        <v/>
      </c>
      <c r="CX968">
        <f>AJ968</f>
        <v/>
      </c>
      <c r="CY968">
        <f>(((S968+R968)*AT968)/100)</f>
        <v/>
      </c>
      <c r="CZ968">
        <f>(((S968+R968)*AU968)/100)</f>
        <v/>
      </c>
      <c r="DC968" t="inlineStr"/>
      <c r="DD968" t="inlineStr"/>
      <c r="DE968" t="inlineStr"/>
      <c r="DF968" t="inlineStr"/>
      <c r="DG968" t="inlineStr"/>
      <c r="DH968" t="inlineStr"/>
      <c r="DI968" t="inlineStr"/>
      <c r="DJ968" t="inlineStr"/>
      <c r="DK968" t="inlineStr"/>
      <c r="DL968" t="inlineStr"/>
      <c r="DM968" t="inlineStr"/>
      <c r="DN968" t="n">
        <v>0</v>
      </c>
      <c r="DO968" t="n">
        <v>0</v>
      </c>
      <c r="DP968" t="n">
        <v>1</v>
      </c>
      <c r="DQ968" t="n">
        <v>1</v>
      </c>
      <c r="DU968" t="n">
        <v>1013</v>
      </c>
      <c r="DV968" t="inlineStr">
        <is>
          <t>100 м трубопровода</t>
        </is>
      </c>
      <c r="DW968" t="inlineStr">
        <is>
          <t>100 м трубопровода</t>
        </is>
      </c>
      <c r="DX968" t="n">
        <v>1</v>
      </c>
      <c r="DZ968" t="inlineStr"/>
      <c r="EA968" t="inlineStr"/>
      <c r="EB968" t="inlineStr"/>
      <c r="EC968" t="inlineStr"/>
      <c r="EE968" t="n">
        <v>78725882</v>
      </c>
      <c r="EF968" t="n">
        <v>2</v>
      </c>
      <c r="EG968" t="inlineStr">
        <is>
          <t>Общестроительные работы</t>
        </is>
      </c>
      <c r="EH968" t="n">
        <v>16</v>
      </c>
      <c r="EI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968" t="n">
        <v>1</v>
      </c>
      <c r="EK968" t="n">
        <v>16001</v>
      </c>
      <c r="EL968" t="inlineStr">
        <is>
          <t>Трубопроводы внутренние</t>
        </is>
      </c>
      <c r="EM968" t="inlineStr">
        <is>
          <t>ФЕР-16</t>
        </is>
      </c>
      <c r="EO968" t="inlineStr"/>
      <c r="EQ968" t="n">
        <v>0</v>
      </c>
      <c r="ER968" t="n">
        <v>107.11</v>
      </c>
      <c r="ES968" t="n">
        <v>4.28</v>
      </c>
      <c r="ET968" t="n">
        <v>44.51</v>
      </c>
      <c r="EU968" t="n">
        <v>0</v>
      </c>
      <c r="EV968" t="n">
        <v>58.32</v>
      </c>
      <c r="EW968" t="n">
        <v>5.01</v>
      </c>
      <c r="EX968" t="n">
        <v>0</v>
      </c>
      <c r="EY968" t="n">
        <v>0</v>
      </c>
      <c r="FQ968" t="n">
        <v>0</v>
      </c>
      <c r="FR968" t="n">
        <v>0</v>
      </c>
      <c r="FS968" t="n">
        <v>0</v>
      </c>
      <c r="FX968" t="n">
        <v>121</v>
      </c>
      <c r="FY968" t="n">
        <v>72</v>
      </c>
      <c r="GA968" t="inlineStr"/>
      <c r="GD968" t="n">
        <v>1</v>
      </c>
      <c r="GF968" t="n">
        <v>635989612</v>
      </c>
      <c r="GG968" t="n">
        <v>2</v>
      </c>
      <c r="GH968" t="n">
        <v>1</v>
      </c>
      <c r="GI968" t="n">
        <v>2</v>
      </c>
      <c r="GJ968" t="n">
        <v>0</v>
      </c>
      <c r="GK968" t="n">
        <v>0</v>
      </c>
      <c r="GL968">
        <f>ROUND(IF(AND(BH968=3,BI968=3,FS968&lt;&gt;0),P968,0),0)</f>
        <v/>
      </c>
      <c r="GM968">
        <f>ROUND(O968+X968+Y968,0)+GX968</f>
        <v/>
      </c>
      <c r="GN968">
        <f>IF(OR(BI968=0,BI968=1),GM968-GX968,0)</f>
        <v/>
      </c>
      <c r="GO968">
        <f>IF(BI968=2,GM968-GX968,0)</f>
        <v/>
      </c>
      <c r="GP968">
        <f>IF(BI968=4,GM968-GX968,0)</f>
        <v/>
      </c>
      <c r="GR968" t="n">
        <v>0</v>
      </c>
      <c r="GS968" t="n">
        <v>3</v>
      </c>
      <c r="GT968" t="n">
        <v>0</v>
      </c>
      <c r="GU968" t="inlineStr"/>
      <c r="GV968">
        <f>ROUND((GT968),2)</f>
        <v/>
      </c>
      <c r="GW968" t="n">
        <v>1</v>
      </c>
      <c r="GX968">
        <f>ROUND(HC968*I968,0)</f>
        <v/>
      </c>
      <c r="HA968" t="n">
        <v>0</v>
      </c>
      <c r="HB968" t="n">
        <v>0</v>
      </c>
      <c r="HC968">
        <f>GV968*GW968</f>
        <v/>
      </c>
      <c r="HE968" t="inlineStr"/>
      <c r="HF968" t="inlineStr"/>
      <c r="HM968" t="inlineStr"/>
      <c r="HN968" t="inlineStr">
        <is>
          <t>Пр/812-016.0-1</t>
        </is>
      </c>
      <c r="HO968" t="inlineStr">
        <is>
          <t>Пр/774-016.0</t>
        </is>
      </c>
      <c r="HP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968" t="n">
        <v>0</v>
      </c>
      <c r="IK968" t="n">
        <v>0</v>
      </c>
    </row>
    <row r="969"/>
    <row r="970">
      <c r="A970" s="402" t="n">
        <v>51</v>
      </c>
      <c r="B970" s="402">
        <f>B963</f>
        <v/>
      </c>
      <c r="C970" s="402">
        <f>A963</f>
        <v/>
      </c>
      <c r="D970" s="402">
        <f>ROW(A963)</f>
        <v/>
      </c>
      <c r="E970" s="402" t="n"/>
      <c r="F970" s="402">
        <f>IF(F963&lt;&gt;"",F963,"")</f>
        <v/>
      </c>
      <c r="G970" s="402">
        <f>IF(G963&lt;&gt;"",G963,"")</f>
        <v/>
      </c>
      <c r="H970" s="402" t="n">
        <v>0</v>
      </c>
      <c r="I970" s="402" t="n"/>
      <c r="J970" s="402" t="n"/>
      <c r="K970" s="402" t="n"/>
      <c r="L970" s="402" t="n"/>
      <c r="M970" s="402" t="n"/>
      <c r="N970" s="402" t="n"/>
      <c r="O970" s="402" t="n">
        <v>0</v>
      </c>
      <c r="P970" s="402" t="n">
        <v>0</v>
      </c>
      <c r="Q970" s="402" t="n">
        <v>0</v>
      </c>
      <c r="R970" s="402" t="n">
        <v>0</v>
      </c>
      <c r="S970" s="402" t="n">
        <v>0</v>
      </c>
      <c r="T970" s="402" t="n">
        <v>0</v>
      </c>
      <c r="U970" s="402" t="n">
        <v>0</v>
      </c>
      <c r="V970" s="402" t="n">
        <v>0</v>
      </c>
      <c r="W970" s="402" t="n">
        <v>0</v>
      </c>
      <c r="X970" s="402" t="n">
        <v>0</v>
      </c>
      <c r="Y970" s="402" t="n">
        <v>0</v>
      </c>
      <c r="Z970" s="402" t="n"/>
      <c r="AA970" s="402" t="n"/>
      <c r="AB970" s="402" t="n"/>
      <c r="AC970" s="402" t="n"/>
      <c r="AD970" s="402" t="n"/>
      <c r="AE970" s="402" t="n"/>
      <c r="AF970" s="402" t="n"/>
      <c r="AG970" s="402" t="n"/>
      <c r="AH970" s="402" t="n"/>
      <c r="AI970" s="402" t="n"/>
      <c r="AJ970" s="402" t="n"/>
      <c r="AK970" s="402" t="n"/>
      <c r="AL970" s="402" t="n"/>
      <c r="AM970" s="402" t="n"/>
      <c r="AN970" s="402" t="n"/>
      <c r="AO970" s="402">
        <f>ROUND(BX970,0)</f>
        <v/>
      </c>
      <c r="AP970" s="402">
        <f>ROUND(BY970,0)</f>
        <v/>
      </c>
      <c r="AQ970" s="402">
        <f>ROUND(BZ970,0)</f>
        <v/>
      </c>
      <c r="AR970" s="402">
        <f>ROUND(CA970,0)</f>
        <v/>
      </c>
      <c r="AS970" s="402">
        <f>ROUND(CB970,0)</f>
        <v/>
      </c>
      <c r="AT970" s="402">
        <f>ROUND(CC970,0)</f>
        <v/>
      </c>
      <c r="AU970" s="402">
        <f>ROUND(CD970,0)</f>
        <v/>
      </c>
      <c r="AV970" s="402">
        <f>ROUND(CE970,0)</f>
        <v/>
      </c>
      <c r="AW970" s="402">
        <f>ROUND(CF970,0)</f>
        <v/>
      </c>
      <c r="AX970" s="402">
        <f>ROUND(CG970,0)</f>
        <v/>
      </c>
      <c r="AY970" s="402">
        <f>ROUND(CH970,0)</f>
        <v/>
      </c>
      <c r="AZ970" s="402">
        <f>ROUND(CI970,0)</f>
        <v/>
      </c>
      <c r="BA970" s="402">
        <f>ROUND(CJ970,0)</f>
        <v/>
      </c>
      <c r="BB970" s="402">
        <f>ROUND(CK970,0)</f>
        <v/>
      </c>
      <c r="BC970" s="402">
        <f>ROUND(CL970,0)</f>
        <v/>
      </c>
      <c r="BD970" s="402">
        <f>ROUND(CM970,0)</f>
        <v/>
      </c>
      <c r="BE970" s="402" t="n"/>
      <c r="BF970" s="402" t="n"/>
      <c r="BG970" s="402" t="n"/>
      <c r="BH970" s="402" t="n"/>
      <c r="BI970" s="402" t="n"/>
      <c r="BJ970" s="402" t="n"/>
      <c r="BK970" s="402" t="n"/>
      <c r="BL970" s="402" t="n"/>
      <c r="BM970" s="402" t="n"/>
      <c r="BN970" s="402" t="n"/>
      <c r="BO970" s="402" t="n"/>
      <c r="BP970" s="402" t="n"/>
      <c r="BQ970" s="402" t="n"/>
      <c r="BR970" s="402" t="n"/>
      <c r="BS970" s="402" t="n"/>
      <c r="BT970" s="402" t="n"/>
      <c r="BU970" s="402" t="n"/>
      <c r="BV970" s="402" t="n"/>
      <c r="BW970" s="402" t="n"/>
      <c r="BX970" s="402" t="n"/>
      <c r="BY970" s="402" t="n"/>
      <c r="BZ970" s="402" t="n"/>
      <c r="CA970" s="402" t="n"/>
      <c r="CB970" s="402" t="n"/>
      <c r="CC970" s="402" t="n"/>
      <c r="CD970" s="402" t="n"/>
      <c r="CE970" s="402" t="n"/>
      <c r="CF970" s="402" t="n"/>
      <c r="CG970" s="402" t="n"/>
      <c r="CH970" s="402" t="n"/>
      <c r="CI970" s="402" t="n"/>
      <c r="CJ970" s="402" t="n"/>
      <c r="CK970" s="402" t="n"/>
      <c r="CL970" s="402" t="n"/>
      <c r="CM970" s="402" t="n"/>
      <c r="CN970" s="402" t="n"/>
      <c r="CO970" s="402" t="n"/>
      <c r="CP970" s="402" t="n"/>
      <c r="CQ970" s="402" t="n"/>
      <c r="CR970" s="402" t="n"/>
      <c r="CS970" s="402" t="n"/>
      <c r="CT970" s="402" t="n"/>
      <c r="CU970" s="402" t="n"/>
      <c r="CV970" s="402" t="n"/>
      <c r="CW970" s="402" t="n"/>
      <c r="CX970" s="402" t="n"/>
      <c r="CY970" s="402" t="n"/>
      <c r="CZ970" s="402" t="n"/>
      <c r="DA970" s="402" t="n"/>
      <c r="DB970" s="402" t="n"/>
      <c r="DC970" s="402" t="n"/>
      <c r="DD970" s="402" t="n"/>
      <c r="DE970" s="402" t="n"/>
      <c r="DF970" s="402" t="n"/>
      <c r="DG970" s="403" t="n"/>
      <c r="DH970" s="403" t="n"/>
      <c r="DI970" s="403" t="n"/>
      <c r="DJ970" s="403" t="n"/>
      <c r="DK970" s="403" t="n"/>
      <c r="DL970" s="403" t="n"/>
      <c r="DM970" s="403" t="n"/>
      <c r="DN970" s="403" t="n"/>
      <c r="DO970" s="403" t="n"/>
      <c r="DP970" s="403" t="n"/>
      <c r="DQ970" s="403" t="n"/>
      <c r="DR970" s="403" t="n"/>
      <c r="DS970" s="403" t="n"/>
      <c r="DT970" s="403" t="n"/>
      <c r="DU970" s="403" t="n"/>
      <c r="DV970" s="403" t="n"/>
      <c r="DW970" s="403" t="n"/>
      <c r="DX970" s="403" t="n"/>
      <c r="DY970" s="403" t="n"/>
      <c r="DZ970" s="403" t="n"/>
      <c r="EA970" s="403" t="n"/>
      <c r="EB970" s="403" t="n"/>
      <c r="EC970" s="403" t="n"/>
      <c r="ED970" s="403" t="n"/>
      <c r="EE970" s="403" t="n"/>
      <c r="EF970" s="403" t="n"/>
      <c r="EG970" s="403" t="n"/>
      <c r="EH970" s="403" t="n"/>
      <c r="EI970" s="403" t="n"/>
      <c r="EJ970" s="403" t="n"/>
      <c r="EK970" s="403" t="n"/>
      <c r="EL970" s="403" t="n"/>
      <c r="EM970" s="403" t="n"/>
      <c r="EN970" s="403" t="n"/>
      <c r="EO970" s="403" t="n"/>
      <c r="EP970" s="403" t="n"/>
      <c r="EQ970" s="403" t="n"/>
      <c r="ER970" s="403" t="n"/>
      <c r="ES970" s="403" t="n"/>
      <c r="ET970" s="403" t="n"/>
      <c r="EU970" s="403" t="n"/>
      <c r="EV970" s="403" t="n"/>
      <c r="EW970" s="403" t="n"/>
      <c r="EX970" s="403" t="n"/>
      <c r="EY970" s="403" t="n"/>
      <c r="EZ970" s="403" t="n"/>
      <c r="FA970" s="403" t="n"/>
      <c r="FB970" s="403" t="n"/>
      <c r="FC970" s="403" t="n"/>
      <c r="FD970" s="403" t="n"/>
      <c r="FE970" s="403" t="n"/>
      <c r="FF970" s="403" t="n"/>
      <c r="FG970" s="403" t="n"/>
      <c r="FH970" s="403" t="n"/>
      <c r="FI970" s="403" t="n"/>
      <c r="FJ970" s="403" t="n"/>
      <c r="FK970" s="403" t="n"/>
      <c r="FL970" s="403" t="n"/>
      <c r="FM970" s="403" t="n"/>
      <c r="FN970" s="403" t="n"/>
      <c r="FO970" s="403" t="n"/>
      <c r="FP970" s="403" t="n"/>
      <c r="FQ970" s="403" t="n"/>
      <c r="FR970" s="403" t="n"/>
      <c r="FS970" s="403" t="n"/>
      <c r="FT970" s="403" t="n"/>
      <c r="FU970" s="403" t="n"/>
      <c r="FV970" s="403" t="n"/>
      <c r="FW970" s="403" t="n"/>
      <c r="FX970" s="403" t="n"/>
      <c r="FY970" s="403" t="n"/>
      <c r="FZ970" s="403" t="n"/>
      <c r="GA970" s="403" t="n"/>
      <c r="GB970" s="403" t="n"/>
      <c r="GC970" s="403" t="n"/>
      <c r="GD970" s="403" t="n"/>
      <c r="GE970" s="403" t="n"/>
      <c r="GF970" s="403" t="n"/>
      <c r="GG970" s="403" t="n"/>
      <c r="GH970" s="403" t="n"/>
      <c r="GI970" s="403" t="n"/>
      <c r="GJ970" s="403" t="n"/>
      <c r="GK970" s="403" t="n"/>
      <c r="GL970" s="403" t="n"/>
      <c r="GM970" s="403" t="n"/>
      <c r="GN970" s="403" t="n"/>
      <c r="GO970" s="403" t="n"/>
      <c r="GP970" s="403" t="n"/>
      <c r="GQ970" s="403" t="n"/>
      <c r="GR970" s="403" t="n"/>
      <c r="GS970" s="403" t="n"/>
      <c r="GT970" s="403" t="n"/>
      <c r="GU970" s="403" t="n"/>
      <c r="GV970" s="403" t="n"/>
      <c r="GW970" s="403" t="n"/>
      <c r="GX970" s="403" t="n">
        <v>0</v>
      </c>
    </row>
    <row r="971"/>
    <row r="972">
      <c r="A972" s="404" t="n">
        <v>50</v>
      </c>
      <c r="B972" s="404" t="n">
        <v>0</v>
      </c>
      <c r="C972" s="404" t="n">
        <v>0</v>
      </c>
      <c r="D972" s="404" t="n">
        <v>1</v>
      </c>
      <c r="E972" s="404" t="n">
        <v>201</v>
      </c>
      <c r="F972" s="404">
        <f>ROUND(Source!O970,O972)</f>
        <v/>
      </c>
      <c r="G972" s="404" t="inlineStr">
        <is>
          <t>ПЗ</t>
        </is>
      </c>
      <c r="H972" s="404" t="inlineStr">
        <is>
          <t>Прямые затраты</t>
        </is>
      </c>
      <c r="I972" s="404" t="n"/>
      <c r="J972" s="404" t="n"/>
      <c r="K972" s="404" t="n">
        <v>201</v>
      </c>
      <c r="L972" s="404" t="n">
        <v>1</v>
      </c>
      <c r="M972" s="404" t="n">
        <v>3</v>
      </c>
      <c r="N972" s="404" t="inlineStr"/>
      <c r="O972" s="404" t="n">
        <v>0</v>
      </c>
      <c r="P972" s="404" t="n"/>
      <c r="Q972" s="404" t="n"/>
      <c r="R972" s="404" t="n"/>
      <c r="S972" s="404" t="n"/>
      <c r="T972" s="404" t="n"/>
      <c r="U972" s="404" t="n"/>
      <c r="V972" s="404" t="n"/>
      <c r="W972" s="404" t="n">
        <v>0</v>
      </c>
      <c r="X972" s="404" t="n">
        <v>1</v>
      </c>
      <c r="Y972" s="404" t="n">
        <v>0</v>
      </c>
      <c r="Z972" s="404" t="n"/>
      <c r="AA972" s="404" t="n"/>
      <c r="AB972" s="404" t="n"/>
    </row>
    <row r="973">
      <c r="A973" s="404" t="n">
        <v>50</v>
      </c>
      <c r="B973" s="404" t="n">
        <v>0</v>
      </c>
      <c r="C973" s="404" t="n">
        <v>0</v>
      </c>
      <c r="D973" s="404" t="n">
        <v>1</v>
      </c>
      <c r="E973" s="404" t="n">
        <v>202</v>
      </c>
      <c r="F973" s="404">
        <f>ROUND(Source!P970,O973)</f>
        <v/>
      </c>
      <c r="G973" s="404" t="inlineStr">
        <is>
          <t>СтМатОб</t>
        </is>
      </c>
      <c r="H973" s="404" t="inlineStr">
        <is>
          <t>Стоимость материальных ресурсов (всего)</t>
        </is>
      </c>
      <c r="I973" s="404" t="n"/>
      <c r="J973" s="404" t="n"/>
      <c r="K973" s="404" t="n">
        <v>202</v>
      </c>
      <c r="L973" s="404" t="n">
        <v>2</v>
      </c>
      <c r="M973" s="404" t="n">
        <v>3</v>
      </c>
      <c r="N973" s="404" t="inlineStr"/>
      <c r="O973" s="404" t="n">
        <v>0</v>
      </c>
      <c r="P973" s="404" t="n"/>
      <c r="Q973" s="404" t="n"/>
      <c r="R973" s="404" t="n"/>
      <c r="S973" s="404" t="n"/>
      <c r="T973" s="404" t="n"/>
      <c r="U973" s="404" t="n"/>
      <c r="V973" s="404" t="n"/>
      <c r="W973" s="404" t="n">
        <v>0</v>
      </c>
      <c r="X973" s="404" t="n">
        <v>1</v>
      </c>
      <c r="Y973" s="404" t="n">
        <v>0</v>
      </c>
      <c r="Z973" s="404" t="n"/>
      <c r="AA973" s="404" t="n"/>
      <c r="AB973" s="404" t="n"/>
    </row>
    <row r="974">
      <c r="A974" s="404" t="n">
        <v>50</v>
      </c>
      <c r="B974" s="404" t="n">
        <v>0</v>
      </c>
      <c r="C974" s="404" t="n">
        <v>0</v>
      </c>
      <c r="D974" s="404" t="n">
        <v>1</v>
      </c>
      <c r="E974" s="404" t="n">
        <v>222</v>
      </c>
      <c r="F974" s="404">
        <f>ROUND(Source!AO970,O974)</f>
        <v/>
      </c>
      <c r="G974" s="404" t="inlineStr">
        <is>
          <t>СтМатОбЗак</t>
        </is>
      </c>
      <c r="H974" s="404" t="inlineStr">
        <is>
          <t>Стоимость материалов и оборудования заказчика</t>
        </is>
      </c>
      <c r="I974" s="404" t="n"/>
      <c r="J974" s="404" t="n"/>
      <c r="K974" s="404" t="n">
        <v>222</v>
      </c>
      <c r="L974" s="404" t="n">
        <v>3</v>
      </c>
      <c r="M974" s="404" t="n">
        <v>3</v>
      </c>
      <c r="N974" s="404" t="inlineStr"/>
      <c r="O974" s="404" t="n">
        <v>0</v>
      </c>
      <c r="P974" s="404" t="n"/>
      <c r="Q974" s="404" t="n"/>
      <c r="R974" s="404" t="n"/>
      <c r="S974" s="404" t="n"/>
      <c r="T974" s="404" t="n"/>
      <c r="U974" s="404" t="n"/>
      <c r="V974" s="404" t="n"/>
      <c r="W974" s="404" t="n">
        <v>0</v>
      </c>
      <c r="X974" s="404" t="n">
        <v>1</v>
      </c>
      <c r="Y974" s="404" t="n">
        <v>0</v>
      </c>
      <c r="Z974" s="404" t="n"/>
      <c r="AA974" s="404" t="n"/>
      <c r="AB974" s="404" t="n"/>
    </row>
    <row r="975">
      <c r="A975" s="404" t="n">
        <v>50</v>
      </c>
      <c r="B975" s="404" t="n">
        <v>0</v>
      </c>
      <c r="C975" s="404" t="n">
        <v>0</v>
      </c>
      <c r="D975" s="404" t="n">
        <v>1</v>
      </c>
      <c r="E975" s="404" t="n">
        <v>225</v>
      </c>
      <c r="F975" s="404">
        <f>ROUND(Source!AV970,O975)</f>
        <v/>
      </c>
      <c r="G975" s="404" t="inlineStr">
        <is>
          <t>СтМатОбПод</t>
        </is>
      </c>
      <c r="H975" s="404" t="inlineStr">
        <is>
          <t>Стоимость материалов и оборудования подрядчика</t>
        </is>
      </c>
      <c r="I975" s="404" t="n"/>
      <c r="J975" s="404" t="n"/>
      <c r="K975" s="404" t="n">
        <v>225</v>
      </c>
      <c r="L975" s="404" t="n">
        <v>4</v>
      </c>
      <c r="M975" s="404" t="n">
        <v>3</v>
      </c>
      <c r="N975" s="404" t="inlineStr"/>
      <c r="O975" s="404" t="n">
        <v>0</v>
      </c>
      <c r="P975" s="404" t="n"/>
      <c r="Q975" s="404" t="n"/>
      <c r="R975" s="404" t="n"/>
      <c r="S975" s="404" t="n"/>
      <c r="T975" s="404" t="n"/>
      <c r="U975" s="404" t="n"/>
      <c r="V975" s="404" t="n"/>
      <c r="W975" s="404" t="n">
        <v>0</v>
      </c>
      <c r="X975" s="404" t="n">
        <v>1</v>
      </c>
      <c r="Y975" s="404" t="n">
        <v>0</v>
      </c>
      <c r="Z975" s="404" t="n"/>
      <c r="AA975" s="404" t="n"/>
      <c r="AB975" s="404" t="n"/>
    </row>
    <row r="976">
      <c r="A976" s="404" t="n">
        <v>50</v>
      </c>
      <c r="B976" s="404" t="n">
        <v>0</v>
      </c>
      <c r="C976" s="404" t="n">
        <v>0</v>
      </c>
      <c r="D976" s="404" t="n">
        <v>1</v>
      </c>
      <c r="E976" s="404" t="n">
        <v>226</v>
      </c>
      <c r="F976" s="404">
        <f>ROUND(Source!AW970,O976)</f>
        <v/>
      </c>
      <c r="G976" s="404" t="inlineStr">
        <is>
          <t>СтМат</t>
        </is>
      </c>
      <c r="H976" s="404" t="inlineStr">
        <is>
          <t>Стоимость материалов (всего)</t>
        </is>
      </c>
      <c r="I976" s="404" t="n"/>
      <c r="J976" s="404" t="n"/>
      <c r="K976" s="404" t="n">
        <v>226</v>
      </c>
      <c r="L976" s="404" t="n">
        <v>5</v>
      </c>
      <c r="M976" s="404" t="n">
        <v>3</v>
      </c>
      <c r="N976" s="404" t="inlineStr"/>
      <c r="O976" s="404" t="n">
        <v>0</v>
      </c>
      <c r="P976" s="404" t="n"/>
      <c r="Q976" s="404" t="n"/>
      <c r="R976" s="404" t="n"/>
      <c r="S976" s="404" t="n"/>
      <c r="T976" s="404" t="n"/>
      <c r="U976" s="404" t="n"/>
      <c r="V976" s="404" t="n"/>
      <c r="W976" s="404" t="n">
        <v>0</v>
      </c>
      <c r="X976" s="404" t="n">
        <v>1</v>
      </c>
      <c r="Y976" s="404" t="n">
        <v>0</v>
      </c>
      <c r="Z976" s="404" t="n"/>
      <c r="AA976" s="404" t="n"/>
      <c r="AB976" s="404" t="n"/>
    </row>
    <row r="977">
      <c r="A977" s="404" t="n">
        <v>50</v>
      </c>
      <c r="B977" s="404" t="n">
        <v>0</v>
      </c>
      <c r="C977" s="404" t="n">
        <v>0</v>
      </c>
      <c r="D977" s="404" t="n">
        <v>1</v>
      </c>
      <c r="E977" s="404" t="n">
        <v>227</v>
      </c>
      <c r="F977" s="404">
        <f>ROUND(Source!AX970,O977)</f>
        <v/>
      </c>
      <c r="G977" s="404" t="inlineStr">
        <is>
          <t>СтМатЗак</t>
        </is>
      </c>
      <c r="H977" s="404" t="inlineStr">
        <is>
          <t>Стоимость материалов заказчика</t>
        </is>
      </c>
      <c r="I977" s="404" t="n"/>
      <c r="J977" s="404" t="n"/>
      <c r="K977" s="404" t="n">
        <v>227</v>
      </c>
      <c r="L977" s="404" t="n">
        <v>6</v>
      </c>
      <c r="M977" s="404" t="n">
        <v>3</v>
      </c>
      <c r="N977" s="404" t="inlineStr"/>
      <c r="O977" s="404" t="n">
        <v>0</v>
      </c>
      <c r="P977" s="404" t="n"/>
      <c r="Q977" s="404" t="n"/>
      <c r="R977" s="404" t="n"/>
      <c r="S977" s="404" t="n"/>
      <c r="T977" s="404" t="n"/>
      <c r="U977" s="404" t="n"/>
      <c r="V977" s="404" t="n"/>
      <c r="W977" s="404" t="n">
        <v>0</v>
      </c>
      <c r="X977" s="404" t="n">
        <v>1</v>
      </c>
      <c r="Y977" s="404" t="n">
        <v>0</v>
      </c>
      <c r="Z977" s="404" t="n"/>
      <c r="AA977" s="404" t="n"/>
      <c r="AB977" s="404" t="n"/>
    </row>
    <row r="978">
      <c r="A978" s="404" t="n">
        <v>50</v>
      </c>
      <c r="B978" s="404" t="n">
        <v>0</v>
      </c>
      <c r="C978" s="404" t="n">
        <v>0</v>
      </c>
      <c r="D978" s="404" t="n">
        <v>1</v>
      </c>
      <c r="E978" s="404" t="n">
        <v>228</v>
      </c>
      <c r="F978" s="404">
        <f>ROUND(Source!AY970,O978)</f>
        <v/>
      </c>
      <c r="G978" s="404" t="inlineStr">
        <is>
          <t>СтМатПод</t>
        </is>
      </c>
      <c r="H978" s="404" t="inlineStr">
        <is>
          <t>Стоимость материалов подрядчика</t>
        </is>
      </c>
      <c r="I978" s="404" t="n"/>
      <c r="J978" s="404" t="n"/>
      <c r="K978" s="404" t="n">
        <v>228</v>
      </c>
      <c r="L978" s="404" t="n">
        <v>7</v>
      </c>
      <c r="M978" s="404" t="n">
        <v>3</v>
      </c>
      <c r="N978" s="404" t="inlineStr"/>
      <c r="O978" s="404" t="n">
        <v>0</v>
      </c>
      <c r="P978" s="404" t="n"/>
      <c r="Q978" s="404" t="n"/>
      <c r="R978" s="404" t="n"/>
      <c r="S978" s="404" t="n"/>
      <c r="T978" s="404" t="n"/>
      <c r="U978" s="404" t="n"/>
      <c r="V978" s="404" t="n"/>
      <c r="W978" s="404" t="n">
        <v>0</v>
      </c>
      <c r="X978" s="404" t="n">
        <v>1</v>
      </c>
      <c r="Y978" s="404" t="n">
        <v>0</v>
      </c>
      <c r="Z978" s="404" t="n"/>
      <c r="AA978" s="404" t="n"/>
      <c r="AB978" s="404" t="n"/>
    </row>
    <row r="979">
      <c r="A979" s="404" t="n">
        <v>50</v>
      </c>
      <c r="B979" s="404" t="n">
        <v>0</v>
      </c>
      <c r="C979" s="404" t="n">
        <v>0</v>
      </c>
      <c r="D979" s="404" t="n">
        <v>1</v>
      </c>
      <c r="E979" s="404" t="n">
        <v>216</v>
      </c>
      <c r="F979" s="404">
        <f>ROUND(Source!AP970,O979)</f>
        <v/>
      </c>
      <c r="G979" s="404" t="inlineStr">
        <is>
          <t>Оборуд</t>
        </is>
      </c>
      <c r="H979" s="404" t="inlineStr">
        <is>
          <t>Стоимость оборудования (всего)</t>
        </is>
      </c>
      <c r="I979" s="404" t="n"/>
      <c r="J979" s="404" t="n"/>
      <c r="K979" s="404" t="n">
        <v>216</v>
      </c>
      <c r="L979" s="404" t="n">
        <v>8</v>
      </c>
      <c r="M979" s="404" t="n">
        <v>3</v>
      </c>
      <c r="N979" s="404" t="inlineStr"/>
      <c r="O979" s="404" t="n">
        <v>0</v>
      </c>
      <c r="P979" s="404" t="n"/>
      <c r="Q979" s="404" t="n"/>
      <c r="R979" s="404" t="n"/>
      <c r="S979" s="404" t="n"/>
      <c r="T979" s="404" t="n"/>
      <c r="U979" s="404" t="n"/>
      <c r="V979" s="404" t="n"/>
      <c r="W979" s="404" t="n">
        <v>0</v>
      </c>
      <c r="X979" s="404" t="n">
        <v>1</v>
      </c>
      <c r="Y979" s="404" t="n">
        <v>0</v>
      </c>
      <c r="Z979" s="404" t="n"/>
      <c r="AA979" s="404" t="n"/>
      <c r="AB979" s="404" t="n"/>
    </row>
    <row r="980">
      <c r="A980" s="404" t="n">
        <v>50</v>
      </c>
      <c r="B980" s="404" t="n">
        <v>0</v>
      </c>
      <c r="C980" s="404" t="n">
        <v>0</v>
      </c>
      <c r="D980" s="404" t="n">
        <v>1</v>
      </c>
      <c r="E980" s="404" t="n">
        <v>223</v>
      </c>
      <c r="F980" s="404">
        <f>ROUND(Source!AQ970,O980)</f>
        <v/>
      </c>
      <c r="G980" s="404" t="inlineStr">
        <is>
          <t>ОборудЗак</t>
        </is>
      </c>
      <c r="H980" s="404" t="inlineStr">
        <is>
          <t>Стоимость оборудования заказчика</t>
        </is>
      </c>
      <c r="I980" s="404" t="n"/>
      <c r="J980" s="404" t="n"/>
      <c r="K980" s="404" t="n">
        <v>223</v>
      </c>
      <c r="L980" s="404" t="n">
        <v>9</v>
      </c>
      <c r="M980" s="404" t="n">
        <v>3</v>
      </c>
      <c r="N980" s="404" t="inlineStr"/>
      <c r="O980" s="404" t="n">
        <v>0</v>
      </c>
      <c r="P980" s="404" t="n"/>
      <c r="Q980" s="404" t="n"/>
      <c r="R980" s="404" t="n"/>
      <c r="S980" s="404" t="n"/>
      <c r="T980" s="404" t="n"/>
      <c r="U980" s="404" t="n"/>
      <c r="V980" s="404" t="n"/>
      <c r="W980" s="404" t="n">
        <v>0</v>
      </c>
      <c r="X980" s="404" t="n">
        <v>1</v>
      </c>
      <c r="Y980" s="404" t="n">
        <v>0</v>
      </c>
      <c r="Z980" s="404" t="n"/>
      <c r="AA980" s="404" t="n"/>
      <c r="AB980" s="404" t="n"/>
    </row>
    <row r="981">
      <c r="A981" s="404" t="n">
        <v>50</v>
      </c>
      <c r="B981" s="404" t="n">
        <v>0</v>
      </c>
      <c r="C981" s="404" t="n">
        <v>0</v>
      </c>
      <c r="D981" s="404" t="n">
        <v>1</v>
      </c>
      <c r="E981" s="404" t="n">
        <v>229</v>
      </c>
      <c r="F981" s="404">
        <f>ROUND(Source!AZ970,O981)</f>
        <v/>
      </c>
      <c r="G981" s="404" t="inlineStr">
        <is>
          <t>ОборудПод</t>
        </is>
      </c>
      <c r="H981" s="404" t="inlineStr">
        <is>
          <t>Стоимость оборудования подрядчика</t>
        </is>
      </c>
      <c r="I981" s="404" t="n"/>
      <c r="J981" s="404" t="n"/>
      <c r="K981" s="404" t="n">
        <v>229</v>
      </c>
      <c r="L981" s="404" t="n">
        <v>10</v>
      </c>
      <c r="M981" s="404" t="n">
        <v>3</v>
      </c>
      <c r="N981" s="404" t="inlineStr"/>
      <c r="O981" s="404" t="n">
        <v>0</v>
      </c>
      <c r="P981" s="404" t="n"/>
      <c r="Q981" s="404" t="n"/>
      <c r="R981" s="404" t="n"/>
      <c r="S981" s="404" t="n"/>
      <c r="T981" s="404" t="n"/>
      <c r="U981" s="404" t="n"/>
      <c r="V981" s="404" t="n"/>
      <c r="W981" s="404" t="n">
        <v>0</v>
      </c>
      <c r="X981" s="404" t="n">
        <v>1</v>
      </c>
      <c r="Y981" s="404" t="n">
        <v>0</v>
      </c>
      <c r="Z981" s="404" t="n"/>
      <c r="AA981" s="404" t="n"/>
      <c r="AB981" s="404" t="n"/>
    </row>
    <row r="982">
      <c r="A982" s="404" t="n">
        <v>50</v>
      </c>
      <c r="B982" s="404" t="n">
        <v>0</v>
      </c>
      <c r="C982" s="404" t="n">
        <v>0</v>
      </c>
      <c r="D982" s="404" t="n">
        <v>1</v>
      </c>
      <c r="E982" s="404" t="n">
        <v>203</v>
      </c>
      <c r="F982" s="404">
        <f>ROUND(Source!Q970,O982)</f>
        <v/>
      </c>
      <c r="G982" s="404" t="inlineStr">
        <is>
          <t>ЭММ</t>
        </is>
      </c>
      <c r="H982" s="404" t="inlineStr">
        <is>
          <t>Эксплуатация машин</t>
        </is>
      </c>
      <c r="I982" s="404" t="n"/>
      <c r="J982" s="404" t="n"/>
      <c r="K982" s="404" t="n">
        <v>203</v>
      </c>
      <c r="L982" s="404" t="n">
        <v>11</v>
      </c>
      <c r="M982" s="404" t="n">
        <v>3</v>
      </c>
      <c r="N982" s="404" t="inlineStr"/>
      <c r="O982" s="404" t="n">
        <v>0</v>
      </c>
      <c r="P982" s="404" t="n"/>
      <c r="Q982" s="404" t="n"/>
      <c r="R982" s="404" t="n"/>
      <c r="S982" s="404" t="n"/>
      <c r="T982" s="404" t="n"/>
      <c r="U982" s="404" t="n"/>
      <c r="V982" s="404" t="n"/>
      <c r="W982" s="404" t="n">
        <v>0</v>
      </c>
      <c r="X982" s="404" t="n">
        <v>1</v>
      </c>
      <c r="Y982" s="404" t="n">
        <v>0</v>
      </c>
      <c r="Z982" s="404" t="n"/>
      <c r="AA982" s="404" t="n"/>
      <c r="AB982" s="404" t="n"/>
    </row>
    <row r="983">
      <c r="A983" s="404" t="n">
        <v>50</v>
      </c>
      <c r="B983" s="404" t="n">
        <v>0</v>
      </c>
      <c r="C983" s="404" t="n">
        <v>0</v>
      </c>
      <c r="D983" s="404" t="n">
        <v>1</v>
      </c>
      <c r="E983" s="404" t="n">
        <v>231</v>
      </c>
      <c r="F983" s="404">
        <f>ROUND(Source!BB970,O983)</f>
        <v/>
      </c>
      <c r="G983" s="404" t="inlineStr">
        <is>
          <t>ЭММсНРиСП</t>
        </is>
      </c>
      <c r="H983" s="404" t="inlineStr">
        <is>
          <t>Эксплуатация машин по ТСН-2001.16</t>
        </is>
      </c>
      <c r="I983" s="404" t="n"/>
      <c r="J983" s="404" t="n"/>
      <c r="K983" s="404" t="n">
        <v>231</v>
      </c>
      <c r="L983" s="404" t="n">
        <v>12</v>
      </c>
      <c r="M983" s="404" t="n">
        <v>3</v>
      </c>
      <c r="N983" s="404" t="inlineStr"/>
      <c r="O983" s="404" t="n">
        <v>0</v>
      </c>
      <c r="P983" s="404" t="n"/>
      <c r="Q983" s="404" t="n"/>
      <c r="R983" s="404" t="n"/>
      <c r="S983" s="404" t="n"/>
      <c r="T983" s="404" t="n"/>
      <c r="U983" s="404" t="n"/>
      <c r="V983" s="404" t="n"/>
      <c r="W983" s="404" t="n">
        <v>0</v>
      </c>
      <c r="X983" s="404" t="n">
        <v>1</v>
      </c>
      <c r="Y983" s="404" t="n">
        <v>0</v>
      </c>
      <c r="Z983" s="404" t="n"/>
      <c r="AA983" s="404" t="n"/>
      <c r="AB983" s="404" t="n"/>
    </row>
    <row r="984">
      <c r="A984" s="404" t="n">
        <v>50</v>
      </c>
      <c r="B984" s="404" t="n">
        <v>0</v>
      </c>
      <c r="C984" s="404" t="n">
        <v>0</v>
      </c>
      <c r="D984" s="404" t="n">
        <v>1</v>
      </c>
      <c r="E984" s="404" t="n">
        <v>204</v>
      </c>
      <c r="F984" s="404">
        <f>ROUND(Source!R970,O984)</f>
        <v/>
      </c>
      <c r="G984" s="404" t="inlineStr">
        <is>
          <t>ЗПМ</t>
        </is>
      </c>
      <c r="H984" s="404" t="inlineStr">
        <is>
          <t>ЗП машинистов</t>
        </is>
      </c>
      <c r="I984" s="404" t="n"/>
      <c r="J984" s="404" t="n"/>
      <c r="K984" s="404" t="n">
        <v>204</v>
      </c>
      <c r="L984" s="404" t="n">
        <v>13</v>
      </c>
      <c r="M984" s="404" t="n">
        <v>3</v>
      </c>
      <c r="N984" s="404" t="inlineStr"/>
      <c r="O984" s="404" t="n">
        <v>0</v>
      </c>
      <c r="P984" s="404" t="n"/>
      <c r="Q984" s="404" t="n"/>
      <c r="R984" s="404" t="n"/>
      <c r="S984" s="404" t="n"/>
      <c r="T984" s="404" t="n"/>
      <c r="U984" s="404" t="n"/>
      <c r="V984" s="404" t="n"/>
      <c r="W984" s="404" t="n">
        <v>0</v>
      </c>
      <c r="X984" s="404" t="n">
        <v>1</v>
      </c>
      <c r="Y984" s="404" t="n">
        <v>0</v>
      </c>
      <c r="Z984" s="404" t="n"/>
      <c r="AA984" s="404" t="n"/>
      <c r="AB984" s="404" t="n"/>
    </row>
    <row r="985">
      <c r="A985" s="404" t="n">
        <v>50</v>
      </c>
      <c r="B985" s="404" t="n">
        <v>0</v>
      </c>
      <c r="C985" s="404" t="n">
        <v>0</v>
      </c>
      <c r="D985" s="404" t="n">
        <v>1</v>
      </c>
      <c r="E985" s="404" t="n">
        <v>205</v>
      </c>
      <c r="F985" s="404">
        <f>ROUND(Source!S970,O985)</f>
        <v/>
      </c>
      <c r="G985" s="404" t="inlineStr">
        <is>
          <t>ОЗП</t>
        </is>
      </c>
      <c r="H985" s="404" t="inlineStr">
        <is>
          <t>Основная ЗП рабочих</t>
        </is>
      </c>
      <c r="I985" s="404" t="n"/>
      <c r="J985" s="404" t="n"/>
      <c r="K985" s="404" t="n">
        <v>205</v>
      </c>
      <c r="L985" s="404" t="n">
        <v>14</v>
      </c>
      <c r="M985" s="404" t="n">
        <v>3</v>
      </c>
      <c r="N985" s="404" t="inlineStr"/>
      <c r="O985" s="404" t="n">
        <v>0</v>
      </c>
      <c r="P985" s="404" t="n"/>
      <c r="Q985" s="404" t="n"/>
      <c r="R985" s="404" t="n"/>
      <c r="S985" s="404" t="n"/>
      <c r="T985" s="404" t="n"/>
      <c r="U985" s="404" t="n"/>
      <c r="V985" s="404" t="n"/>
      <c r="W985" s="404" t="n">
        <v>0</v>
      </c>
      <c r="X985" s="404" t="n">
        <v>1</v>
      </c>
      <c r="Y985" s="404" t="n">
        <v>0</v>
      </c>
      <c r="Z985" s="404" t="n"/>
      <c r="AA985" s="404" t="n"/>
      <c r="AB985" s="404" t="n"/>
    </row>
    <row r="986">
      <c r="A986" s="404" t="n">
        <v>50</v>
      </c>
      <c r="B986" s="404" t="n">
        <v>0</v>
      </c>
      <c r="C986" s="404" t="n">
        <v>0</v>
      </c>
      <c r="D986" s="404" t="n">
        <v>1</v>
      </c>
      <c r="E986" s="404" t="n">
        <v>232</v>
      </c>
      <c r="F986" s="404">
        <f>ROUND(Source!BC970,O986)</f>
        <v/>
      </c>
      <c r="G986" s="404" t="inlineStr">
        <is>
          <t>ОЗПсНРиСП</t>
        </is>
      </c>
      <c r="H986" s="404" t="inlineStr">
        <is>
          <t>Основная ЗП рабочих по ТСН-2001.16</t>
        </is>
      </c>
      <c r="I986" s="404" t="n"/>
      <c r="J986" s="404" t="n"/>
      <c r="K986" s="404" t="n">
        <v>232</v>
      </c>
      <c r="L986" s="404" t="n">
        <v>15</v>
      </c>
      <c r="M986" s="404" t="n">
        <v>3</v>
      </c>
      <c r="N986" s="404" t="inlineStr"/>
      <c r="O986" s="404" t="n">
        <v>0</v>
      </c>
      <c r="P986" s="404" t="n"/>
      <c r="Q986" s="404" t="n"/>
      <c r="R986" s="404" t="n"/>
      <c r="S986" s="404" t="n"/>
      <c r="T986" s="404" t="n"/>
      <c r="U986" s="404" t="n"/>
      <c r="V986" s="404" t="n"/>
      <c r="W986" s="404" t="n">
        <v>0</v>
      </c>
      <c r="X986" s="404" t="n">
        <v>1</v>
      </c>
      <c r="Y986" s="404" t="n">
        <v>0</v>
      </c>
      <c r="Z986" s="404" t="n"/>
      <c r="AA986" s="404" t="n"/>
      <c r="AB986" s="404" t="n"/>
    </row>
    <row r="987">
      <c r="A987" s="404" t="n">
        <v>50</v>
      </c>
      <c r="B987" s="404" t="n">
        <v>0</v>
      </c>
      <c r="C987" s="404" t="n">
        <v>0</v>
      </c>
      <c r="D987" s="404" t="n">
        <v>1</v>
      </c>
      <c r="E987" s="404" t="n">
        <v>214</v>
      </c>
      <c r="F987" s="404">
        <f>ROUND(Source!AS970,O987)</f>
        <v/>
      </c>
      <c r="G987" s="404" t="inlineStr">
        <is>
          <t>Строит</t>
        </is>
      </c>
      <c r="H987" s="404" t="inlineStr">
        <is>
          <t>Строительные работы с НР и СП</t>
        </is>
      </c>
      <c r="I987" s="404" t="n"/>
      <c r="J987" s="404" t="n"/>
      <c r="K987" s="404" t="n">
        <v>214</v>
      </c>
      <c r="L987" s="404" t="n">
        <v>16</v>
      </c>
      <c r="M987" s="404" t="n">
        <v>3</v>
      </c>
      <c r="N987" s="404" t="inlineStr"/>
      <c r="O987" s="404" t="n">
        <v>0</v>
      </c>
      <c r="P987" s="404" t="n"/>
      <c r="Q987" s="404" t="n"/>
      <c r="R987" s="404" t="n"/>
      <c r="S987" s="404" t="n"/>
      <c r="T987" s="404" t="n"/>
      <c r="U987" s="404" t="n"/>
      <c r="V987" s="404" t="n"/>
      <c r="W987" s="404" t="n">
        <v>0</v>
      </c>
      <c r="X987" s="404" t="n">
        <v>1</v>
      </c>
      <c r="Y987" s="404" t="n">
        <v>0</v>
      </c>
      <c r="Z987" s="404" t="n"/>
      <c r="AA987" s="404" t="n"/>
      <c r="AB987" s="404" t="n"/>
    </row>
    <row r="988">
      <c r="A988" s="404" t="n">
        <v>50</v>
      </c>
      <c r="B988" s="404" t="n">
        <v>0</v>
      </c>
      <c r="C988" s="404" t="n">
        <v>0</v>
      </c>
      <c r="D988" s="404" t="n">
        <v>1</v>
      </c>
      <c r="E988" s="404" t="n">
        <v>215</v>
      </c>
      <c r="F988" s="404">
        <f>ROUND(Source!AT970,O988)</f>
        <v/>
      </c>
      <c r="G988" s="404" t="inlineStr">
        <is>
          <t>Монтаж</t>
        </is>
      </c>
      <c r="H988" s="404" t="inlineStr">
        <is>
          <t>Монтажные работы с НР и СП</t>
        </is>
      </c>
      <c r="I988" s="404" t="n"/>
      <c r="J988" s="404" t="n"/>
      <c r="K988" s="404" t="n">
        <v>215</v>
      </c>
      <c r="L988" s="404" t="n">
        <v>17</v>
      </c>
      <c r="M988" s="404" t="n">
        <v>3</v>
      </c>
      <c r="N988" s="404" t="inlineStr"/>
      <c r="O988" s="404" t="n">
        <v>0</v>
      </c>
      <c r="P988" s="404" t="n"/>
      <c r="Q988" s="404" t="n"/>
      <c r="R988" s="404" t="n"/>
      <c r="S988" s="404" t="n"/>
      <c r="T988" s="404" t="n"/>
      <c r="U988" s="404" t="n"/>
      <c r="V988" s="404" t="n"/>
      <c r="W988" s="404" t="n">
        <v>0</v>
      </c>
      <c r="X988" s="404" t="n">
        <v>1</v>
      </c>
      <c r="Y988" s="404" t="n">
        <v>0</v>
      </c>
      <c r="Z988" s="404" t="n"/>
      <c r="AA988" s="404" t="n"/>
      <c r="AB988" s="404" t="n"/>
    </row>
    <row r="989">
      <c r="A989" s="404" t="n">
        <v>50</v>
      </c>
      <c r="B989" s="404" t="n">
        <v>0</v>
      </c>
      <c r="C989" s="404" t="n">
        <v>0</v>
      </c>
      <c r="D989" s="404" t="n">
        <v>1</v>
      </c>
      <c r="E989" s="404" t="n">
        <v>217</v>
      </c>
      <c r="F989" s="404">
        <f>ROUND(Source!AU970,O989)</f>
        <v/>
      </c>
      <c r="G989" s="404" t="inlineStr">
        <is>
          <t>Прочие</t>
        </is>
      </c>
      <c r="H989" s="404" t="inlineStr">
        <is>
          <t>Прочие работы с НР и СП</t>
        </is>
      </c>
      <c r="I989" s="404" t="n"/>
      <c r="J989" s="404" t="n"/>
      <c r="K989" s="404" t="n">
        <v>217</v>
      </c>
      <c r="L989" s="404" t="n">
        <v>18</v>
      </c>
      <c r="M989" s="404" t="n">
        <v>3</v>
      </c>
      <c r="N989" s="404" t="inlineStr"/>
      <c r="O989" s="404" t="n">
        <v>0</v>
      </c>
      <c r="P989" s="404" t="n"/>
      <c r="Q989" s="404" t="n"/>
      <c r="R989" s="404" t="n"/>
      <c r="S989" s="404" t="n"/>
      <c r="T989" s="404" t="n"/>
      <c r="U989" s="404" t="n"/>
      <c r="V989" s="404" t="n"/>
      <c r="W989" s="404" t="n">
        <v>0</v>
      </c>
      <c r="X989" s="404" t="n">
        <v>1</v>
      </c>
      <c r="Y989" s="404" t="n">
        <v>0</v>
      </c>
      <c r="Z989" s="404" t="n"/>
      <c r="AA989" s="404" t="n"/>
      <c r="AB989" s="404" t="n"/>
    </row>
    <row r="990">
      <c r="A990" s="404" t="n">
        <v>50</v>
      </c>
      <c r="B990" s="404" t="n">
        <v>0</v>
      </c>
      <c r="C990" s="404" t="n">
        <v>0</v>
      </c>
      <c r="D990" s="404" t="n">
        <v>1</v>
      </c>
      <c r="E990" s="404" t="n">
        <v>230</v>
      </c>
      <c r="F990" s="404">
        <f>ROUND(Source!BA970,O990)</f>
        <v/>
      </c>
      <c r="G990" s="404" t="inlineStr">
        <is>
          <t>ПрочиеЗатр</t>
        </is>
      </c>
      <c r="H990" s="404" t="inlineStr">
        <is>
          <t>Прочие затраты по ТСН-2001.16</t>
        </is>
      </c>
      <c r="I990" s="404" t="n"/>
      <c r="J990" s="404" t="n"/>
      <c r="K990" s="404" t="n">
        <v>230</v>
      </c>
      <c r="L990" s="404" t="n">
        <v>19</v>
      </c>
      <c r="M990" s="404" t="n">
        <v>3</v>
      </c>
      <c r="N990" s="404" t="inlineStr"/>
      <c r="O990" s="404" t="n">
        <v>0</v>
      </c>
      <c r="P990" s="404" t="n"/>
      <c r="Q990" s="404" t="n"/>
      <c r="R990" s="404" t="n"/>
      <c r="S990" s="404" t="n"/>
      <c r="T990" s="404" t="n"/>
      <c r="U990" s="404" t="n"/>
      <c r="V990" s="404" t="n"/>
      <c r="W990" s="404" t="n">
        <v>0</v>
      </c>
      <c r="X990" s="404" t="n">
        <v>1</v>
      </c>
      <c r="Y990" s="404" t="n">
        <v>0</v>
      </c>
      <c r="Z990" s="404" t="n"/>
      <c r="AA990" s="404" t="n"/>
      <c r="AB990" s="404" t="n"/>
    </row>
    <row r="991">
      <c r="A991" s="404" t="n">
        <v>50</v>
      </c>
      <c r="B991" s="404" t="n">
        <v>0</v>
      </c>
      <c r="C991" s="404" t="n">
        <v>0</v>
      </c>
      <c r="D991" s="404" t="n">
        <v>1</v>
      </c>
      <c r="E991" s="404" t="n">
        <v>206</v>
      </c>
      <c r="F991" s="404">
        <f>ROUND(Source!T970,O991)</f>
        <v/>
      </c>
      <c r="G991" s="404" t="inlineStr">
        <is>
          <t>ВозврМат</t>
        </is>
      </c>
      <c r="H991" s="404" t="inlineStr">
        <is>
          <t>Возврат материалов</t>
        </is>
      </c>
      <c r="I991" s="404" t="n"/>
      <c r="J991" s="404" t="n"/>
      <c r="K991" s="404" t="n">
        <v>206</v>
      </c>
      <c r="L991" s="404" t="n">
        <v>20</v>
      </c>
      <c r="M991" s="404" t="n">
        <v>3</v>
      </c>
      <c r="N991" s="404" t="inlineStr"/>
      <c r="O991" s="404" t="n">
        <v>0</v>
      </c>
      <c r="P991" s="404" t="n"/>
      <c r="Q991" s="404" t="n"/>
      <c r="R991" s="404" t="n"/>
      <c r="S991" s="404" t="n"/>
      <c r="T991" s="404" t="n"/>
      <c r="U991" s="404" t="n"/>
      <c r="V991" s="404" t="n"/>
      <c r="W991" s="404" t="n">
        <v>0</v>
      </c>
      <c r="X991" s="404" t="n">
        <v>1</v>
      </c>
      <c r="Y991" s="404" t="n">
        <v>0</v>
      </c>
      <c r="Z991" s="404" t="n"/>
      <c r="AA991" s="404" t="n"/>
      <c r="AB991" s="404" t="n"/>
    </row>
    <row r="992">
      <c r="A992" s="404" t="n">
        <v>50</v>
      </c>
      <c r="B992" s="404" t="n">
        <v>0</v>
      </c>
      <c r="C992" s="404" t="n">
        <v>0</v>
      </c>
      <c r="D992" s="404" t="n">
        <v>1</v>
      </c>
      <c r="E992" s="404" t="n">
        <v>207</v>
      </c>
      <c r="F992" s="404">
        <f>ROUND(Source!U970,O992)</f>
        <v/>
      </c>
      <c r="G992" s="404" t="inlineStr">
        <is>
          <t>ТрудСтр</t>
        </is>
      </c>
      <c r="H992" s="404" t="inlineStr">
        <is>
          <t>Трудозатраты строителей</t>
        </is>
      </c>
      <c r="I992" s="404" t="n"/>
      <c r="J992" s="404" t="n"/>
      <c r="K992" s="404" t="n">
        <v>207</v>
      </c>
      <c r="L992" s="404" t="n">
        <v>21</v>
      </c>
      <c r="M992" s="404" t="n">
        <v>3</v>
      </c>
      <c r="N992" s="404" t="inlineStr"/>
      <c r="O992" s="404" t="n">
        <v>7</v>
      </c>
      <c r="P992" s="404" t="n"/>
      <c r="Q992" s="404" t="n"/>
      <c r="R992" s="404" t="n"/>
      <c r="S992" s="404" t="n"/>
      <c r="T992" s="404" t="n"/>
      <c r="U992" s="404" t="n"/>
      <c r="V992" s="404" t="n"/>
      <c r="W992" s="404" t="n">
        <v>0</v>
      </c>
      <c r="X992" s="404" t="n">
        <v>1</v>
      </c>
      <c r="Y992" s="404" t="n">
        <v>0</v>
      </c>
      <c r="Z992" s="404" t="n"/>
      <c r="AA992" s="404" t="n"/>
      <c r="AB992" s="404" t="n"/>
    </row>
    <row r="993">
      <c r="A993" s="404" t="n">
        <v>50</v>
      </c>
      <c r="B993" s="404" t="n">
        <v>0</v>
      </c>
      <c r="C993" s="404" t="n">
        <v>0</v>
      </c>
      <c r="D993" s="404" t="n">
        <v>1</v>
      </c>
      <c r="E993" s="404" t="n">
        <v>208</v>
      </c>
      <c r="F993" s="404">
        <f>ROUND(Source!V970,O993)</f>
        <v/>
      </c>
      <c r="G993" s="404" t="inlineStr">
        <is>
          <t>ТрудМаш</t>
        </is>
      </c>
      <c r="H993" s="404" t="inlineStr">
        <is>
          <t>Трудозатраты машинистов</t>
        </is>
      </c>
      <c r="I993" s="404" t="n"/>
      <c r="J993" s="404" t="n"/>
      <c r="K993" s="404" t="n">
        <v>208</v>
      </c>
      <c r="L993" s="404" t="n">
        <v>22</v>
      </c>
      <c r="M993" s="404" t="n">
        <v>3</v>
      </c>
      <c r="N993" s="404" t="inlineStr"/>
      <c r="O993" s="404" t="n">
        <v>7</v>
      </c>
      <c r="P993" s="404" t="n"/>
      <c r="Q993" s="404" t="n"/>
      <c r="R993" s="404" t="n"/>
      <c r="S993" s="404" t="n"/>
      <c r="T993" s="404" t="n"/>
      <c r="U993" s="404" t="n"/>
      <c r="V993" s="404" t="n"/>
      <c r="W993" s="404" t="n">
        <v>0</v>
      </c>
      <c r="X993" s="404" t="n">
        <v>1</v>
      </c>
      <c r="Y993" s="404" t="n">
        <v>0</v>
      </c>
      <c r="Z993" s="404" t="n"/>
      <c r="AA993" s="404" t="n"/>
      <c r="AB993" s="404" t="n"/>
    </row>
    <row r="994">
      <c r="A994" s="404" t="n">
        <v>50</v>
      </c>
      <c r="B994" s="404" t="n">
        <v>0</v>
      </c>
      <c r="C994" s="404" t="n">
        <v>0</v>
      </c>
      <c r="D994" s="404" t="n">
        <v>1</v>
      </c>
      <c r="E994" s="404" t="n">
        <v>209</v>
      </c>
      <c r="F994" s="404">
        <f>ROUND(Source!W970,O994)</f>
        <v/>
      </c>
      <c r="G994" s="404" t="inlineStr">
        <is>
          <t>ТранспМат</t>
        </is>
      </c>
      <c r="H994" s="404" t="inlineStr">
        <is>
          <t>Транспорт материалов</t>
        </is>
      </c>
      <c r="I994" s="404" t="n"/>
      <c r="J994" s="404" t="n"/>
      <c r="K994" s="404" t="n">
        <v>209</v>
      </c>
      <c r="L994" s="404" t="n">
        <v>23</v>
      </c>
      <c r="M994" s="404" t="n">
        <v>3</v>
      </c>
      <c r="N994" s="404" t="inlineStr"/>
      <c r="O994" s="404" t="n">
        <v>0</v>
      </c>
      <c r="P994" s="404" t="n"/>
      <c r="Q994" s="404" t="n"/>
      <c r="R994" s="404" t="n"/>
      <c r="S994" s="404" t="n"/>
      <c r="T994" s="404" t="n"/>
      <c r="U994" s="404" t="n"/>
      <c r="V994" s="404" t="n"/>
      <c r="W994" s="404" t="n">
        <v>0</v>
      </c>
      <c r="X994" s="404" t="n">
        <v>1</v>
      </c>
      <c r="Y994" s="404" t="n">
        <v>0</v>
      </c>
      <c r="Z994" s="404" t="n"/>
      <c r="AA994" s="404" t="n"/>
      <c r="AB994" s="404" t="n"/>
    </row>
    <row r="995">
      <c r="A995" s="404" t="n">
        <v>50</v>
      </c>
      <c r="B995" s="404" t="n">
        <v>0</v>
      </c>
      <c r="C995" s="404" t="n">
        <v>0</v>
      </c>
      <c r="D995" s="404" t="n">
        <v>1</v>
      </c>
      <c r="E995" s="404" t="n">
        <v>233</v>
      </c>
      <c r="F995" s="404">
        <f>ROUND(Source!BD970,O995)</f>
        <v/>
      </c>
      <c r="G995" s="404" t="inlineStr">
        <is>
          <t>Перевозка</t>
        </is>
      </c>
      <c r="H995" s="404" t="inlineStr">
        <is>
          <t>Перевозка грузов</t>
        </is>
      </c>
      <c r="I995" s="404" t="n"/>
      <c r="J995" s="404" t="n"/>
      <c r="K995" s="404" t="n">
        <v>233</v>
      </c>
      <c r="L995" s="404" t="n">
        <v>24</v>
      </c>
      <c r="M995" s="404" t="n">
        <v>3</v>
      </c>
      <c r="N995" s="404" t="inlineStr"/>
      <c r="O995" s="404" t="n">
        <v>0</v>
      </c>
      <c r="P995" s="404" t="n"/>
      <c r="Q995" s="404" t="n"/>
      <c r="R995" s="404" t="n"/>
      <c r="S995" s="404" t="n"/>
      <c r="T995" s="404" t="n"/>
      <c r="U995" s="404" t="n"/>
      <c r="V995" s="404" t="n"/>
      <c r="W995" s="404" t="n">
        <v>0</v>
      </c>
      <c r="X995" s="404" t="n">
        <v>1</v>
      </c>
      <c r="Y995" s="404" t="n">
        <v>0</v>
      </c>
      <c r="Z995" s="404" t="n"/>
      <c r="AA995" s="404" t="n"/>
      <c r="AB995" s="404" t="n"/>
    </row>
    <row r="996">
      <c r="A996" s="404" t="n">
        <v>50</v>
      </c>
      <c r="B996" s="404" t="n">
        <v>0</v>
      </c>
      <c r="C996" s="404" t="n">
        <v>0</v>
      </c>
      <c r="D996" s="404" t="n">
        <v>1</v>
      </c>
      <c r="E996" s="404" t="n">
        <v>210</v>
      </c>
      <c r="F996" s="404">
        <f>ROUND(Source!X970,O996)</f>
        <v/>
      </c>
      <c r="G996" s="404" t="inlineStr">
        <is>
          <t>НР</t>
        </is>
      </c>
      <c r="H996" s="404" t="inlineStr">
        <is>
          <t>Накладные расходы</t>
        </is>
      </c>
      <c r="I996" s="404" t="n"/>
      <c r="J996" s="404" t="n"/>
      <c r="K996" s="404" t="n">
        <v>210</v>
      </c>
      <c r="L996" s="404" t="n">
        <v>25</v>
      </c>
      <c r="M996" s="404" t="n">
        <v>3</v>
      </c>
      <c r="N996" s="404" t="inlineStr"/>
      <c r="O996" s="404" t="n">
        <v>0</v>
      </c>
      <c r="P996" s="404" t="n"/>
      <c r="Q996" s="404" t="n"/>
      <c r="R996" s="404" t="n"/>
      <c r="S996" s="404" t="n"/>
      <c r="T996" s="404" t="n"/>
      <c r="U996" s="404" t="n"/>
      <c r="V996" s="404" t="n"/>
      <c r="W996" s="404" t="n">
        <v>0</v>
      </c>
      <c r="X996" s="404" t="n">
        <v>1</v>
      </c>
      <c r="Y996" s="404" t="n">
        <v>0</v>
      </c>
      <c r="Z996" s="404" t="n"/>
      <c r="AA996" s="404" t="n"/>
      <c r="AB996" s="404" t="n"/>
    </row>
    <row r="997">
      <c r="A997" s="404" t="n">
        <v>50</v>
      </c>
      <c r="B997" s="404" t="n">
        <v>0</v>
      </c>
      <c r="C997" s="404" t="n">
        <v>0</v>
      </c>
      <c r="D997" s="404" t="n">
        <v>1</v>
      </c>
      <c r="E997" s="404" t="n">
        <v>211</v>
      </c>
      <c r="F997" s="404">
        <f>ROUND(Source!Y970,O997)</f>
        <v/>
      </c>
      <c r="G997" s="404" t="inlineStr">
        <is>
          <t>СмПриб</t>
        </is>
      </c>
      <c r="H997" s="404" t="inlineStr">
        <is>
          <t>Сметная прибыль</t>
        </is>
      </c>
      <c r="I997" s="404" t="n"/>
      <c r="J997" s="404" t="n"/>
      <c r="K997" s="404" t="n">
        <v>211</v>
      </c>
      <c r="L997" s="404" t="n">
        <v>26</v>
      </c>
      <c r="M997" s="404" t="n">
        <v>3</v>
      </c>
      <c r="N997" s="404" t="inlineStr"/>
      <c r="O997" s="404" t="n">
        <v>0</v>
      </c>
      <c r="P997" s="404" t="n"/>
      <c r="Q997" s="404" t="n"/>
      <c r="R997" s="404" t="n"/>
      <c r="S997" s="404" t="n"/>
      <c r="T997" s="404" t="n"/>
      <c r="U997" s="404" t="n"/>
      <c r="V997" s="404" t="n"/>
      <c r="W997" s="404" t="n">
        <v>0</v>
      </c>
      <c r="X997" s="404" t="n">
        <v>1</v>
      </c>
      <c r="Y997" s="404" t="n">
        <v>0</v>
      </c>
      <c r="Z997" s="404" t="n"/>
      <c r="AA997" s="404" t="n"/>
      <c r="AB997" s="404" t="n"/>
    </row>
    <row r="998">
      <c r="A998" s="404" t="n">
        <v>50</v>
      </c>
      <c r="B998" s="404" t="n">
        <v>0</v>
      </c>
      <c r="C998" s="404" t="n">
        <v>0</v>
      </c>
      <c r="D998" s="404" t="n">
        <v>1</v>
      </c>
      <c r="E998" s="404" t="n">
        <v>224</v>
      </c>
      <c r="F998" s="404">
        <f>ROUND(Source!AR970,O998)</f>
        <v/>
      </c>
      <c r="G998" s="404" t="inlineStr">
        <is>
          <t>Всего</t>
        </is>
      </c>
      <c r="H998" s="404" t="inlineStr">
        <is>
          <t>Всего с НР и СП</t>
        </is>
      </c>
      <c r="I998" s="404" t="n"/>
      <c r="J998" s="404" t="n"/>
      <c r="K998" s="404" t="n">
        <v>224</v>
      </c>
      <c r="L998" s="404" t="n">
        <v>27</v>
      </c>
      <c r="M998" s="404" t="n">
        <v>3</v>
      </c>
      <c r="N998" s="404" t="inlineStr"/>
      <c r="O998" s="404" t="n">
        <v>0</v>
      </c>
      <c r="P998" s="404" t="n"/>
      <c r="Q998" s="404" t="n"/>
      <c r="R998" s="404" t="n"/>
      <c r="S998" s="404" t="n"/>
      <c r="T998" s="404" t="n"/>
      <c r="U998" s="404" t="n"/>
      <c r="V998" s="404" t="n"/>
      <c r="W998" s="404" t="n">
        <v>0</v>
      </c>
      <c r="X998" s="404" t="n">
        <v>1</v>
      </c>
      <c r="Y998" s="404" t="n">
        <v>0</v>
      </c>
      <c r="Z998" s="404" t="n"/>
      <c r="AA998" s="404" t="n"/>
      <c r="AB998" s="404" t="n"/>
    </row>
    <row r="999">
      <c r="A999" s="404" t="n">
        <v>50</v>
      </c>
      <c r="B999" s="404" t="n">
        <v>0</v>
      </c>
      <c r="C999" s="404" t="n">
        <v>0</v>
      </c>
      <c r="D999" s="404" t="n">
        <v>2</v>
      </c>
      <c r="E999" s="404" t="n">
        <v>0</v>
      </c>
      <c r="F999" s="404">
        <f>ROUND(F998,O999)</f>
        <v/>
      </c>
      <c r="G999" s="404" t="inlineStr">
        <is>
          <t>и1</t>
        </is>
      </c>
      <c r="H999" s="404" t="inlineStr">
        <is>
          <t>Итого</t>
        </is>
      </c>
      <c r="I999" s="404" t="n"/>
      <c r="J999" s="404" t="n"/>
      <c r="K999" s="404" t="n">
        <v>212</v>
      </c>
      <c r="L999" s="404" t="n">
        <v>28</v>
      </c>
      <c r="M999" s="404" t="n">
        <v>0</v>
      </c>
      <c r="N999" s="404" t="inlineStr"/>
      <c r="O999" s="404" t="n">
        <v>0</v>
      </c>
      <c r="P999" s="404" t="n"/>
      <c r="Q999" s="404" t="n"/>
      <c r="R999" s="404" t="n"/>
      <c r="S999" s="404" t="n"/>
      <c r="T999" s="404" t="n"/>
      <c r="U999" s="404" t="n"/>
      <c r="V999" s="404" t="n"/>
      <c r="W999" s="404" t="n">
        <v>0</v>
      </c>
      <c r="X999" s="404" t="n">
        <v>1</v>
      </c>
      <c r="Y999" s="404" t="n">
        <v>0</v>
      </c>
      <c r="Z999" s="404" t="n"/>
      <c r="AA999" s="404" t="n"/>
      <c r="AB999" s="404" t="n"/>
    </row>
    <row r="1000">
      <c r="A1000" s="404" t="n">
        <v>50</v>
      </c>
      <c r="B1000" s="404" t="n">
        <v>0</v>
      </c>
      <c r="C1000" s="404" t="n">
        <v>0</v>
      </c>
      <c r="D1000" s="404" t="n">
        <v>2</v>
      </c>
      <c r="E1000" s="404" t="n">
        <v>0</v>
      </c>
      <c r="F1000" s="404">
        <f>ROUND(F999*0.22,O1000)</f>
        <v/>
      </c>
      <c r="G1000" s="404" t="inlineStr">
        <is>
          <t>и2</t>
        </is>
      </c>
      <c r="H1000" s="404" t="inlineStr">
        <is>
          <t>НДС 22%</t>
        </is>
      </c>
      <c r="I1000" s="404" t="n"/>
      <c r="J1000" s="404" t="n"/>
      <c r="K1000" s="404" t="n">
        <v>212</v>
      </c>
      <c r="L1000" s="404" t="n">
        <v>29</v>
      </c>
      <c r="M1000" s="404" t="n">
        <v>0</v>
      </c>
      <c r="N1000" s="404" t="inlineStr"/>
      <c r="O1000" s="404" t="n">
        <v>0</v>
      </c>
      <c r="P1000" s="404" t="n"/>
      <c r="Q1000" s="404" t="n"/>
      <c r="R1000" s="404" t="n"/>
      <c r="S1000" s="404" t="n"/>
      <c r="T1000" s="404" t="n"/>
      <c r="U1000" s="404" t="n"/>
      <c r="V1000" s="404" t="n"/>
      <c r="W1000" s="404" t="n">
        <v>0</v>
      </c>
      <c r="X1000" s="404" t="n">
        <v>1</v>
      </c>
      <c r="Y1000" s="404" t="n">
        <v>0</v>
      </c>
      <c r="Z1000" s="404" t="n"/>
      <c r="AA1000" s="404" t="n"/>
      <c r="AB1000" s="404" t="n"/>
    </row>
    <row r="1001">
      <c r="A1001" s="404" t="n">
        <v>50</v>
      </c>
      <c r="B1001" s="404" t="n">
        <v>0</v>
      </c>
      <c r="C1001" s="404" t="n">
        <v>0</v>
      </c>
      <c r="D1001" s="404" t="n">
        <v>2</v>
      </c>
      <c r="E1001" s="404" t="n">
        <v>213</v>
      </c>
      <c r="F1001" s="404">
        <f>ROUND(F999+F1000,O1001)</f>
        <v/>
      </c>
      <c r="G1001" s="404" t="inlineStr">
        <is>
          <t>и3</t>
        </is>
      </c>
      <c r="H1001" s="404" t="inlineStr">
        <is>
          <t>Всего</t>
        </is>
      </c>
      <c r="I1001" s="404" t="n"/>
      <c r="J1001" s="404" t="n"/>
      <c r="K1001" s="404" t="n">
        <v>212</v>
      </c>
      <c r="L1001" s="404" t="n">
        <v>30</v>
      </c>
      <c r="M1001" s="404" t="n">
        <v>0</v>
      </c>
      <c r="N1001" s="404" t="inlineStr"/>
      <c r="O1001" s="404" t="n">
        <v>0</v>
      </c>
      <c r="P1001" s="404" t="n"/>
      <c r="Q1001" s="404" t="n"/>
      <c r="R1001" s="404" t="n"/>
      <c r="S1001" s="404" t="n"/>
      <c r="T1001" s="404" t="n"/>
      <c r="U1001" s="404" t="n"/>
      <c r="V1001" s="404" t="n"/>
      <c r="W1001" s="404" t="n">
        <v>0</v>
      </c>
      <c r="X1001" s="404" t="n">
        <v>1</v>
      </c>
      <c r="Y1001" s="404" t="n">
        <v>0</v>
      </c>
      <c r="Z1001" s="404" t="n"/>
      <c r="AA1001" s="404" t="n"/>
      <c r="AB1001" s="404" t="n"/>
    </row>
    <row r="1002"/>
    <row r="1003">
      <c r="A1003" s="401" t="n">
        <v>3</v>
      </c>
      <c r="B1003" s="401" t="n">
        <v>0</v>
      </c>
      <c r="C1003" s="401" t="n"/>
      <c r="D1003" s="401">
        <f>ROW(A1009)</f>
        <v/>
      </c>
      <c r="E1003" s="401" t="n"/>
      <c r="F1003" s="401" t="inlineStr">
        <is>
          <t>Новая локальная смета</t>
        </is>
      </c>
      <c r="G1003" s="401" t="inlineStr">
        <is>
          <t>Урожайная 4</t>
        </is>
      </c>
      <c r="H1003" s="401" t="inlineStr"/>
      <c r="I1003" s="401" t="n">
        <v>0</v>
      </c>
      <c r="J1003" s="401" t="inlineStr"/>
      <c r="K1003" s="401" t="n">
        <v>0</v>
      </c>
      <c r="L1003" s="401" t="inlineStr">
        <is>
          <t>Новая локальная смета</t>
        </is>
      </c>
      <c r="M1003" s="401" t="inlineStr"/>
      <c r="N1003" s="401" t="n"/>
      <c r="O1003" s="401" t="n"/>
      <c r="P1003" s="401" t="n"/>
      <c r="Q1003" s="401" t="n"/>
      <c r="R1003" s="401" t="n"/>
      <c r="S1003" s="401" t="n">
        <v>0</v>
      </c>
      <c r="T1003" s="401" t="n"/>
      <c r="U1003" s="401" t="inlineStr"/>
      <c r="V1003" s="401" t="n">
        <v>0</v>
      </c>
      <c r="W1003" s="401" t="n"/>
      <c r="X1003" s="401" t="n"/>
      <c r="Y1003" s="401" t="n"/>
      <c r="Z1003" s="401" t="n"/>
      <c r="AA1003" s="401" t="n"/>
      <c r="AB1003" s="401" t="inlineStr"/>
      <c r="AC1003" s="401" t="inlineStr"/>
      <c r="AD1003" s="401" t="inlineStr"/>
      <c r="AE1003" s="401" t="inlineStr"/>
      <c r="AF1003" s="401" t="inlineStr"/>
      <c r="AG1003" s="401" t="inlineStr"/>
      <c r="AH1003" s="401" t="n"/>
      <c r="AI1003" s="401" t="n"/>
      <c r="AJ1003" s="401" t="n"/>
      <c r="AK1003" s="401" t="n"/>
      <c r="AL1003" s="401" t="n"/>
      <c r="AM1003" s="401" t="n"/>
      <c r="AN1003" s="401" t="n"/>
      <c r="AO1003" s="401" t="n"/>
      <c r="AP1003" s="401" t="inlineStr"/>
      <c r="AQ1003" s="401" t="inlineStr"/>
      <c r="AR1003" s="401" t="inlineStr"/>
      <c r="AS1003" s="401" t="n"/>
      <c r="AT1003" s="401" t="n"/>
      <c r="AU1003" s="401" t="n"/>
      <c r="AV1003" s="401" t="n"/>
      <c r="AW1003" s="401" t="n"/>
      <c r="AX1003" s="401" t="n"/>
      <c r="AY1003" s="401" t="n"/>
      <c r="AZ1003" s="401" t="inlineStr"/>
      <c r="BA1003" s="401" t="n"/>
      <c r="BB1003" s="401" t="inlineStr"/>
      <c r="BC1003" s="401" t="inlineStr"/>
      <c r="BD1003" s="401" t="inlineStr"/>
      <c r="BE1003" s="401" t="inlineStr"/>
      <c r="BF1003" s="401" t="inlineStr"/>
      <c r="BG1003" s="401" t="inlineStr"/>
      <c r="BH1003" s="401" t="inlineStr"/>
      <c r="BI1003" s="401" t="inlineStr"/>
      <c r="BJ1003" s="401" t="inlineStr"/>
      <c r="BK1003" s="401" t="inlineStr"/>
      <c r="BL1003" s="401" t="inlineStr"/>
      <c r="BM1003" s="401" t="inlineStr"/>
      <c r="BN1003" s="401" t="inlineStr"/>
      <c r="BO1003" s="401" t="inlineStr"/>
      <c r="BP1003" s="401" t="inlineStr"/>
      <c r="BQ1003" s="401" t="n"/>
      <c r="BR1003" s="401" t="n"/>
      <c r="BS1003" s="401" t="n"/>
      <c r="BT1003" s="401" t="n"/>
      <c r="BU1003" s="401" t="n"/>
      <c r="BV1003" s="401" t="n"/>
      <c r="BW1003" s="401" t="n"/>
      <c r="BX1003" s="401" t="n">
        <v>0</v>
      </c>
      <c r="BY1003" s="401" t="n"/>
      <c r="BZ1003" s="401" t="n"/>
      <c r="CA1003" s="401" t="n"/>
      <c r="CB1003" s="401" t="n"/>
      <c r="CC1003" s="401" t="n"/>
      <c r="CD1003" s="401" t="n"/>
      <c r="CE1003" s="401" t="n"/>
      <c r="CF1003" s="401" t="n">
        <v>0</v>
      </c>
      <c r="CG1003" s="401" t="n">
        <v>0</v>
      </c>
      <c r="CH1003" s="401" t="n"/>
      <c r="CI1003" s="401" t="inlineStr"/>
      <c r="CJ1003" s="401" t="inlineStr"/>
      <c r="CK1003" t="inlineStr"/>
      <c r="CL1003" t="inlineStr"/>
      <c r="CM1003" t="inlineStr"/>
      <c r="CN1003" t="inlineStr"/>
      <c r="CO1003" t="inlineStr"/>
      <c r="CP1003" t="inlineStr"/>
      <c r="CQ1003" t="inlineStr"/>
    </row>
    <row r="1004"/>
    <row r="1005">
      <c r="A1005" s="402" t="n">
        <v>52</v>
      </c>
      <c r="B1005" s="402">
        <f>B1009</f>
        <v/>
      </c>
      <c r="C1005" s="402">
        <f>C1009</f>
        <v/>
      </c>
      <c r="D1005" s="402">
        <f>D1009</f>
        <v/>
      </c>
      <c r="E1005" s="402">
        <f>E1009</f>
        <v/>
      </c>
      <c r="F1005" s="402">
        <f>F1009</f>
        <v/>
      </c>
      <c r="G1005" s="402">
        <f>G1009</f>
        <v/>
      </c>
      <c r="H1005" s="402" t="n"/>
      <c r="I1005" s="402" t="n"/>
      <c r="J1005" s="402" t="n"/>
      <c r="K1005" s="402" t="n"/>
      <c r="L1005" s="402" t="n"/>
      <c r="M1005" s="402" t="n"/>
      <c r="N1005" s="402" t="n"/>
      <c r="O1005" s="402">
        <f>O1009</f>
        <v/>
      </c>
      <c r="P1005" s="402">
        <f>P1009</f>
        <v/>
      </c>
      <c r="Q1005" s="402">
        <f>Q1009</f>
        <v/>
      </c>
      <c r="R1005" s="402">
        <f>R1009</f>
        <v/>
      </c>
      <c r="S1005" s="402">
        <f>S1009</f>
        <v/>
      </c>
      <c r="T1005" s="402">
        <f>T1009</f>
        <v/>
      </c>
      <c r="U1005" s="402">
        <f>U1009</f>
        <v/>
      </c>
      <c r="V1005" s="402">
        <f>V1009</f>
        <v/>
      </c>
      <c r="W1005" s="402">
        <f>W1009</f>
        <v/>
      </c>
      <c r="X1005" s="402">
        <f>X1009</f>
        <v/>
      </c>
      <c r="Y1005" s="402">
        <f>Y1009</f>
        <v/>
      </c>
      <c r="Z1005" s="402">
        <f>Z1009</f>
        <v/>
      </c>
      <c r="AA1005" s="402">
        <f>AA1009</f>
        <v/>
      </c>
      <c r="AB1005" s="402">
        <f>AB1009</f>
        <v/>
      </c>
      <c r="AC1005" s="402">
        <f>AC1009</f>
        <v/>
      </c>
      <c r="AD1005" s="402">
        <f>AD1009</f>
        <v/>
      </c>
      <c r="AE1005" s="402">
        <f>AE1009</f>
        <v/>
      </c>
      <c r="AF1005" s="402">
        <f>AF1009</f>
        <v/>
      </c>
      <c r="AG1005" s="402">
        <f>AG1009</f>
        <v/>
      </c>
      <c r="AH1005" s="402">
        <f>AH1009</f>
        <v/>
      </c>
      <c r="AI1005" s="402">
        <f>AI1009</f>
        <v/>
      </c>
      <c r="AJ1005" s="402">
        <f>AJ1009</f>
        <v/>
      </c>
      <c r="AK1005" s="402">
        <f>AK1009</f>
        <v/>
      </c>
      <c r="AL1005" s="402">
        <f>AL1009</f>
        <v/>
      </c>
      <c r="AM1005" s="402">
        <f>AM1009</f>
        <v/>
      </c>
      <c r="AN1005" s="402">
        <f>AN1009</f>
        <v/>
      </c>
      <c r="AO1005" s="402">
        <f>AO1009</f>
        <v/>
      </c>
      <c r="AP1005" s="402">
        <f>AP1009</f>
        <v/>
      </c>
      <c r="AQ1005" s="402">
        <f>AQ1009</f>
        <v/>
      </c>
      <c r="AR1005" s="402">
        <f>AR1009</f>
        <v/>
      </c>
      <c r="AS1005" s="402">
        <f>AS1009</f>
        <v/>
      </c>
      <c r="AT1005" s="402">
        <f>AT1009</f>
        <v/>
      </c>
      <c r="AU1005" s="402">
        <f>AU1009</f>
        <v/>
      </c>
      <c r="AV1005" s="402">
        <f>AV1009</f>
        <v/>
      </c>
      <c r="AW1005" s="402">
        <f>AW1009</f>
        <v/>
      </c>
      <c r="AX1005" s="402">
        <f>AX1009</f>
        <v/>
      </c>
      <c r="AY1005" s="402">
        <f>AY1009</f>
        <v/>
      </c>
      <c r="AZ1005" s="402">
        <f>AZ1009</f>
        <v/>
      </c>
      <c r="BA1005" s="402">
        <f>BA1009</f>
        <v/>
      </c>
      <c r="BB1005" s="402">
        <f>BB1009</f>
        <v/>
      </c>
      <c r="BC1005" s="402">
        <f>BC1009</f>
        <v/>
      </c>
      <c r="BD1005" s="402">
        <f>BD1009</f>
        <v/>
      </c>
      <c r="BE1005" s="402">
        <f>BE1009</f>
        <v/>
      </c>
      <c r="BF1005" s="402">
        <f>BF1009</f>
        <v/>
      </c>
      <c r="BG1005" s="402">
        <f>BG1009</f>
        <v/>
      </c>
      <c r="BH1005" s="402">
        <f>BH1009</f>
        <v/>
      </c>
      <c r="BI1005" s="402">
        <f>BI1009</f>
        <v/>
      </c>
      <c r="BJ1005" s="402">
        <f>BJ1009</f>
        <v/>
      </c>
      <c r="BK1005" s="402">
        <f>BK1009</f>
        <v/>
      </c>
      <c r="BL1005" s="402">
        <f>BL1009</f>
        <v/>
      </c>
      <c r="BM1005" s="402">
        <f>BM1009</f>
        <v/>
      </c>
      <c r="BN1005" s="402">
        <f>BN1009</f>
        <v/>
      </c>
      <c r="BO1005" s="402">
        <f>BO1009</f>
        <v/>
      </c>
      <c r="BP1005" s="402">
        <f>BP1009</f>
        <v/>
      </c>
      <c r="BQ1005" s="402">
        <f>BQ1009</f>
        <v/>
      </c>
      <c r="BR1005" s="402">
        <f>BR1009</f>
        <v/>
      </c>
      <c r="BS1005" s="402">
        <f>BS1009</f>
        <v/>
      </c>
      <c r="BT1005" s="402">
        <f>BT1009</f>
        <v/>
      </c>
      <c r="BU1005" s="402">
        <f>BU1009</f>
        <v/>
      </c>
      <c r="BV1005" s="402">
        <f>BV1009</f>
        <v/>
      </c>
      <c r="BW1005" s="402">
        <f>BW1009</f>
        <v/>
      </c>
      <c r="BX1005" s="402">
        <f>BX1009</f>
        <v/>
      </c>
      <c r="BY1005" s="402">
        <f>BY1009</f>
        <v/>
      </c>
      <c r="BZ1005" s="402">
        <f>BZ1009</f>
        <v/>
      </c>
      <c r="CA1005" s="402">
        <f>CA1009</f>
        <v/>
      </c>
      <c r="CB1005" s="402">
        <f>CB1009</f>
        <v/>
      </c>
      <c r="CC1005" s="402">
        <f>CC1009</f>
        <v/>
      </c>
      <c r="CD1005" s="402">
        <f>CD1009</f>
        <v/>
      </c>
      <c r="CE1005" s="402">
        <f>CE1009</f>
        <v/>
      </c>
      <c r="CF1005" s="402">
        <f>CF1009</f>
        <v/>
      </c>
      <c r="CG1005" s="402">
        <f>CG1009</f>
        <v/>
      </c>
      <c r="CH1005" s="402">
        <f>CH1009</f>
        <v/>
      </c>
      <c r="CI1005" s="402">
        <f>CI1009</f>
        <v/>
      </c>
      <c r="CJ1005" s="402">
        <f>CJ1009</f>
        <v/>
      </c>
      <c r="CK1005" s="402">
        <f>CK1009</f>
        <v/>
      </c>
      <c r="CL1005" s="402">
        <f>CL1009</f>
        <v/>
      </c>
      <c r="CM1005" s="402">
        <f>CM1009</f>
        <v/>
      </c>
      <c r="CN1005" s="402">
        <f>CN1009</f>
        <v/>
      </c>
      <c r="CO1005" s="402">
        <f>CO1009</f>
        <v/>
      </c>
      <c r="CP1005" s="402">
        <f>CP1009</f>
        <v/>
      </c>
      <c r="CQ1005" s="402">
        <f>CQ1009</f>
        <v/>
      </c>
      <c r="CR1005" s="402">
        <f>CR1009</f>
        <v/>
      </c>
      <c r="CS1005" s="402">
        <f>CS1009</f>
        <v/>
      </c>
      <c r="CT1005" s="402">
        <f>CT1009</f>
        <v/>
      </c>
      <c r="CU1005" s="402">
        <f>CU1009</f>
        <v/>
      </c>
      <c r="CV1005" s="402">
        <f>CV1009</f>
        <v/>
      </c>
      <c r="CW1005" s="402">
        <f>CW1009</f>
        <v/>
      </c>
      <c r="CX1005" s="402">
        <f>CX1009</f>
        <v/>
      </c>
      <c r="CY1005" s="402">
        <f>CY1009</f>
        <v/>
      </c>
      <c r="CZ1005" s="402">
        <f>CZ1009</f>
        <v/>
      </c>
      <c r="DA1005" s="402">
        <f>DA1009</f>
        <v/>
      </c>
      <c r="DB1005" s="402">
        <f>DB1009</f>
        <v/>
      </c>
      <c r="DC1005" s="402">
        <f>DC1009</f>
        <v/>
      </c>
      <c r="DD1005" s="402">
        <f>DD1009</f>
        <v/>
      </c>
      <c r="DE1005" s="402">
        <f>DE1009</f>
        <v/>
      </c>
      <c r="DF1005" s="402">
        <f>DF1009</f>
        <v/>
      </c>
      <c r="DG1005" s="403">
        <f>DG1009</f>
        <v/>
      </c>
      <c r="DH1005" s="403">
        <f>DH1009</f>
        <v/>
      </c>
      <c r="DI1005" s="403">
        <f>DI1009</f>
        <v/>
      </c>
      <c r="DJ1005" s="403">
        <f>DJ1009</f>
        <v/>
      </c>
      <c r="DK1005" s="403">
        <f>DK1009</f>
        <v/>
      </c>
      <c r="DL1005" s="403">
        <f>DL1009</f>
        <v/>
      </c>
      <c r="DM1005" s="403">
        <f>DM1009</f>
        <v/>
      </c>
      <c r="DN1005" s="403">
        <f>DN1009</f>
        <v/>
      </c>
      <c r="DO1005" s="403">
        <f>DO1009</f>
        <v/>
      </c>
      <c r="DP1005" s="403">
        <f>DP1009</f>
        <v/>
      </c>
      <c r="DQ1005" s="403">
        <f>DQ1009</f>
        <v/>
      </c>
      <c r="DR1005" s="403">
        <f>DR1009</f>
        <v/>
      </c>
      <c r="DS1005" s="403">
        <f>DS1009</f>
        <v/>
      </c>
      <c r="DT1005" s="403">
        <f>DT1009</f>
        <v/>
      </c>
      <c r="DU1005" s="403">
        <f>DU1009</f>
        <v/>
      </c>
      <c r="DV1005" s="403">
        <f>DV1009</f>
        <v/>
      </c>
      <c r="DW1005" s="403">
        <f>DW1009</f>
        <v/>
      </c>
      <c r="DX1005" s="403">
        <f>DX1009</f>
        <v/>
      </c>
      <c r="DY1005" s="403">
        <f>DY1009</f>
        <v/>
      </c>
      <c r="DZ1005" s="403">
        <f>DZ1009</f>
        <v/>
      </c>
      <c r="EA1005" s="403">
        <f>EA1009</f>
        <v/>
      </c>
      <c r="EB1005" s="403">
        <f>EB1009</f>
        <v/>
      </c>
      <c r="EC1005" s="403">
        <f>EC1009</f>
        <v/>
      </c>
      <c r="ED1005" s="403">
        <f>ED1009</f>
        <v/>
      </c>
      <c r="EE1005" s="403">
        <f>EE1009</f>
        <v/>
      </c>
      <c r="EF1005" s="403">
        <f>EF1009</f>
        <v/>
      </c>
      <c r="EG1005" s="403">
        <f>EG1009</f>
        <v/>
      </c>
      <c r="EH1005" s="403">
        <f>EH1009</f>
        <v/>
      </c>
      <c r="EI1005" s="403">
        <f>EI1009</f>
        <v/>
      </c>
      <c r="EJ1005" s="403">
        <f>EJ1009</f>
        <v/>
      </c>
      <c r="EK1005" s="403">
        <f>EK1009</f>
        <v/>
      </c>
      <c r="EL1005" s="403">
        <f>EL1009</f>
        <v/>
      </c>
      <c r="EM1005" s="403">
        <f>EM1009</f>
        <v/>
      </c>
      <c r="EN1005" s="403">
        <f>EN1009</f>
        <v/>
      </c>
      <c r="EO1005" s="403">
        <f>EO1009</f>
        <v/>
      </c>
      <c r="EP1005" s="403">
        <f>EP1009</f>
        <v/>
      </c>
      <c r="EQ1005" s="403">
        <f>EQ1009</f>
        <v/>
      </c>
      <c r="ER1005" s="403">
        <f>ER1009</f>
        <v/>
      </c>
      <c r="ES1005" s="403">
        <f>ES1009</f>
        <v/>
      </c>
      <c r="ET1005" s="403">
        <f>ET1009</f>
        <v/>
      </c>
      <c r="EU1005" s="403">
        <f>EU1009</f>
        <v/>
      </c>
      <c r="EV1005" s="403">
        <f>EV1009</f>
        <v/>
      </c>
      <c r="EW1005" s="403">
        <f>EW1009</f>
        <v/>
      </c>
      <c r="EX1005" s="403">
        <f>EX1009</f>
        <v/>
      </c>
      <c r="EY1005" s="403">
        <f>EY1009</f>
        <v/>
      </c>
      <c r="EZ1005" s="403">
        <f>EZ1009</f>
        <v/>
      </c>
      <c r="FA1005" s="403">
        <f>FA1009</f>
        <v/>
      </c>
      <c r="FB1005" s="403">
        <f>FB1009</f>
        <v/>
      </c>
      <c r="FC1005" s="403">
        <f>FC1009</f>
        <v/>
      </c>
      <c r="FD1005" s="403">
        <f>FD1009</f>
        <v/>
      </c>
      <c r="FE1005" s="403">
        <f>FE1009</f>
        <v/>
      </c>
      <c r="FF1005" s="403">
        <f>FF1009</f>
        <v/>
      </c>
      <c r="FG1005" s="403">
        <f>FG1009</f>
        <v/>
      </c>
      <c r="FH1005" s="403">
        <f>FH1009</f>
        <v/>
      </c>
      <c r="FI1005" s="403">
        <f>FI1009</f>
        <v/>
      </c>
      <c r="FJ1005" s="403">
        <f>FJ1009</f>
        <v/>
      </c>
      <c r="FK1005" s="403">
        <f>FK1009</f>
        <v/>
      </c>
      <c r="FL1005" s="403">
        <f>FL1009</f>
        <v/>
      </c>
      <c r="FM1005" s="403">
        <f>FM1009</f>
        <v/>
      </c>
      <c r="FN1005" s="403">
        <f>FN1009</f>
        <v/>
      </c>
      <c r="FO1005" s="403">
        <f>FO1009</f>
        <v/>
      </c>
      <c r="FP1005" s="403">
        <f>FP1009</f>
        <v/>
      </c>
      <c r="FQ1005" s="403">
        <f>FQ1009</f>
        <v/>
      </c>
      <c r="FR1005" s="403">
        <f>FR1009</f>
        <v/>
      </c>
      <c r="FS1005" s="403">
        <f>FS1009</f>
        <v/>
      </c>
      <c r="FT1005" s="403">
        <f>FT1009</f>
        <v/>
      </c>
      <c r="FU1005" s="403">
        <f>FU1009</f>
        <v/>
      </c>
      <c r="FV1005" s="403">
        <f>FV1009</f>
        <v/>
      </c>
      <c r="FW1005" s="403">
        <f>FW1009</f>
        <v/>
      </c>
      <c r="FX1005" s="403">
        <f>FX1009</f>
        <v/>
      </c>
      <c r="FY1005" s="403">
        <f>FY1009</f>
        <v/>
      </c>
      <c r="FZ1005" s="403">
        <f>FZ1009</f>
        <v/>
      </c>
      <c r="GA1005" s="403">
        <f>GA1009</f>
        <v/>
      </c>
      <c r="GB1005" s="403">
        <f>GB1009</f>
        <v/>
      </c>
      <c r="GC1005" s="403">
        <f>GC1009</f>
        <v/>
      </c>
      <c r="GD1005" s="403">
        <f>GD1009</f>
        <v/>
      </c>
      <c r="GE1005" s="403">
        <f>GE1009</f>
        <v/>
      </c>
      <c r="GF1005" s="403">
        <f>GF1009</f>
        <v/>
      </c>
      <c r="GG1005" s="403">
        <f>GG1009</f>
        <v/>
      </c>
      <c r="GH1005" s="403">
        <f>GH1009</f>
        <v/>
      </c>
      <c r="GI1005" s="403">
        <f>GI1009</f>
        <v/>
      </c>
      <c r="GJ1005" s="403">
        <f>GJ1009</f>
        <v/>
      </c>
      <c r="GK1005" s="403">
        <f>GK1009</f>
        <v/>
      </c>
      <c r="GL1005" s="403">
        <f>GL1009</f>
        <v/>
      </c>
      <c r="GM1005" s="403">
        <f>GM1009</f>
        <v/>
      </c>
      <c r="GN1005" s="403">
        <f>GN1009</f>
        <v/>
      </c>
      <c r="GO1005" s="403">
        <f>GO1009</f>
        <v/>
      </c>
      <c r="GP1005" s="403">
        <f>GP1009</f>
        <v/>
      </c>
      <c r="GQ1005" s="403">
        <f>GQ1009</f>
        <v/>
      </c>
      <c r="GR1005" s="403">
        <f>GR1009</f>
        <v/>
      </c>
      <c r="GS1005" s="403">
        <f>GS1009</f>
        <v/>
      </c>
      <c r="GT1005" s="403">
        <f>GT1009</f>
        <v/>
      </c>
      <c r="GU1005" s="403">
        <f>GU1009</f>
        <v/>
      </c>
      <c r="GV1005" s="403">
        <f>GV1009</f>
        <v/>
      </c>
      <c r="GW1005" s="403">
        <f>GW1009</f>
        <v/>
      </c>
      <c r="GX1005" s="403">
        <f>GX1009</f>
        <v/>
      </c>
    </row>
    <row r="1006"/>
    <row r="1007">
      <c r="A1007" t="n">
        <v>17</v>
      </c>
      <c r="B1007" t="n">
        <v>0</v>
      </c>
      <c r="C1007">
        <f>ROW(SmtRes!A512)</f>
        <v/>
      </c>
      <c r="D1007">
        <f>ROW(EtalonRes!A468)</f>
        <v/>
      </c>
      <c r="E1007" t="inlineStr">
        <is>
          <t>1</t>
        </is>
      </c>
      <c r="F1007" t="inlineStr">
        <is>
          <t>65-10-1</t>
        </is>
      </c>
      <c r="G1007" t="inlineStr">
        <is>
          <t>Очистка канализационной сети внутренней</t>
        </is>
      </c>
      <c r="H1007" t="inlineStr">
        <is>
          <t>100 м трубопровода</t>
        </is>
      </c>
      <c r="I1007">
        <f>ROUND(ROUND(20/100,4),7)</f>
        <v/>
      </c>
      <c r="J1007" t="n">
        <v>0</v>
      </c>
      <c r="K1007">
        <f>ROUND(ROUND(20/100,4),7)</f>
        <v/>
      </c>
      <c r="O1007">
        <f>ROUND(CP1007,0)</f>
        <v/>
      </c>
      <c r="P1007">
        <f>ROUND(CQ1007*I1007,0)</f>
        <v/>
      </c>
      <c r="Q1007">
        <f>(ROUND((ROUND(((ET1007)*I1007),0)*BB1007),0)+ROUND((ROUND(((AE1007-(EU1007))*I1007),0)*BS1007),0))</f>
        <v/>
      </c>
      <c r="R1007">
        <f>(ROUND((ROUND(((EU1007)*I1007),0)*BS1007),0)+ROUND((ROUND(((AE1007-(EU1007))*I1007),0)*BS1007),0))</f>
        <v/>
      </c>
      <c r="S1007">
        <f>ROUND(CT1007*I1007,0)</f>
        <v/>
      </c>
      <c r="T1007">
        <f>ROUND(CU1007*I1007,0)</f>
        <v/>
      </c>
      <c r="U1007">
        <f>ROUND(CV1007*I1007,7)</f>
        <v/>
      </c>
      <c r="V1007">
        <f>ROUND(CW1007*I1007,7)</f>
        <v/>
      </c>
      <c r="W1007">
        <f>ROUND(CX1007*I1007,0)</f>
        <v/>
      </c>
      <c r="X1007">
        <f>ROUND(CY1007,0)</f>
        <v/>
      </c>
      <c r="Y1007">
        <f>ROUND(CZ1007,0)</f>
        <v/>
      </c>
      <c r="AA1007" t="n">
        <v>78869116</v>
      </c>
      <c r="AB1007">
        <f>ROUND((AC1007+AD1007+AF1007),2)</f>
        <v/>
      </c>
      <c r="AC1007">
        <f>ROUND((ES1007),2)</f>
        <v/>
      </c>
      <c r="AD1007">
        <f>ROUND((((ET1007)-(EU1007))+AE1007),2)</f>
        <v/>
      </c>
      <c r="AE1007">
        <f>ROUND((EU1007),2)</f>
        <v/>
      </c>
      <c r="AF1007">
        <f>ROUND((EV1007),2)</f>
        <v/>
      </c>
      <c r="AG1007">
        <f>ROUND((AP1007),2)</f>
        <v/>
      </c>
      <c r="AH1007">
        <f>(EW1007)</f>
        <v/>
      </c>
      <c r="AI1007">
        <f>(EX1007)</f>
        <v/>
      </c>
      <c r="AJ1007">
        <f>(AS1007)</f>
        <v/>
      </c>
      <c r="AK1007" t="n">
        <v>403.3</v>
      </c>
      <c r="AL1007" t="n">
        <v>139.36</v>
      </c>
      <c r="AM1007" t="n">
        <v>0.87</v>
      </c>
      <c r="AN1007" t="n">
        <v>0</v>
      </c>
      <c r="AO1007" t="n">
        <v>263.07</v>
      </c>
      <c r="AP1007" t="n">
        <v>0</v>
      </c>
      <c r="AQ1007" t="n">
        <v>32.2</v>
      </c>
      <c r="AR1007" t="n">
        <v>0</v>
      </c>
      <c r="AS1007" t="n">
        <v>0</v>
      </c>
      <c r="AT1007" t="n">
        <v>103</v>
      </c>
      <c r="AU1007" t="n">
        <v>52</v>
      </c>
      <c r="AV1007" t="n">
        <v>1</v>
      </c>
      <c r="AW1007" t="n">
        <v>1</v>
      </c>
      <c r="AZ1007" t="n">
        <v>1</v>
      </c>
      <c r="BA1007" t="n">
        <v>52.25</v>
      </c>
      <c r="BB1007" t="n">
        <v>25.03</v>
      </c>
      <c r="BC1007" t="n">
        <v>11.85</v>
      </c>
      <c r="BD1007" t="inlineStr"/>
      <c r="BE1007" t="inlineStr"/>
      <c r="BF1007" t="inlineStr"/>
      <c r="BG1007" t="inlineStr"/>
      <c r="BH1007" t="n">
        <v>0</v>
      </c>
      <c r="BI1007" t="n">
        <v>1</v>
      </c>
      <c r="BJ1007" t="inlineStr">
        <is>
          <t>ТЕРр Московской обл., 65-10-1, приказ Минстроя России №675/пр от 28.02.2017 № 263/пр</t>
        </is>
      </c>
      <c r="BM1007" t="n">
        <v>65007</v>
      </c>
      <c r="BN1007" t="n">
        <v>0</v>
      </c>
      <c r="BO1007" t="inlineStr">
        <is>
          <t>65-10-1</t>
        </is>
      </c>
      <c r="BP1007" t="n">
        <v>1</v>
      </c>
      <c r="BQ1007" t="n">
        <v>6</v>
      </c>
      <c r="BR1007" t="n">
        <v>0</v>
      </c>
      <c r="BS1007" t="n">
        <v>52.25</v>
      </c>
      <c r="BT1007" t="n">
        <v>1</v>
      </c>
      <c r="BU1007" t="n">
        <v>1</v>
      </c>
      <c r="BV1007" t="n">
        <v>1</v>
      </c>
      <c r="BW1007" t="n">
        <v>1</v>
      </c>
      <c r="BX1007" t="n">
        <v>1</v>
      </c>
      <c r="BY1007" t="inlineStr"/>
      <c r="BZ1007" t="n">
        <v>103</v>
      </c>
      <c r="CA1007" t="n">
        <v>52</v>
      </c>
      <c r="CB1007" t="inlineStr"/>
      <c r="CE1007" t="n">
        <v>12</v>
      </c>
      <c r="CF1007" t="n">
        <v>0</v>
      </c>
      <c r="CG1007" t="n">
        <v>0</v>
      </c>
      <c r="CM1007" t="n">
        <v>0</v>
      </c>
      <c r="CN1007" t="inlineStr"/>
      <c r="CO1007" t="n">
        <v>0</v>
      </c>
      <c r="CP1007">
        <f>(P1007+Q1007+S1007)</f>
        <v/>
      </c>
      <c r="CQ1007">
        <f>AC1007*BC1007</f>
        <v/>
      </c>
      <c r="CR1007">
        <f>(ROUND((ROUND(((ET1007)*1),0)*BB1007),0)+ROUND((ROUND(((AE1007-(EU1007))*1),0)*BS1007),0))</f>
        <v/>
      </c>
      <c r="CS1007">
        <f>(ROUND((ROUND(((EU1007)*1),0)*BS1007),0)+ROUND((ROUND(((AE1007-(EU1007))*1),0)*BS1007),0))</f>
        <v/>
      </c>
      <c r="CT1007">
        <f>AF1007*BA1007</f>
        <v/>
      </c>
      <c r="CU1007">
        <f>AG1007</f>
        <v/>
      </c>
      <c r="CV1007">
        <f>AH1007</f>
        <v/>
      </c>
      <c r="CW1007">
        <f>AI1007</f>
        <v/>
      </c>
      <c r="CX1007">
        <f>AJ1007</f>
        <v/>
      </c>
      <c r="CY1007">
        <f>(((S1007+R1007)*AT1007)/100)</f>
        <v/>
      </c>
      <c r="CZ1007">
        <f>(((S1007+R1007)*AU1007)/100)</f>
        <v/>
      </c>
      <c r="DC1007" t="inlineStr"/>
      <c r="DD1007" t="inlineStr"/>
      <c r="DE1007" t="inlineStr"/>
      <c r="DF1007" t="inlineStr"/>
      <c r="DG1007" t="inlineStr"/>
      <c r="DH1007" t="inlineStr"/>
      <c r="DI1007" t="inlineStr"/>
      <c r="DJ1007" t="inlineStr"/>
      <c r="DK1007" t="inlineStr"/>
      <c r="DL1007" t="inlineStr"/>
      <c r="DM1007" t="inlineStr"/>
      <c r="DN1007" t="n">
        <v>0</v>
      </c>
      <c r="DO1007" t="n">
        <v>0</v>
      </c>
      <c r="DP1007" t="n">
        <v>1</v>
      </c>
      <c r="DQ1007" t="n">
        <v>1</v>
      </c>
      <c r="DU1007" t="n">
        <v>1013</v>
      </c>
      <c r="DV1007" t="inlineStr">
        <is>
          <t>100 м трубопровода</t>
        </is>
      </c>
      <c r="DW1007" t="inlineStr">
        <is>
          <t>100 м трубопровода</t>
        </is>
      </c>
      <c r="DX1007" t="n">
        <v>1</v>
      </c>
      <c r="DZ1007" t="inlineStr"/>
      <c r="EA1007" t="inlineStr"/>
      <c r="EB1007" t="inlineStr"/>
      <c r="EC1007" t="inlineStr"/>
      <c r="EE1007" t="n">
        <v>78726000</v>
      </c>
      <c r="EF1007" t="n">
        <v>6</v>
      </c>
      <c r="EG1007" t="inlineStr">
        <is>
          <t>Ремонтно-строительные работы</t>
        </is>
      </c>
      <c r="EH1007" t="n">
        <v>99</v>
      </c>
      <c r="EI1007" t="inlineStr">
        <is>
          <t>Внутренние санитарно-технические работы</t>
        </is>
      </c>
      <c r="EJ1007" t="n">
        <v>1</v>
      </c>
      <c r="EK1007" t="n">
        <v>65007</v>
      </c>
      <c r="EL1007" t="inlineStr">
        <is>
          <t>Внутренние санитарнотехнические работы: смена труб, санприборов, запорной арматуры и другое</t>
        </is>
      </c>
      <c r="EM1007" t="inlineStr">
        <is>
          <t>рФЕР-65</t>
        </is>
      </c>
      <c r="EO1007" t="inlineStr"/>
      <c r="EQ1007" t="n">
        <v>0</v>
      </c>
      <c r="ER1007" t="n">
        <v>403.3</v>
      </c>
      <c r="ES1007" t="n">
        <v>139.36</v>
      </c>
      <c r="ET1007" t="n">
        <v>0.87</v>
      </c>
      <c r="EU1007" t="n">
        <v>0</v>
      </c>
      <c r="EV1007" t="n">
        <v>263.07</v>
      </c>
      <c r="EW1007" t="n">
        <v>32.2</v>
      </c>
      <c r="EX1007" t="n">
        <v>0</v>
      </c>
      <c r="EY1007" t="n">
        <v>0</v>
      </c>
      <c r="FQ1007" t="n">
        <v>0</v>
      </c>
      <c r="FR1007" t="n">
        <v>0</v>
      </c>
      <c r="FS1007" t="n">
        <v>0</v>
      </c>
      <c r="FX1007" t="n">
        <v>103</v>
      </c>
      <c r="FY1007" t="n">
        <v>52</v>
      </c>
      <c r="GA1007" t="inlineStr"/>
      <c r="GD1007" t="n">
        <v>1</v>
      </c>
      <c r="GF1007" t="n">
        <v>-66904957</v>
      </c>
      <c r="GG1007" t="n">
        <v>2</v>
      </c>
      <c r="GH1007" t="n">
        <v>1</v>
      </c>
      <c r="GI1007" t="n">
        <v>2</v>
      </c>
      <c r="GJ1007" t="n">
        <v>0</v>
      </c>
      <c r="GK1007" t="n">
        <v>0</v>
      </c>
      <c r="GL1007">
        <f>ROUND(IF(AND(BH1007=3,BI1007=3,FS1007&lt;&gt;0),P1007,0),0)</f>
        <v/>
      </c>
      <c r="GM1007">
        <f>ROUND(O1007+X1007+Y1007,0)+GX1007</f>
        <v/>
      </c>
      <c r="GN1007">
        <f>IF(OR(BI1007=0,BI1007=1),GM1007-GX1007,0)</f>
        <v/>
      </c>
      <c r="GO1007">
        <f>IF(BI1007=2,GM1007-GX1007,0)</f>
        <v/>
      </c>
      <c r="GP1007">
        <f>IF(BI1007=4,GM1007-GX1007,0)</f>
        <v/>
      </c>
      <c r="GR1007" t="n">
        <v>0</v>
      </c>
      <c r="GS1007" t="n">
        <v>3</v>
      </c>
      <c r="GT1007" t="n">
        <v>0</v>
      </c>
      <c r="GU1007" t="inlineStr"/>
      <c r="GV1007">
        <f>ROUND((GT1007),2)</f>
        <v/>
      </c>
      <c r="GW1007" t="n">
        <v>1</v>
      </c>
      <c r="GX1007">
        <f>ROUND(HC1007*I1007,0)</f>
        <v/>
      </c>
      <c r="HA1007" t="n">
        <v>0</v>
      </c>
      <c r="HB1007" t="n">
        <v>0</v>
      </c>
      <c r="HC1007">
        <f>GV1007*GW1007</f>
        <v/>
      </c>
      <c r="HE1007" t="inlineStr"/>
      <c r="HF1007" t="inlineStr"/>
      <c r="HM1007" t="inlineStr"/>
      <c r="HN1007" t="inlineStr">
        <is>
          <t>Пр/812-099.2-1</t>
        </is>
      </c>
      <c r="HO1007" t="inlineStr">
        <is>
          <t>Пр/774-099.2</t>
        </is>
      </c>
      <c r="HP1007" t="inlineStr">
        <is>
          <t>Внутренние санитарнотехнические работы: смена труб, санприборов, запорной арматуры и другое</t>
        </is>
      </c>
      <c r="HQ1007" t="inlineStr">
        <is>
          <t>Внутренние санитарнотехнические работы: смена труб, санприборов, запорной арматуры и другое</t>
        </is>
      </c>
      <c r="HS1007" t="n">
        <v>0</v>
      </c>
      <c r="IK1007" t="n">
        <v>0</v>
      </c>
    </row>
    <row r="1008"/>
    <row r="1009">
      <c r="A1009" s="402" t="n">
        <v>51</v>
      </c>
      <c r="B1009" s="402">
        <f>B1003</f>
        <v/>
      </c>
      <c r="C1009" s="402">
        <f>A1003</f>
        <v/>
      </c>
      <c r="D1009" s="402">
        <f>ROW(A1003)</f>
        <v/>
      </c>
      <c r="E1009" s="402" t="n"/>
      <c r="F1009" s="402">
        <f>IF(F1003&lt;&gt;"",F1003,"")</f>
        <v/>
      </c>
      <c r="G1009" s="402">
        <f>IF(G1003&lt;&gt;"",G1003,"")</f>
        <v/>
      </c>
      <c r="H1009" s="402" t="n">
        <v>0</v>
      </c>
      <c r="I1009" s="402" t="n"/>
      <c r="J1009" s="402" t="n"/>
      <c r="K1009" s="402" t="n"/>
      <c r="L1009" s="402" t="n"/>
      <c r="M1009" s="402" t="n"/>
      <c r="N1009" s="402" t="n"/>
      <c r="O1009" s="402" t="n">
        <v>0</v>
      </c>
      <c r="P1009" s="402" t="n">
        <v>0</v>
      </c>
      <c r="Q1009" s="402" t="n">
        <v>0</v>
      </c>
      <c r="R1009" s="402" t="n">
        <v>0</v>
      </c>
      <c r="S1009" s="402" t="n">
        <v>0</v>
      </c>
      <c r="T1009" s="402" t="n">
        <v>0</v>
      </c>
      <c r="U1009" s="402" t="n">
        <v>0</v>
      </c>
      <c r="V1009" s="402" t="n">
        <v>0</v>
      </c>
      <c r="W1009" s="402" t="n">
        <v>0</v>
      </c>
      <c r="X1009" s="402" t="n">
        <v>0</v>
      </c>
      <c r="Y1009" s="402" t="n">
        <v>0</v>
      </c>
      <c r="Z1009" s="402" t="n"/>
      <c r="AA1009" s="402" t="n"/>
      <c r="AB1009" s="402" t="n"/>
      <c r="AC1009" s="402" t="n"/>
      <c r="AD1009" s="402" t="n"/>
      <c r="AE1009" s="402" t="n"/>
      <c r="AF1009" s="402" t="n"/>
      <c r="AG1009" s="402" t="n"/>
      <c r="AH1009" s="402" t="n"/>
      <c r="AI1009" s="402" t="n"/>
      <c r="AJ1009" s="402" t="n"/>
      <c r="AK1009" s="402" t="n"/>
      <c r="AL1009" s="402" t="n"/>
      <c r="AM1009" s="402" t="n"/>
      <c r="AN1009" s="402" t="n"/>
      <c r="AO1009" s="402">
        <f>ROUND(BX1009,0)</f>
        <v/>
      </c>
      <c r="AP1009" s="402">
        <f>ROUND(BY1009,0)</f>
        <v/>
      </c>
      <c r="AQ1009" s="402">
        <f>ROUND(BZ1009,0)</f>
        <v/>
      </c>
      <c r="AR1009" s="402">
        <f>ROUND(CA1009,0)</f>
        <v/>
      </c>
      <c r="AS1009" s="402">
        <f>ROUND(CB1009,0)</f>
        <v/>
      </c>
      <c r="AT1009" s="402">
        <f>ROUND(CC1009,0)</f>
        <v/>
      </c>
      <c r="AU1009" s="402">
        <f>ROUND(CD1009,0)</f>
        <v/>
      </c>
      <c r="AV1009" s="402">
        <f>ROUND(CE1009,0)</f>
        <v/>
      </c>
      <c r="AW1009" s="402">
        <f>ROUND(CF1009,0)</f>
        <v/>
      </c>
      <c r="AX1009" s="402">
        <f>ROUND(CG1009,0)</f>
        <v/>
      </c>
      <c r="AY1009" s="402">
        <f>ROUND(CH1009,0)</f>
        <v/>
      </c>
      <c r="AZ1009" s="402">
        <f>ROUND(CI1009,0)</f>
        <v/>
      </c>
      <c r="BA1009" s="402">
        <f>ROUND(CJ1009,0)</f>
        <v/>
      </c>
      <c r="BB1009" s="402">
        <f>ROUND(CK1009,0)</f>
        <v/>
      </c>
      <c r="BC1009" s="402">
        <f>ROUND(CL1009,0)</f>
        <v/>
      </c>
      <c r="BD1009" s="402">
        <f>ROUND(CM1009,0)</f>
        <v/>
      </c>
      <c r="BE1009" s="402" t="n"/>
      <c r="BF1009" s="402" t="n"/>
      <c r="BG1009" s="402" t="n"/>
      <c r="BH1009" s="402" t="n"/>
      <c r="BI1009" s="402" t="n"/>
      <c r="BJ1009" s="402" t="n"/>
      <c r="BK1009" s="402" t="n"/>
      <c r="BL1009" s="402" t="n"/>
      <c r="BM1009" s="402" t="n"/>
      <c r="BN1009" s="402" t="n"/>
      <c r="BO1009" s="402" t="n"/>
      <c r="BP1009" s="402" t="n"/>
      <c r="BQ1009" s="402" t="n"/>
      <c r="BR1009" s="402" t="n"/>
      <c r="BS1009" s="402" t="n"/>
      <c r="BT1009" s="402" t="n"/>
      <c r="BU1009" s="402" t="n"/>
      <c r="BV1009" s="402" t="n"/>
      <c r="BW1009" s="402" t="n"/>
      <c r="BX1009" s="402" t="n"/>
      <c r="BY1009" s="402" t="n"/>
      <c r="BZ1009" s="402" t="n"/>
      <c r="CA1009" s="402" t="n"/>
      <c r="CB1009" s="402" t="n"/>
      <c r="CC1009" s="402" t="n"/>
      <c r="CD1009" s="402" t="n"/>
      <c r="CE1009" s="402" t="n"/>
      <c r="CF1009" s="402" t="n"/>
      <c r="CG1009" s="402" t="n"/>
      <c r="CH1009" s="402" t="n"/>
      <c r="CI1009" s="402" t="n"/>
      <c r="CJ1009" s="402" t="n"/>
      <c r="CK1009" s="402" t="n"/>
      <c r="CL1009" s="402" t="n"/>
      <c r="CM1009" s="402" t="n"/>
      <c r="CN1009" s="402" t="n"/>
      <c r="CO1009" s="402" t="n"/>
      <c r="CP1009" s="402" t="n"/>
      <c r="CQ1009" s="402" t="n"/>
      <c r="CR1009" s="402" t="n"/>
      <c r="CS1009" s="402" t="n"/>
      <c r="CT1009" s="402" t="n"/>
      <c r="CU1009" s="402" t="n"/>
      <c r="CV1009" s="402" t="n"/>
      <c r="CW1009" s="402" t="n"/>
      <c r="CX1009" s="402" t="n"/>
      <c r="CY1009" s="402" t="n"/>
      <c r="CZ1009" s="402" t="n"/>
      <c r="DA1009" s="402" t="n"/>
      <c r="DB1009" s="402" t="n"/>
      <c r="DC1009" s="402" t="n"/>
      <c r="DD1009" s="402" t="n"/>
      <c r="DE1009" s="402" t="n"/>
      <c r="DF1009" s="402" t="n"/>
      <c r="DG1009" s="403" t="n"/>
      <c r="DH1009" s="403" t="n"/>
      <c r="DI1009" s="403" t="n"/>
      <c r="DJ1009" s="403" t="n"/>
      <c r="DK1009" s="403" t="n"/>
      <c r="DL1009" s="403" t="n"/>
      <c r="DM1009" s="403" t="n"/>
      <c r="DN1009" s="403" t="n"/>
      <c r="DO1009" s="403" t="n"/>
      <c r="DP1009" s="403" t="n"/>
      <c r="DQ1009" s="403" t="n"/>
      <c r="DR1009" s="403" t="n"/>
      <c r="DS1009" s="403" t="n"/>
      <c r="DT1009" s="403" t="n"/>
      <c r="DU1009" s="403" t="n"/>
      <c r="DV1009" s="403" t="n"/>
      <c r="DW1009" s="403" t="n"/>
      <c r="DX1009" s="403" t="n"/>
      <c r="DY1009" s="403" t="n"/>
      <c r="DZ1009" s="403" t="n"/>
      <c r="EA1009" s="403" t="n"/>
      <c r="EB1009" s="403" t="n"/>
      <c r="EC1009" s="403" t="n"/>
      <c r="ED1009" s="403" t="n"/>
      <c r="EE1009" s="403" t="n"/>
      <c r="EF1009" s="403" t="n"/>
      <c r="EG1009" s="403" t="n"/>
      <c r="EH1009" s="403" t="n"/>
      <c r="EI1009" s="403" t="n"/>
      <c r="EJ1009" s="403" t="n"/>
      <c r="EK1009" s="403" t="n"/>
      <c r="EL1009" s="403" t="n"/>
      <c r="EM1009" s="403" t="n"/>
      <c r="EN1009" s="403" t="n"/>
      <c r="EO1009" s="403" t="n"/>
      <c r="EP1009" s="403" t="n"/>
      <c r="EQ1009" s="403" t="n"/>
      <c r="ER1009" s="403" t="n"/>
      <c r="ES1009" s="403" t="n"/>
      <c r="ET1009" s="403" t="n"/>
      <c r="EU1009" s="403" t="n"/>
      <c r="EV1009" s="403" t="n"/>
      <c r="EW1009" s="403" t="n"/>
      <c r="EX1009" s="403" t="n"/>
      <c r="EY1009" s="403" t="n"/>
      <c r="EZ1009" s="403" t="n"/>
      <c r="FA1009" s="403" t="n"/>
      <c r="FB1009" s="403" t="n"/>
      <c r="FC1009" s="403" t="n"/>
      <c r="FD1009" s="403" t="n"/>
      <c r="FE1009" s="403" t="n"/>
      <c r="FF1009" s="403" t="n"/>
      <c r="FG1009" s="403" t="n"/>
      <c r="FH1009" s="403" t="n"/>
      <c r="FI1009" s="403" t="n"/>
      <c r="FJ1009" s="403" t="n"/>
      <c r="FK1009" s="403" t="n"/>
      <c r="FL1009" s="403" t="n"/>
      <c r="FM1009" s="403" t="n"/>
      <c r="FN1009" s="403" t="n"/>
      <c r="FO1009" s="403" t="n"/>
      <c r="FP1009" s="403" t="n"/>
      <c r="FQ1009" s="403" t="n"/>
      <c r="FR1009" s="403" t="n"/>
      <c r="FS1009" s="403" t="n"/>
      <c r="FT1009" s="403" t="n"/>
      <c r="FU1009" s="403" t="n"/>
      <c r="FV1009" s="403" t="n"/>
      <c r="FW1009" s="403" t="n"/>
      <c r="FX1009" s="403" t="n"/>
      <c r="FY1009" s="403" t="n"/>
      <c r="FZ1009" s="403" t="n"/>
      <c r="GA1009" s="403" t="n"/>
      <c r="GB1009" s="403" t="n"/>
      <c r="GC1009" s="403" t="n"/>
      <c r="GD1009" s="403" t="n"/>
      <c r="GE1009" s="403" t="n"/>
      <c r="GF1009" s="403" t="n"/>
      <c r="GG1009" s="403" t="n"/>
      <c r="GH1009" s="403" t="n"/>
      <c r="GI1009" s="403" t="n"/>
      <c r="GJ1009" s="403" t="n"/>
      <c r="GK1009" s="403" t="n"/>
      <c r="GL1009" s="403" t="n"/>
      <c r="GM1009" s="403" t="n"/>
      <c r="GN1009" s="403" t="n"/>
      <c r="GO1009" s="403" t="n"/>
      <c r="GP1009" s="403" t="n"/>
      <c r="GQ1009" s="403" t="n"/>
      <c r="GR1009" s="403" t="n"/>
      <c r="GS1009" s="403" t="n"/>
      <c r="GT1009" s="403" t="n"/>
      <c r="GU1009" s="403" t="n"/>
      <c r="GV1009" s="403" t="n"/>
      <c r="GW1009" s="403" t="n"/>
      <c r="GX1009" s="403" t="n">
        <v>0</v>
      </c>
    </row>
    <row r="1010"/>
    <row r="1011">
      <c r="A1011" s="404" t="n">
        <v>50</v>
      </c>
      <c r="B1011" s="404" t="n">
        <v>0</v>
      </c>
      <c r="C1011" s="404" t="n">
        <v>0</v>
      </c>
      <c r="D1011" s="404" t="n">
        <v>1</v>
      </c>
      <c r="E1011" s="404" t="n">
        <v>201</v>
      </c>
      <c r="F1011" s="404">
        <f>ROUND(Source!O1009,O1011)</f>
        <v/>
      </c>
      <c r="G1011" s="404" t="inlineStr">
        <is>
          <t>ПЗ</t>
        </is>
      </c>
      <c r="H1011" s="404" t="inlineStr">
        <is>
          <t>Прямые затраты</t>
        </is>
      </c>
      <c r="I1011" s="404" t="n"/>
      <c r="J1011" s="404" t="n"/>
      <c r="K1011" s="404" t="n">
        <v>201</v>
      </c>
      <c r="L1011" s="404" t="n">
        <v>1</v>
      </c>
      <c r="M1011" s="404" t="n">
        <v>3</v>
      </c>
      <c r="N1011" s="404" t="inlineStr"/>
      <c r="O1011" s="404" t="n">
        <v>0</v>
      </c>
      <c r="P1011" s="404" t="n"/>
      <c r="Q1011" s="404" t="n"/>
      <c r="R1011" s="404" t="n"/>
      <c r="S1011" s="404" t="n"/>
      <c r="T1011" s="404" t="n"/>
      <c r="U1011" s="404" t="n"/>
      <c r="V1011" s="404" t="n"/>
      <c r="W1011" s="404" t="n">
        <v>0</v>
      </c>
      <c r="X1011" s="404" t="n">
        <v>1</v>
      </c>
      <c r="Y1011" s="404" t="n">
        <v>0</v>
      </c>
      <c r="Z1011" s="404" t="n"/>
      <c r="AA1011" s="404" t="n"/>
      <c r="AB1011" s="404" t="n"/>
    </row>
    <row r="1012">
      <c r="A1012" s="404" t="n">
        <v>50</v>
      </c>
      <c r="B1012" s="404" t="n">
        <v>0</v>
      </c>
      <c r="C1012" s="404" t="n">
        <v>0</v>
      </c>
      <c r="D1012" s="404" t="n">
        <v>1</v>
      </c>
      <c r="E1012" s="404" t="n">
        <v>202</v>
      </c>
      <c r="F1012" s="404">
        <f>ROUND(Source!P1009,O1012)</f>
        <v/>
      </c>
      <c r="G1012" s="404" t="inlineStr">
        <is>
          <t>СтМатОб</t>
        </is>
      </c>
      <c r="H1012" s="404" t="inlineStr">
        <is>
          <t>Стоимость материальных ресурсов (всего)</t>
        </is>
      </c>
      <c r="I1012" s="404" t="n"/>
      <c r="J1012" s="404" t="n"/>
      <c r="K1012" s="404" t="n">
        <v>202</v>
      </c>
      <c r="L1012" s="404" t="n">
        <v>2</v>
      </c>
      <c r="M1012" s="404" t="n">
        <v>3</v>
      </c>
      <c r="N1012" s="404" t="inlineStr"/>
      <c r="O1012" s="404" t="n">
        <v>0</v>
      </c>
      <c r="P1012" s="404" t="n"/>
      <c r="Q1012" s="404" t="n"/>
      <c r="R1012" s="404" t="n"/>
      <c r="S1012" s="404" t="n"/>
      <c r="T1012" s="404" t="n"/>
      <c r="U1012" s="404" t="n"/>
      <c r="V1012" s="404" t="n"/>
      <c r="W1012" s="404" t="n">
        <v>0</v>
      </c>
      <c r="X1012" s="404" t="n">
        <v>1</v>
      </c>
      <c r="Y1012" s="404" t="n">
        <v>0</v>
      </c>
      <c r="Z1012" s="404" t="n"/>
      <c r="AA1012" s="404" t="n"/>
      <c r="AB1012" s="404" t="n"/>
    </row>
    <row r="1013">
      <c r="A1013" s="404" t="n">
        <v>50</v>
      </c>
      <c r="B1013" s="404" t="n">
        <v>0</v>
      </c>
      <c r="C1013" s="404" t="n">
        <v>0</v>
      </c>
      <c r="D1013" s="404" t="n">
        <v>1</v>
      </c>
      <c r="E1013" s="404" t="n">
        <v>222</v>
      </c>
      <c r="F1013" s="404">
        <f>ROUND(Source!AO1009,O1013)</f>
        <v/>
      </c>
      <c r="G1013" s="404" t="inlineStr">
        <is>
          <t>СтМатОбЗак</t>
        </is>
      </c>
      <c r="H1013" s="404" t="inlineStr">
        <is>
          <t>Стоимость материалов и оборудования заказчика</t>
        </is>
      </c>
      <c r="I1013" s="404" t="n"/>
      <c r="J1013" s="404" t="n"/>
      <c r="K1013" s="404" t="n">
        <v>222</v>
      </c>
      <c r="L1013" s="404" t="n">
        <v>3</v>
      </c>
      <c r="M1013" s="404" t="n">
        <v>3</v>
      </c>
      <c r="N1013" s="404" t="inlineStr"/>
      <c r="O1013" s="404" t="n">
        <v>0</v>
      </c>
      <c r="P1013" s="404" t="n"/>
      <c r="Q1013" s="404" t="n"/>
      <c r="R1013" s="404" t="n"/>
      <c r="S1013" s="404" t="n"/>
      <c r="T1013" s="404" t="n"/>
      <c r="U1013" s="404" t="n"/>
      <c r="V1013" s="404" t="n"/>
      <c r="W1013" s="404" t="n">
        <v>0</v>
      </c>
      <c r="X1013" s="404" t="n">
        <v>1</v>
      </c>
      <c r="Y1013" s="404" t="n">
        <v>0</v>
      </c>
      <c r="Z1013" s="404" t="n"/>
      <c r="AA1013" s="404" t="n"/>
      <c r="AB1013" s="404" t="n"/>
    </row>
    <row r="1014">
      <c r="A1014" s="404" t="n">
        <v>50</v>
      </c>
      <c r="B1014" s="404" t="n">
        <v>0</v>
      </c>
      <c r="C1014" s="404" t="n">
        <v>0</v>
      </c>
      <c r="D1014" s="404" t="n">
        <v>1</v>
      </c>
      <c r="E1014" s="404" t="n">
        <v>225</v>
      </c>
      <c r="F1014" s="404">
        <f>ROUND(Source!AV1009,O1014)</f>
        <v/>
      </c>
      <c r="G1014" s="404" t="inlineStr">
        <is>
          <t>СтМатОбПод</t>
        </is>
      </c>
      <c r="H1014" s="404" t="inlineStr">
        <is>
          <t>Стоимость материалов и оборудования подрядчика</t>
        </is>
      </c>
      <c r="I1014" s="404" t="n"/>
      <c r="J1014" s="404" t="n"/>
      <c r="K1014" s="404" t="n">
        <v>225</v>
      </c>
      <c r="L1014" s="404" t="n">
        <v>4</v>
      </c>
      <c r="M1014" s="404" t="n">
        <v>3</v>
      </c>
      <c r="N1014" s="404" t="inlineStr"/>
      <c r="O1014" s="404" t="n">
        <v>0</v>
      </c>
      <c r="P1014" s="404" t="n"/>
      <c r="Q1014" s="404" t="n"/>
      <c r="R1014" s="404" t="n"/>
      <c r="S1014" s="404" t="n"/>
      <c r="T1014" s="404" t="n"/>
      <c r="U1014" s="404" t="n"/>
      <c r="V1014" s="404" t="n"/>
      <c r="W1014" s="404" t="n">
        <v>0</v>
      </c>
      <c r="X1014" s="404" t="n">
        <v>1</v>
      </c>
      <c r="Y1014" s="404" t="n">
        <v>0</v>
      </c>
      <c r="Z1014" s="404" t="n"/>
      <c r="AA1014" s="404" t="n"/>
      <c r="AB1014" s="404" t="n"/>
    </row>
    <row r="1015">
      <c r="A1015" s="404" t="n">
        <v>50</v>
      </c>
      <c r="B1015" s="404" t="n">
        <v>0</v>
      </c>
      <c r="C1015" s="404" t="n">
        <v>0</v>
      </c>
      <c r="D1015" s="404" t="n">
        <v>1</v>
      </c>
      <c r="E1015" s="404" t="n">
        <v>226</v>
      </c>
      <c r="F1015" s="404">
        <f>ROUND(Source!AW1009,O1015)</f>
        <v/>
      </c>
      <c r="G1015" s="404" t="inlineStr">
        <is>
          <t>СтМат</t>
        </is>
      </c>
      <c r="H1015" s="404" t="inlineStr">
        <is>
          <t>Стоимость материалов (всего)</t>
        </is>
      </c>
      <c r="I1015" s="404" t="n"/>
      <c r="J1015" s="404" t="n"/>
      <c r="K1015" s="404" t="n">
        <v>226</v>
      </c>
      <c r="L1015" s="404" t="n">
        <v>5</v>
      </c>
      <c r="M1015" s="404" t="n">
        <v>3</v>
      </c>
      <c r="N1015" s="404" t="inlineStr"/>
      <c r="O1015" s="404" t="n">
        <v>0</v>
      </c>
      <c r="P1015" s="404" t="n"/>
      <c r="Q1015" s="404" t="n"/>
      <c r="R1015" s="404" t="n"/>
      <c r="S1015" s="404" t="n"/>
      <c r="T1015" s="404" t="n"/>
      <c r="U1015" s="404" t="n"/>
      <c r="V1015" s="404" t="n"/>
      <c r="W1015" s="404" t="n">
        <v>0</v>
      </c>
      <c r="X1015" s="404" t="n">
        <v>1</v>
      </c>
      <c r="Y1015" s="404" t="n">
        <v>0</v>
      </c>
      <c r="Z1015" s="404" t="n"/>
      <c r="AA1015" s="404" t="n"/>
      <c r="AB1015" s="404" t="n"/>
    </row>
    <row r="1016">
      <c r="A1016" s="404" t="n">
        <v>50</v>
      </c>
      <c r="B1016" s="404" t="n">
        <v>0</v>
      </c>
      <c r="C1016" s="404" t="n">
        <v>0</v>
      </c>
      <c r="D1016" s="404" t="n">
        <v>1</v>
      </c>
      <c r="E1016" s="404" t="n">
        <v>227</v>
      </c>
      <c r="F1016" s="404">
        <f>ROUND(Source!AX1009,O1016)</f>
        <v/>
      </c>
      <c r="G1016" s="404" t="inlineStr">
        <is>
          <t>СтМатЗак</t>
        </is>
      </c>
      <c r="H1016" s="404" t="inlineStr">
        <is>
          <t>Стоимость материалов заказчика</t>
        </is>
      </c>
      <c r="I1016" s="404" t="n"/>
      <c r="J1016" s="404" t="n"/>
      <c r="K1016" s="404" t="n">
        <v>227</v>
      </c>
      <c r="L1016" s="404" t="n">
        <v>6</v>
      </c>
      <c r="M1016" s="404" t="n">
        <v>3</v>
      </c>
      <c r="N1016" s="404" t="inlineStr"/>
      <c r="O1016" s="404" t="n">
        <v>0</v>
      </c>
      <c r="P1016" s="404" t="n"/>
      <c r="Q1016" s="404" t="n"/>
      <c r="R1016" s="404" t="n"/>
      <c r="S1016" s="404" t="n"/>
      <c r="T1016" s="404" t="n"/>
      <c r="U1016" s="404" t="n"/>
      <c r="V1016" s="404" t="n"/>
      <c r="W1016" s="404" t="n">
        <v>0</v>
      </c>
      <c r="X1016" s="404" t="n">
        <v>1</v>
      </c>
      <c r="Y1016" s="404" t="n">
        <v>0</v>
      </c>
      <c r="Z1016" s="404" t="n"/>
      <c r="AA1016" s="404" t="n"/>
      <c r="AB1016" s="404" t="n"/>
    </row>
    <row r="1017">
      <c r="A1017" s="404" t="n">
        <v>50</v>
      </c>
      <c r="B1017" s="404" t="n">
        <v>0</v>
      </c>
      <c r="C1017" s="404" t="n">
        <v>0</v>
      </c>
      <c r="D1017" s="404" t="n">
        <v>1</v>
      </c>
      <c r="E1017" s="404" t="n">
        <v>228</v>
      </c>
      <c r="F1017" s="404">
        <f>ROUND(Source!AY1009,O1017)</f>
        <v/>
      </c>
      <c r="G1017" s="404" t="inlineStr">
        <is>
          <t>СтМатПод</t>
        </is>
      </c>
      <c r="H1017" s="404" t="inlineStr">
        <is>
          <t>Стоимость материалов подрядчика</t>
        </is>
      </c>
      <c r="I1017" s="404" t="n"/>
      <c r="J1017" s="404" t="n"/>
      <c r="K1017" s="404" t="n">
        <v>228</v>
      </c>
      <c r="L1017" s="404" t="n">
        <v>7</v>
      </c>
      <c r="M1017" s="404" t="n">
        <v>3</v>
      </c>
      <c r="N1017" s="404" t="inlineStr"/>
      <c r="O1017" s="404" t="n">
        <v>0</v>
      </c>
      <c r="P1017" s="404" t="n"/>
      <c r="Q1017" s="404" t="n"/>
      <c r="R1017" s="404" t="n"/>
      <c r="S1017" s="404" t="n"/>
      <c r="T1017" s="404" t="n"/>
      <c r="U1017" s="404" t="n"/>
      <c r="V1017" s="404" t="n"/>
      <c r="W1017" s="404" t="n">
        <v>0</v>
      </c>
      <c r="X1017" s="404" t="n">
        <v>1</v>
      </c>
      <c r="Y1017" s="404" t="n">
        <v>0</v>
      </c>
      <c r="Z1017" s="404" t="n"/>
      <c r="AA1017" s="404" t="n"/>
      <c r="AB1017" s="404" t="n"/>
    </row>
    <row r="1018">
      <c r="A1018" s="404" t="n">
        <v>50</v>
      </c>
      <c r="B1018" s="404" t="n">
        <v>0</v>
      </c>
      <c r="C1018" s="404" t="n">
        <v>0</v>
      </c>
      <c r="D1018" s="404" t="n">
        <v>1</v>
      </c>
      <c r="E1018" s="404" t="n">
        <v>216</v>
      </c>
      <c r="F1018" s="404">
        <f>ROUND(Source!AP1009,O1018)</f>
        <v/>
      </c>
      <c r="G1018" s="404" t="inlineStr">
        <is>
          <t>Оборуд</t>
        </is>
      </c>
      <c r="H1018" s="404" t="inlineStr">
        <is>
          <t>Стоимость оборудования (всего)</t>
        </is>
      </c>
      <c r="I1018" s="404" t="n"/>
      <c r="J1018" s="404" t="n"/>
      <c r="K1018" s="404" t="n">
        <v>216</v>
      </c>
      <c r="L1018" s="404" t="n">
        <v>8</v>
      </c>
      <c r="M1018" s="404" t="n">
        <v>3</v>
      </c>
      <c r="N1018" s="404" t="inlineStr"/>
      <c r="O1018" s="404" t="n">
        <v>0</v>
      </c>
      <c r="P1018" s="404" t="n"/>
      <c r="Q1018" s="404" t="n"/>
      <c r="R1018" s="404" t="n"/>
      <c r="S1018" s="404" t="n"/>
      <c r="T1018" s="404" t="n"/>
      <c r="U1018" s="404" t="n"/>
      <c r="V1018" s="404" t="n"/>
      <c r="W1018" s="404" t="n">
        <v>0</v>
      </c>
      <c r="X1018" s="404" t="n">
        <v>1</v>
      </c>
      <c r="Y1018" s="404" t="n">
        <v>0</v>
      </c>
      <c r="Z1018" s="404" t="n"/>
      <c r="AA1018" s="404" t="n"/>
      <c r="AB1018" s="404" t="n"/>
    </row>
    <row r="1019">
      <c r="A1019" s="404" t="n">
        <v>50</v>
      </c>
      <c r="B1019" s="404" t="n">
        <v>0</v>
      </c>
      <c r="C1019" s="404" t="n">
        <v>0</v>
      </c>
      <c r="D1019" s="404" t="n">
        <v>1</v>
      </c>
      <c r="E1019" s="404" t="n">
        <v>223</v>
      </c>
      <c r="F1019" s="404">
        <f>ROUND(Source!AQ1009,O1019)</f>
        <v/>
      </c>
      <c r="G1019" s="404" t="inlineStr">
        <is>
          <t>ОборудЗак</t>
        </is>
      </c>
      <c r="H1019" s="404" t="inlineStr">
        <is>
          <t>Стоимость оборудования заказчика</t>
        </is>
      </c>
      <c r="I1019" s="404" t="n"/>
      <c r="J1019" s="404" t="n"/>
      <c r="K1019" s="404" t="n">
        <v>223</v>
      </c>
      <c r="L1019" s="404" t="n">
        <v>9</v>
      </c>
      <c r="M1019" s="404" t="n">
        <v>3</v>
      </c>
      <c r="N1019" s="404" t="inlineStr"/>
      <c r="O1019" s="404" t="n">
        <v>0</v>
      </c>
      <c r="P1019" s="404" t="n"/>
      <c r="Q1019" s="404" t="n"/>
      <c r="R1019" s="404" t="n"/>
      <c r="S1019" s="404" t="n"/>
      <c r="T1019" s="404" t="n"/>
      <c r="U1019" s="404" t="n"/>
      <c r="V1019" s="404" t="n"/>
      <c r="W1019" s="404" t="n">
        <v>0</v>
      </c>
      <c r="X1019" s="404" t="n">
        <v>1</v>
      </c>
      <c r="Y1019" s="404" t="n">
        <v>0</v>
      </c>
      <c r="Z1019" s="404" t="n"/>
      <c r="AA1019" s="404" t="n"/>
      <c r="AB1019" s="404" t="n"/>
    </row>
    <row r="1020">
      <c r="A1020" s="404" t="n">
        <v>50</v>
      </c>
      <c r="B1020" s="404" t="n">
        <v>0</v>
      </c>
      <c r="C1020" s="404" t="n">
        <v>0</v>
      </c>
      <c r="D1020" s="404" t="n">
        <v>1</v>
      </c>
      <c r="E1020" s="404" t="n">
        <v>229</v>
      </c>
      <c r="F1020" s="404">
        <f>ROUND(Source!AZ1009,O1020)</f>
        <v/>
      </c>
      <c r="G1020" s="404" t="inlineStr">
        <is>
          <t>ОборудПод</t>
        </is>
      </c>
      <c r="H1020" s="404" t="inlineStr">
        <is>
          <t>Стоимость оборудования подрядчика</t>
        </is>
      </c>
      <c r="I1020" s="404" t="n"/>
      <c r="J1020" s="404" t="n"/>
      <c r="K1020" s="404" t="n">
        <v>229</v>
      </c>
      <c r="L1020" s="404" t="n">
        <v>10</v>
      </c>
      <c r="M1020" s="404" t="n">
        <v>3</v>
      </c>
      <c r="N1020" s="404" t="inlineStr"/>
      <c r="O1020" s="404" t="n">
        <v>0</v>
      </c>
      <c r="P1020" s="404" t="n"/>
      <c r="Q1020" s="404" t="n"/>
      <c r="R1020" s="404" t="n"/>
      <c r="S1020" s="404" t="n"/>
      <c r="T1020" s="404" t="n"/>
      <c r="U1020" s="404" t="n"/>
      <c r="V1020" s="404" t="n"/>
      <c r="W1020" s="404" t="n">
        <v>0</v>
      </c>
      <c r="X1020" s="404" t="n">
        <v>1</v>
      </c>
      <c r="Y1020" s="404" t="n">
        <v>0</v>
      </c>
      <c r="Z1020" s="404" t="n"/>
      <c r="AA1020" s="404" t="n"/>
      <c r="AB1020" s="404" t="n"/>
    </row>
    <row r="1021">
      <c r="A1021" s="404" t="n">
        <v>50</v>
      </c>
      <c r="B1021" s="404" t="n">
        <v>0</v>
      </c>
      <c r="C1021" s="404" t="n">
        <v>0</v>
      </c>
      <c r="D1021" s="404" t="n">
        <v>1</v>
      </c>
      <c r="E1021" s="404" t="n">
        <v>203</v>
      </c>
      <c r="F1021" s="404">
        <f>ROUND(Source!Q1009,O1021)</f>
        <v/>
      </c>
      <c r="G1021" s="404" t="inlineStr">
        <is>
          <t>ЭММ</t>
        </is>
      </c>
      <c r="H1021" s="404" t="inlineStr">
        <is>
          <t>Эксплуатация машин</t>
        </is>
      </c>
      <c r="I1021" s="404" t="n"/>
      <c r="J1021" s="404" t="n"/>
      <c r="K1021" s="404" t="n">
        <v>203</v>
      </c>
      <c r="L1021" s="404" t="n">
        <v>11</v>
      </c>
      <c r="M1021" s="404" t="n">
        <v>3</v>
      </c>
      <c r="N1021" s="404" t="inlineStr"/>
      <c r="O1021" s="404" t="n">
        <v>0</v>
      </c>
      <c r="P1021" s="404" t="n"/>
      <c r="Q1021" s="404" t="n"/>
      <c r="R1021" s="404" t="n"/>
      <c r="S1021" s="404" t="n"/>
      <c r="T1021" s="404" t="n"/>
      <c r="U1021" s="404" t="n"/>
      <c r="V1021" s="404" t="n"/>
      <c r="W1021" s="404" t="n">
        <v>0</v>
      </c>
      <c r="X1021" s="404" t="n">
        <v>1</v>
      </c>
      <c r="Y1021" s="404" t="n">
        <v>0</v>
      </c>
      <c r="Z1021" s="404" t="n"/>
      <c r="AA1021" s="404" t="n"/>
      <c r="AB1021" s="404" t="n"/>
    </row>
    <row r="1022">
      <c r="A1022" s="404" t="n">
        <v>50</v>
      </c>
      <c r="B1022" s="404" t="n">
        <v>0</v>
      </c>
      <c r="C1022" s="404" t="n">
        <v>0</v>
      </c>
      <c r="D1022" s="404" t="n">
        <v>1</v>
      </c>
      <c r="E1022" s="404" t="n">
        <v>231</v>
      </c>
      <c r="F1022" s="404">
        <f>ROUND(Source!BB1009,O1022)</f>
        <v/>
      </c>
      <c r="G1022" s="404" t="inlineStr">
        <is>
          <t>ЭММсНРиСП</t>
        </is>
      </c>
      <c r="H1022" s="404" t="inlineStr">
        <is>
          <t>Эксплуатация машин по ТСН-2001.16</t>
        </is>
      </c>
      <c r="I1022" s="404" t="n"/>
      <c r="J1022" s="404" t="n"/>
      <c r="K1022" s="404" t="n">
        <v>231</v>
      </c>
      <c r="L1022" s="404" t="n">
        <v>12</v>
      </c>
      <c r="M1022" s="404" t="n">
        <v>3</v>
      </c>
      <c r="N1022" s="404" t="inlineStr"/>
      <c r="O1022" s="404" t="n">
        <v>0</v>
      </c>
      <c r="P1022" s="404" t="n"/>
      <c r="Q1022" s="404" t="n"/>
      <c r="R1022" s="404" t="n"/>
      <c r="S1022" s="404" t="n"/>
      <c r="T1022" s="404" t="n"/>
      <c r="U1022" s="404" t="n"/>
      <c r="V1022" s="404" t="n"/>
      <c r="W1022" s="404" t="n">
        <v>0</v>
      </c>
      <c r="X1022" s="404" t="n">
        <v>1</v>
      </c>
      <c r="Y1022" s="404" t="n">
        <v>0</v>
      </c>
      <c r="Z1022" s="404" t="n"/>
      <c r="AA1022" s="404" t="n"/>
      <c r="AB1022" s="404" t="n"/>
    </row>
    <row r="1023">
      <c r="A1023" s="404" t="n">
        <v>50</v>
      </c>
      <c r="B1023" s="404" t="n">
        <v>0</v>
      </c>
      <c r="C1023" s="404" t="n">
        <v>0</v>
      </c>
      <c r="D1023" s="404" t="n">
        <v>1</v>
      </c>
      <c r="E1023" s="404" t="n">
        <v>204</v>
      </c>
      <c r="F1023" s="404">
        <f>ROUND(Source!R1009,O1023)</f>
        <v/>
      </c>
      <c r="G1023" s="404" t="inlineStr">
        <is>
          <t>ЗПМ</t>
        </is>
      </c>
      <c r="H1023" s="404" t="inlineStr">
        <is>
          <t>ЗП машинистов</t>
        </is>
      </c>
      <c r="I1023" s="404" t="n"/>
      <c r="J1023" s="404" t="n"/>
      <c r="K1023" s="404" t="n">
        <v>204</v>
      </c>
      <c r="L1023" s="404" t="n">
        <v>13</v>
      </c>
      <c r="M1023" s="404" t="n">
        <v>3</v>
      </c>
      <c r="N1023" s="404" t="inlineStr"/>
      <c r="O1023" s="404" t="n">
        <v>0</v>
      </c>
      <c r="P1023" s="404" t="n"/>
      <c r="Q1023" s="404" t="n"/>
      <c r="R1023" s="404" t="n"/>
      <c r="S1023" s="404" t="n"/>
      <c r="T1023" s="404" t="n"/>
      <c r="U1023" s="404" t="n"/>
      <c r="V1023" s="404" t="n"/>
      <c r="W1023" s="404" t="n">
        <v>0</v>
      </c>
      <c r="X1023" s="404" t="n">
        <v>1</v>
      </c>
      <c r="Y1023" s="404" t="n">
        <v>0</v>
      </c>
      <c r="Z1023" s="404" t="n"/>
      <c r="AA1023" s="404" t="n"/>
      <c r="AB1023" s="404" t="n"/>
    </row>
    <row r="1024">
      <c r="A1024" s="404" t="n">
        <v>50</v>
      </c>
      <c r="B1024" s="404" t="n">
        <v>0</v>
      </c>
      <c r="C1024" s="404" t="n">
        <v>0</v>
      </c>
      <c r="D1024" s="404" t="n">
        <v>1</v>
      </c>
      <c r="E1024" s="404" t="n">
        <v>205</v>
      </c>
      <c r="F1024" s="404">
        <f>ROUND(Source!S1009,O1024)</f>
        <v/>
      </c>
      <c r="G1024" s="404" t="inlineStr">
        <is>
          <t>ОЗП</t>
        </is>
      </c>
      <c r="H1024" s="404" t="inlineStr">
        <is>
          <t>Основная ЗП рабочих</t>
        </is>
      </c>
      <c r="I1024" s="404" t="n"/>
      <c r="J1024" s="404" t="n"/>
      <c r="K1024" s="404" t="n">
        <v>205</v>
      </c>
      <c r="L1024" s="404" t="n">
        <v>14</v>
      </c>
      <c r="M1024" s="404" t="n">
        <v>3</v>
      </c>
      <c r="N1024" s="404" t="inlineStr"/>
      <c r="O1024" s="404" t="n">
        <v>0</v>
      </c>
      <c r="P1024" s="404" t="n"/>
      <c r="Q1024" s="404" t="n"/>
      <c r="R1024" s="404" t="n"/>
      <c r="S1024" s="404" t="n"/>
      <c r="T1024" s="404" t="n"/>
      <c r="U1024" s="404" t="n"/>
      <c r="V1024" s="404" t="n"/>
      <c r="W1024" s="404" t="n">
        <v>0</v>
      </c>
      <c r="X1024" s="404" t="n">
        <v>1</v>
      </c>
      <c r="Y1024" s="404" t="n">
        <v>0</v>
      </c>
      <c r="Z1024" s="404" t="n"/>
      <c r="AA1024" s="404" t="n"/>
      <c r="AB1024" s="404" t="n"/>
    </row>
    <row r="1025">
      <c r="A1025" s="404" t="n">
        <v>50</v>
      </c>
      <c r="B1025" s="404" t="n">
        <v>0</v>
      </c>
      <c r="C1025" s="404" t="n">
        <v>0</v>
      </c>
      <c r="D1025" s="404" t="n">
        <v>1</v>
      </c>
      <c r="E1025" s="404" t="n">
        <v>232</v>
      </c>
      <c r="F1025" s="404">
        <f>ROUND(Source!BC1009,O1025)</f>
        <v/>
      </c>
      <c r="G1025" s="404" t="inlineStr">
        <is>
          <t>ОЗПсНРиСП</t>
        </is>
      </c>
      <c r="H1025" s="404" t="inlineStr">
        <is>
          <t>Основная ЗП рабочих по ТСН-2001.16</t>
        </is>
      </c>
      <c r="I1025" s="404" t="n"/>
      <c r="J1025" s="404" t="n"/>
      <c r="K1025" s="404" t="n">
        <v>232</v>
      </c>
      <c r="L1025" s="404" t="n">
        <v>15</v>
      </c>
      <c r="M1025" s="404" t="n">
        <v>3</v>
      </c>
      <c r="N1025" s="404" t="inlineStr"/>
      <c r="O1025" s="404" t="n">
        <v>0</v>
      </c>
      <c r="P1025" s="404" t="n"/>
      <c r="Q1025" s="404" t="n"/>
      <c r="R1025" s="404" t="n"/>
      <c r="S1025" s="404" t="n"/>
      <c r="T1025" s="404" t="n"/>
      <c r="U1025" s="404" t="n"/>
      <c r="V1025" s="404" t="n"/>
      <c r="W1025" s="404" t="n">
        <v>0</v>
      </c>
      <c r="X1025" s="404" t="n">
        <v>1</v>
      </c>
      <c r="Y1025" s="404" t="n">
        <v>0</v>
      </c>
      <c r="Z1025" s="404" t="n"/>
      <c r="AA1025" s="404" t="n"/>
      <c r="AB1025" s="404" t="n"/>
    </row>
    <row r="1026">
      <c r="A1026" s="404" t="n">
        <v>50</v>
      </c>
      <c r="B1026" s="404" t="n">
        <v>0</v>
      </c>
      <c r="C1026" s="404" t="n">
        <v>0</v>
      </c>
      <c r="D1026" s="404" t="n">
        <v>1</v>
      </c>
      <c r="E1026" s="404" t="n">
        <v>214</v>
      </c>
      <c r="F1026" s="404">
        <f>ROUND(Source!AS1009,O1026)</f>
        <v/>
      </c>
      <c r="G1026" s="404" t="inlineStr">
        <is>
          <t>Строит</t>
        </is>
      </c>
      <c r="H1026" s="404" t="inlineStr">
        <is>
          <t>Строительные работы с НР и СП</t>
        </is>
      </c>
      <c r="I1026" s="404" t="n"/>
      <c r="J1026" s="404" t="n"/>
      <c r="K1026" s="404" t="n">
        <v>214</v>
      </c>
      <c r="L1026" s="404" t="n">
        <v>16</v>
      </c>
      <c r="M1026" s="404" t="n">
        <v>3</v>
      </c>
      <c r="N1026" s="404" t="inlineStr"/>
      <c r="O1026" s="404" t="n">
        <v>0</v>
      </c>
      <c r="P1026" s="404" t="n"/>
      <c r="Q1026" s="404" t="n"/>
      <c r="R1026" s="404" t="n"/>
      <c r="S1026" s="404" t="n"/>
      <c r="T1026" s="404" t="n"/>
      <c r="U1026" s="404" t="n"/>
      <c r="V1026" s="404" t="n"/>
      <c r="W1026" s="404" t="n">
        <v>0</v>
      </c>
      <c r="X1026" s="404" t="n">
        <v>1</v>
      </c>
      <c r="Y1026" s="404" t="n">
        <v>0</v>
      </c>
      <c r="Z1026" s="404" t="n"/>
      <c r="AA1026" s="404" t="n"/>
      <c r="AB1026" s="404" t="n"/>
    </row>
    <row r="1027">
      <c r="A1027" s="404" t="n">
        <v>50</v>
      </c>
      <c r="B1027" s="404" t="n">
        <v>0</v>
      </c>
      <c r="C1027" s="404" t="n">
        <v>0</v>
      </c>
      <c r="D1027" s="404" t="n">
        <v>1</v>
      </c>
      <c r="E1027" s="404" t="n">
        <v>215</v>
      </c>
      <c r="F1027" s="404">
        <f>ROUND(Source!AT1009,O1027)</f>
        <v/>
      </c>
      <c r="G1027" s="404" t="inlineStr">
        <is>
          <t>Монтаж</t>
        </is>
      </c>
      <c r="H1027" s="404" t="inlineStr">
        <is>
          <t>Монтажные работы с НР и СП</t>
        </is>
      </c>
      <c r="I1027" s="404" t="n"/>
      <c r="J1027" s="404" t="n"/>
      <c r="K1027" s="404" t="n">
        <v>215</v>
      </c>
      <c r="L1027" s="404" t="n">
        <v>17</v>
      </c>
      <c r="M1027" s="404" t="n">
        <v>3</v>
      </c>
      <c r="N1027" s="404" t="inlineStr"/>
      <c r="O1027" s="404" t="n">
        <v>0</v>
      </c>
      <c r="P1027" s="404" t="n"/>
      <c r="Q1027" s="404" t="n"/>
      <c r="R1027" s="404" t="n"/>
      <c r="S1027" s="404" t="n"/>
      <c r="T1027" s="404" t="n"/>
      <c r="U1027" s="404" t="n"/>
      <c r="V1027" s="404" t="n"/>
      <c r="W1027" s="404" t="n">
        <v>0</v>
      </c>
      <c r="X1027" s="404" t="n">
        <v>1</v>
      </c>
      <c r="Y1027" s="404" t="n">
        <v>0</v>
      </c>
      <c r="Z1027" s="404" t="n"/>
      <c r="AA1027" s="404" t="n"/>
      <c r="AB1027" s="404" t="n"/>
    </row>
    <row r="1028">
      <c r="A1028" s="404" t="n">
        <v>50</v>
      </c>
      <c r="B1028" s="404" t="n">
        <v>0</v>
      </c>
      <c r="C1028" s="404" t="n">
        <v>0</v>
      </c>
      <c r="D1028" s="404" t="n">
        <v>1</v>
      </c>
      <c r="E1028" s="404" t="n">
        <v>217</v>
      </c>
      <c r="F1028" s="404">
        <f>ROUND(Source!AU1009,O1028)</f>
        <v/>
      </c>
      <c r="G1028" s="404" t="inlineStr">
        <is>
          <t>Прочие</t>
        </is>
      </c>
      <c r="H1028" s="404" t="inlineStr">
        <is>
          <t>Прочие работы с НР и СП</t>
        </is>
      </c>
      <c r="I1028" s="404" t="n"/>
      <c r="J1028" s="404" t="n"/>
      <c r="K1028" s="404" t="n">
        <v>217</v>
      </c>
      <c r="L1028" s="404" t="n">
        <v>18</v>
      </c>
      <c r="M1028" s="404" t="n">
        <v>3</v>
      </c>
      <c r="N1028" s="404" t="inlineStr"/>
      <c r="O1028" s="404" t="n">
        <v>0</v>
      </c>
      <c r="P1028" s="404" t="n"/>
      <c r="Q1028" s="404" t="n"/>
      <c r="R1028" s="404" t="n"/>
      <c r="S1028" s="404" t="n"/>
      <c r="T1028" s="404" t="n"/>
      <c r="U1028" s="404" t="n"/>
      <c r="V1028" s="404" t="n"/>
      <c r="W1028" s="404" t="n">
        <v>0</v>
      </c>
      <c r="X1028" s="404" t="n">
        <v>1</v>
      </c>
      <c r="Y1028" s="404" t="n">
        <v>0</v>
      </c>
      <c r="Z1028" s="404" t="n"/>
      <c r="AA1028" s="404" t="n"/>
      <c r="AB1028" s="404" t="n"/>
    </row>
    <row r="1029">
      <c r="A1029" s="404" t="n">
        <v>50</v>
      </c>
      <c r="B1029" s="404" t="n">
        <v>0</v>
      </c>
      <c r="C1029" s="404" t="n">
        <v>0</v>
      </c>
      <c r="D1029" s="404" t="n">
        <v>1</v>
      </c>
      <c r="E1029" s="404" t="n">
        <v>230</v>
      </c>
      <c r="F1029" s="404">
        <f>ROUND(Source!BA1009,O1029)</f>
        <v/>
      </c>
      <c r="G1029" s="404" t="inlineStr">
        <is>
          <t>ПрочиеЗатр</t>
        </is>
      </c>
      <c r="H1029" s="404" t="inlineStr">
        <is>
          <t>Прочие затраты по ТСН-2001.16</t>
        </is>
      </c>
      <c r="I1029" s="404" t="n"/>
      <c r="J1029" s="404" t="n"/>
      <c r="K1029" s="404" t="n">
        <v>230</v>
      </c>
      <c r="L1029" s="404" t="n">
        <v>19</v>
      </c>
      <c r="M1029" s="404" t="n">
        <v>3</v>
      </c>
      <c r="N1029" s="404" t="inlineStr"/>
      <c r="O1029" s="404" t="n">
        <v>0</v>
      </c>
      <c r="P1029" s="404" t="n"/>
      <c r="Q1029" s="404" t="n"/>
      <c r="R1029" s="404" t="n"/>
      <c r="S1029" s="404" t="n"/>
      <c r="T1029" s="404" t="n"/>
      <c r="U1029" s="404" t="n"/>
      <c r="V1029" s="404" t="n"/>
      <c r="W1029" s="404" t="n">
        <v>0</v>
      </c>
      <c r="X1029" s="404" t="n">
        <v>1</v>
      </c>
      <c r="Y1029" s="404" t="n">
        <v>0</v>
      </c>
      <c r="Z1029" s="404" t="n"/>
      <c r="AA1029" s="404" t="n"/>
      <c r="AB1029" s="404" t="n"/>
    </row>
    <row r="1030">
      <c r="A1030" s="404" t="n">
        <v>50</v>
      </c>
      <c r="B1030" s="404" t="n">
        <v>0</v>
      </c>
      <c r="C1030" s="404" t="n">
        <v>0</v>
      </c>
      <c r="D1030" s="404" t="n">
        <v>1</v>
      </c>
      <c r="E1030" s="404" t="n">
        <v>206</v>
      </c>
      <c r="F1030" s="404">
        <f>ROUND(Source!T1009,O1030)</f>
        <v/>
      </c>
      <c r="G1030" s="404" t="inlineStr">
        <is>
          <t>ВозврМат</t>
        </is>
      </c>
      <c r="H1030" s="404" t="inlineStr">
        <is>
          <t>Возврат материалов</t>
        </is>
      </c>
      <c r="I1030" s="404" t="n"/>
      <c r="J1030" s="404" t="n"/>
      <c r="K1030" s="404" t="n">
        <v>206</v>
      </c>
      <c r="L1030" s="404" t="n">
        <v>20</v>
      </c>
      <c r="M1030" s="404" t="n">
        <v>3</v>
      </c>
      <c r="N1030" s="404" t="inlineStr"/>
      <c r="O1030" s="404" t="n">
        <v>0</v>
      </c>
      <c r="P1030" s="404" t="n"/>
      <c r="Q1030" s="404" t="n"/>
      <c r="R1030" s="404" t="n"/>
      <c r="S1030" s="404" t="n"/>
      <c r="T1030" s="404" t="n"/>
      <c r="U1030" s="404" t="n"/>
      <c r="V1030" s="404" t="n"/>
      <c r="W1030" s="404" t="n">
        <v>0</v>
      </c>
      <c r="X1030" s="404" t="n">
        <v>1</v>
      </c>
      <c r="Y1030" s="404" t="n">
        <v>0</v>
      </c>
      <c r="Z1030" s="404" t="n"/>
      <c r="AA1030" s="404" t="n"/>
      <c r="AB1030" s="404" t="n"/>
    </row>
    <row r="1031">
      <c r="A1031" s="404" t="n">
        <v>50</v>
      </c>
      <c r="B1031" s="404" t="n">
        <v>0</v>
      </c>
      <c r="C1031" s="404" t="n">
        <v>0</v>
      </c>
      <c r="D1031" s="404" t="n">
        <v>1</v>
      </c>
      <c r="E1031" s="404" t="n">
        <v>207</v>
      </c>
      <c r="F1031" s="404">
        <f>ROUND(Source!U1009,O1031)</f>
        <v/>
      </c>
      <c r="G1031" s="404" t="inlineStr">
        <is>
          <t>ТрудСтр</t>
        </is>
      </c>
      <c r="H1031" s="404" t="inlineStr">
        <is>
          <t>Трудозатраты строителей</t>
        </is>
      </c>
      <c r="I1031" s="404" t="n"/>
      <c r="J1031" s="404" t="n"/>
      <c r="K1031" s="404" t="n">
        <v>207</v>
      </c>
      <c r="L1031" s="404" t="n">
        <v>21</v>
      </c>
      <c r="M1031" s="404" t="n">
        <v>3</v>
      </c>
      <c r="N1031" s="404" t="inlineStr"/>
      <c r="O1031" s="404" t="n">
        <v>7</v>
      </c>
      <c r="P1031" s="404" t="n"/>
      <c r="Q1031" s="404" t="n"/>
      <c r="R1031" s="404" t="n"/>
      <c r="S1031" s="404" t="n"/>
      <c r="T1031" s="404" t="n"/>
      <c r="U1031" s="404" t="n"/>
      <c r="V1031" s="404" t="n"/>
      <c r="W1031" s="404" t="n">
        <v>0</v>
      </c>
      <c r="X1031" s="404" t="n">
        <v>1</v>
      </c>
      <c r="Y1031" s="404" t="n">
        <v>0</v>
      </c>
      <c r="Z1031" s="404" t="n"/>
      <c r="AA1031" s="404" t="n"/>
      <c r="AB1031" s="404" t="n"/>
    </row>
    <row r="1032">
      <c r="A1032" s="404" t="n">
        <v>50</v>
      </c>
      <c r="B1032" s="404" t="n">
        <v>0</v>
      </c>
      <c r="C1032" s="404" t="n">
        <v>0</v>
      </c>
      <c r="D1032" s="404" t="n">
        <v>1</v>
      </c>
      <c r="E1032" s="404" t="n">
        <v>208</v>
      </c>
      <c r="F1032" s="404">
        <f>ROUND(Source!V1009,O1032)</f>
        <v/>
      </c>
      <c r="G1032" s="404" t="inlineStr">
        <is>
          <t>ТрудМаш</t>
        </is>
      </c>
      <c r="H1032" s="404" t="inlineStr">
        <is>
          <t>Трудозатраты машинистов</t>
        </is>
      </c>
      <c r="I1032" s="404" t="n"/>
      <c r="J1032" s="404" t="n"/>
      <c r="K1032" s="404" t="n">
        <v>208</v>
      </c>
      <c r="L1032" s="404" t="n">
        <v>22</v>
      </c>
      <c r="M1032" s="404" t="n">
        <v>3</v>
      </c>
      <c r="N1032" s="404" t="inlineStr"/>
      <c r="O1032" s="404" t="n">
        <v>7</v>
      </c>
      <c r="P1032" s="404" t="n"/>
      <c r="Q1032" s="404" t="n"/>
      <c r="R1032" s="404" t="n"/>
      <c r="S1032" s="404" t="n"/>
      <c r="T1032" s="404" t="n"/>
      <c r="U1032" s="404" t="n"/>
      <c r="V1032" s="404" t="n"/>
      <c r="W1032" s="404" t="n">
        <v>0</v>
      </c>
      <c r="X1032" s="404" t="n">
        <v>1</v>
      </c>
      <c r="Y1032" s="404" t="n">
        <v>0</v>
      </c>
      <c r="Z1032" s="404" t="n"/>
      <c r="AA1032" s="404" t="n"/>
      <c r="AB1032" s="404" t="n"/>
    </row>
    <row r="1033">
      <c r="A1033" s="404" t="n">
        <v>50</v>
      </c>
      <c r="B1033" s="404" t="n">
        <v>0</v>
      </c>
      <c r="C1033" s="404" t="n">
        <v>0</v>
      </c>
      <c r="D1033" s="404" t="n">
        <v>1</v>
      </c>
      <c r="E1033" s="404" t="n">
        <v>209</v>
      </c>
      <c r="F1033" s="404">
        <f>ROUND(Source!W1009,O1033)</f>
        <v/>
      </c>
      <c r="G1033" s="404" t="inlineStr">
        <is>
          <t>ТранспМат</t>
        </is>
      </c>
      <c r="H1033" s="404" t="inlineStr">
        <is>
          <t>Транспорт материалов</t>
        </is>
      </c>
      <c r="I1033" s="404" t="n"/>
      <c r="J1033" s="404" t="n"/>
      <c r="K1033" s="404" t="n">
        <v>209</v>
      </c>
      <c r="L1033" s="404" t="n">
        <v>23</v>
      </c>
      <c r="M1033" s="404" t="n">
        <v>3</v>
      </c>
      <c r="N1033" s="404" t="inlineStr"/>
      <c r="O1033" s="404" t="n">
        <v>0</v>
      </c>
      <c r="P1033" s="404" t="n"/>
      <c r="Q1033" s="404" t="n"/>
      <c r="R1033" s="404" t="n"/>
      <c r="S1033" s="404" t="n"/>
      <c r="T1033" s="404" t="n"/>
      <c r="U1033" s="404" t="n"/>
      <c r="V1033" s="404" t="n"/>
      <c r="W1033" s="404" t="n">
        <v>0</v>
      </c>
      <c r="X1033" s="404" t="n">
        <v>1</v>
      </c>
      <c r="Y1033" s="404" t="n">
        <v>0</v>
      </c>
      <c r="Z1033" s="404" t="n"/>
      <c r="AA1033" s="404" t="n"/>
      <c r="AB1033" s="404" t="n"/>
    </row>
    <row r="1034">
      <c r="A1034" s="404" t="n">
        <v>50</v>
      </c>
      <c r="B1034" s="404" t="n">
        <v>0</v>
      </c>
      <c r="C1034" s="404" t="n">
        <v>0</v>
      </c>
      <c r="D1034" s="404" t="n">
        <v>1</v>
      </c>
      <c r="E1034" s="404" t="n">
        <v>233</v>
      </c>
      <c r="F1034" s="404">
        <f>ROUND(Source!BD1009,O1034)</f>
        <v/>
      </c>
      <c r="G1034" s="404" t="inlineStr">
        <is>
          <t>Перевозка</t>
        </is>
      </c>
      <c r="H1034" s="404" t="inlineStr">
        <is>
          <t>Перевозка грузов</t>
        </is>
      </c>
      <c r="I1034" s="404" t="n"/>
      <c r="J1034" s="404" t="n"/>
      <c r="K1034" s="404" t="n">
        <v>233</v>
      </c>
      <c r="L1034" s="404" t="n">
        <v>24</v>
      </c>
      <c r="M1034" s="404" t="n">
        <v>3</v>
      </c>
      <c r="N1034" s="404" t="inlineStr"/>
      <c r="O1034" s="404" t="n">
        <v>0</v>
      </c>
      <c r="P1034" s="404" t="n"/>
      <c r="Q1034" s="404" t="n"/>
      <c r="R1034" s="404" t="n"/>
      <c r="S1034" s="404" t="n"/>
      <c r="T1034" s="404" t="n"/>
      <c r="U1034" s="404" t="n"/>
      <c r="V1034" s="404" t="n"/>
      <c r="W1034" s="404" t="n">
        <v>0</v>
      </c>
      <c r="X1034" s="404" t="n">
        <v>1</v>
      </c>
      <c r="Y1034" s="404" t="n">
        <v>0</v>
      </c>
      <c r="Z1034" s="404" t="n"/>
      <c r="AA1034" s="404" t="n"/>
      <c r="AB1034" s="404" t="n"/>
    </row>
    <row r="1035">
      <c r="A1035" s="404" t="n">
        <v>50</v>
      </c>
      <c r="B1035" s="404" t="n">
        <v>0</v>
      </c>
      <c r="C1035" s="404" t="n">
        <v>0</v>
      </c>
      <c r="D1035" s="404" t="n">
        <v>1</v>
      </c>
      <c r="E1035" s="404" t="n">
        <v>210</v>
      </c>
      <c r="F1035" s="404">
        <f>ROUND(Source!X1009,O1035)</f>
        <v/>
      </c>
      <c r="G1035" s="404" t="inlineStr">
        <is>
          <t>НР</t>
        </is>
      </c>
      <c r="H1035" s="404" t="inlineStr">
        <is>
          <t>Накладные расходы</t>
        </is>
      </c>
      <c r="I1035" s="404" t="n"/>
      <c r="J1035" s="404" t="n"/>
      <c r="K1035" s="404" t="n">
        <v>210</v>
      </c>
      <c r="L1035" s="404" t="n">
        <v>25</v>
      </c>
      <c r="M1035" s="404" t="n">
        <v>3</v>
      </c>
      <c r="N1035" s="404" t="inlineStr"/>
      <c r="O1035" s="404" t="n">
        <v>0</v>
      </c>
      <c r="P1035" s="404" t="n"/>
      <c r="Q1035" s="404" t="n"/>
      <c r="R1035" s="404" t="n"/>
      <c r="S1035" s="404" t="n"/>
      <c r="T1035" s="404" t="n"/>
      <c r="U1035" s="404" t="n"/>
      <c r="V1035" s="404" t="n"/>
      <c r="W1035" s="404" t="n">
        <v>0</v>
      </c>
      <c r="X1035" s="404" t="n">
        <v>1</v>
      </c>
      <c r="Y1035" s="404" t="n">
        <v>0</v>
      </c>
      <c r="Z1035" s="404" t="n"/>
      <c r="AA1035" s="404" t="n"/>
      <c r="AB1035" s="404" t="n"/>
    </row>
    <row r="1036">
      <c r="A1036" s="404" t="n">
        <v>50</v>
      </c>
      <c r="B1036" s="404" t="n">
        <v>0</v>
      </c>
      <c r="C1036" s="404" t="n">
        <v>0</v>
      </c>
      <c r="D1036" s="404" t="n">
        <v>1</v>
      </c>
      <c r="E1036" s="404" t="n">
        <v>211</v>
      </c>
      <c r="F1036" s="404">
        <f>ROUND(Source!Y1009,O1036)</f>
        <v/>
      </c>
      <c r="G1036" s="404" t="inlineStr">
        <is>
          <t>СмПриб</t>
        </is>
      </c>
      <c r="H1036" s="404" t="inlineStr">
        <is>
          <t>Сметная прибыль</t>
        </is>
      </c>
      <c r="I1036" s="404" t="n"/>
      <c r="J1036" s="404" t="n"/>
      <c r="K1036" s="404" t="n">
        <v>211</v>
      </c>
      <c r="L1036" s="404" t="n">
        <v>26</v>
      </c>
      <c r="M1036" s="404" t="n">
        <v>3</v>
      </c>
      <c r="N1036" s="404" t="inlineStr"/>
      <c r="O1036" s="404" t="n">
        <v>0</v>
      </c>
      <c r="P1036" s="404" t="n"/>
      <c r="Q1036" s="404" t="n"/>
      <c r="R1036" s="404" t="n"/>
      <c r="S1036" s="404" t="n"/>
      <c r="T1036" s="404" t="n"/>
      <c r="U1036" s="404" t="n"/>
      <c r="V1036" s="404" t="n"/>
      <c r="W1036" s="404" t="n">
        <v>0</v>
      </c>
      <c r="X1036" s="404" t="n">
        <v>1</v>
      </c>
      <c r="Y1036" s="404" t="n">
        <v>0</v>
      </c>
      <c r="Z1036" s="404" t="n"/>
      <c r="AA1036" s="404" t="n"/>
      <c r="AB1036" s="404" t="n"/>
    </row>
    <row r="1037">
      <c r="A1037" s="404" t="n">
        <v>50</v>
      </c>
      <c r="B1037" s="404" t="n">
        <v>0</v>
      </c>
      <c r="C1037" s="404" t="n">
        <v>0</v>
      </c>
      <c r="D1037" s="404" t="n">
        <v>1</v>
      </c>
      <c r="E1037" s="404" t="n">
        <v>224</v>
      </c>
      <c r="F1037" s="404">
        <f>ROUND(Source!AR1009,O1037)</f>
        <v/>
      </c>
      <c r="G1037" s="404" t="inlineStr">
        <is>
          <t>Всего</t>
        </is>
      </c>
      <c r="H1037" s="404" t="inlineStr">
        <is>
          <t>Всего с НР и СП</t>
        </is>
      </c>
      <c r="I1037" s="404" t="n"/>
      <c r="J1037" s="404" t="n"/>
      <c r="K1037" s="404" t="n">
        <v>224</v>
      </c>
      <c r="L1037" s="404" t="n">
        <v>27</v>
      </c>
      <c r="M1037" s="404" t="n">
        <v>3</v>
      </c>
      <c r="N1037" s="404" t="inlineStr"/>
      <c r="O1037" s="404" t="n">
        <v>0</v>
      </c>
      <c r="P1037" s="404" t="n"/>
      <c r="Q1037" s="404" t="n"/>
      <c r="R1037" s="404" t="n"/>
      <c r="S1037" s="404" t="n"/>
      <c r="T1037" s="404" t="n"/>
      <c r="U1037" s="404" t="n"/>
      <c r="V1037" s="404" t="n"/>
      <c r="W1037" s="404" t="n">
        <v>0</v>
      </c>
      <c r="X1037" s="404" t="n">
        <v>1</v>
      </c>
      <c r="Y1037" s="404" t="n">
        <v>0</v>
      </c>
      <c r="Z1037" s="404" t="n"/>
      <c r="AA1037" s="404" t="n"/>
      <c r="AB1037" s="404" t="n"/>
    </row>
    <row r="1038">
      <c r="A1038" s="404" t="n">
        <v>50</v>
      </c>
      <c r="B1038" s="404" t="n">
        <v>0</v>
      </c>
      <c r="C1038" s="404" t="n">
        <v>0</v>
      </c>
      <c r="D1038" s="404" t="n">
        <v>2</v>
      </c>
      <c r="E1038" s="404" t="n">
        <v>0</v>
      </c>
      <c r="F1038" s="404">
        <f>ROUND(F1037,O1038)</f>
        <v/>
      </c>
      <c r="G1038" s="404" t="inlineStr">
        <is>
          <t>и1</t>
        </is>
      </c>
      <c r="H1038" s="404" t="inlineStr">
        <is>
          <t>Итого</t>
        </is>
      </c>
      <c r="I1038" s="404" t="n"/>
      <c r="J1038" s="404" t="n"/>
      <c r="K1038" s="404" t="n">
        <v>212</v>
      </c>
      <c r="L1038" s="404" t="n">
        <v>28</v>
      </c>
      <c r="M1038" s="404" t="n">
        <v>0</v>
      </c>
      <c r="N1038" s="404" t="inlineStr"/>
      <c r="O1038" s="404" t="n">
        <v>0</v>
      </c>
      <c r="P1038" s="404" t="n"/>
      <c r="Q1038" s="404" t="n"/>
      <c r="R1038" s="404" t="n"/>
      <c r="S1038" s="404" t="n"/>
      <c r="T1038" s="404" t="n"/>
      <c r="U1038" s="404" t="n"/>
      <c r="V1038" s="404" t="n"/>
      <c r="W1038" s="404" t="n">
        <v>0</v>
      </c>
      <c r="X1038" s="404" t="n">
        <v>1</v>
      </c>
      <c r="Y1038" s="404" t="n">
        <v>0</v>
      </c>
      <c r="Z1038" s="404" t="n"/>
      <c r="AA1038" s="404" t="n"/>
      <c r="AB1038" s="404" t="n"/>
    </row>
    <row r="1039">
      <c r="A1039" s="404" t="n">
        <v>50</v>
      </c>
      <c r="B1039" s="404" t="n">
        <v>0</v>
      </c>
      <c r="C1039" s="404" t="n">
        <v>0</v>
      </c>
      <c r="D1039" s="404" t="n">
        <v>2</v>
      </c>
      <c r="E1039" s="404" t="n">
        <v>0</v>
      </c>
      <c r="F1039" s="404">
        <f>ROUND(F1038*0.22,O1039)</f>
        <v/>
      </c>
      <c r="G1039" s="404" t="inlineStr">
        <is>
          <t>и2</t>
        </is>
      </c>
      <c r="H1039" s="404" t="inlineStr">
        <is>
          <t>НДС 22%</t>
        </is>
      </c>
      <c r="I1039" s="404" t="n"/>
      <c r="J1039" s="404" t="n"/>
      <c r="K1039" s="404" t="n">
        <v>212</v>
      </c>
      <c r="L1039" s="404" t="n">
        <v>29</v>
      </c>
      <c r="M1039" s="404" t="n">
        <v>0</v>
      </c>
      <c r="N1039" s="404" t="inlineStr"/>
      <c r="O1039" s="404" t="n">
        <v>0</v>
      </c>
      <c r="P1039" s="404" t="n"/>
      <c r="Q1039" s="404" t="n"/>
      <c r="R1039" s="404" t="n"/>
      <c r="S1039" s="404" t="n"/>
      <c r="T1039" s="404" t="n"/>
      <c r="U1039" s="404" t="n"/>
      <c r="V1039" s="404" t="n"/>
      <c r="W1039" s="404" t="n">
        <v>0</v>
      </c>
      <c r="X1039" s="404" t="n">
        <v>1</v>
      </c>
      <c r="Y1039" s="404" t="n">
        <v>0</v>
      </c>
      <c r="Z1039" s="404" t="n"/>
      <c r="AA1039" s="404" t="n"/>
      <c r="AB1039" s="404" t="n"/>
    </row>
    <row r="1040">
      <c r="A1040" s="404" t="n">
        <v>50</v>
      </c>
      <c r="B1040" s="404" t="n">
        <v>0</v>
      </c>
      <c r="C1040" s="404" t="n">
        <v>0</v>
      </c>
      <c r="D1040" s="404" t="n">
        <v>2</v>
      </c>
      <c r="E1040" s="404" t="n">
        <v>213</v>
      </c>
      <c r="F1040" s="404">
        <f>ROUND(F1038+F1039,O1040)</f>
        <v/>
      </c>
      <c r="G1040" s="404" t="inlineStr">
        <is>
          <t>и3</t>
        </is>
      </c>
      <c r="H1040" s="404" t="inlineStr">
        <is>
          <t>Всего</t>
        </is>
      </c>
      <c r="I1040" s="404" t="n"/>
      <c r="J1040" s="404" t="n"/>
      <c r="K1040" s="404" t="n">
        <v>212</v>
      </c>
      <c r="L1040" s="404" t="n">
        <v>30</v>
      </c>
      <c r="M1040" s="404" t="n">
        <v>0</v>
      </c>
      <c r="N1040" s="404" t="inlineStr"/>
      <c r="O1040" s="404" t="n">
        <v>0</v>
      </c>
      <c r="P1040" s="404" t="n"/>
      <c r="Q1040" s="404" t="n"/>
      <c r="R1040" s="404" t="n"/>
      <c r="S1040" s="404" t="n"/>
      <c r="T1040" s="404" t="n"/>
      <c r="U1040" s="404" t="n"/>
      <c r="V1040" s="404" t="n"/>
      <c r="W1040" s="404" t="n">
        <v>0</v>
      </c>
      <c r="X1040" s="404" t="n">
        <v>1</v>
      </c>
      <c r="Y1040" s="404" t="n">
        <v>0</v>
      </c>
      <c r="Z1040" s="404" t="n"/>
      <c r="AA1040" s="404" t="n"/>
      <c r="AB1040" s="404" t="n"/>
    </row>
    <row r="1041"/>
    <row r="1042">
      <c r="A1042" s="401" t="n">
        <v>3</v>
      </c>
      <c r="B1042" s="401" t="n">
        <v>0</v>
      </c>
      <c r="C1042" s="401" t="n"/>
      <c r="D1042" s="401">
        <f>ROW(A1048)</f>
        <v/>
      </c>
      <c r="E1042" s="401" t="n"/>
      <c r="F1042" s="401" t="inlineStr">
        <is>
          <t>Новая локальная смета</t>
        </is>
      </c>
      <c r="G1042" s="401" t="inlineStr">
        <is>
          <t>Урожайная 2</t>
        </is>
      </c>
      <c r="H1042" s="401" t="inlineStr"/>
      <c r="I1042" s="401" t="n">
        <v>0</v>
      </c>
      <c r="J1042" s="401" t="inlineStr"/>
      <c r="K1042" s="401" t="n">
        <v>-1</v>
      </c>
      <c r="L1042" s="401" t="inlineStr">
        <is>
          <t>Новая локальная смета</t>
        </is>
      </c>
      <c r="M1042" s="401" t="inlineStr"/>
      <c r="N1042" s="401" t="n"/>
      <c r="O1042" s="401" t="n"/>
      <c r="P1042" s="401" t="n"/>
      <c r="Q1042" s="401" t="n"/>
      <c r="R1042" s="401" t="n"/>
      <c r="S1042" s="401" t="n">
        <v>0</v>
      </c>
      <c r="T1042" s="401" t="n"/>
      <c r="U1042" s="401" t="inlineStr"/>
      <c r="V1042" s="401" t="n">
        <v>0</v>
      </c>
      <c r="W1042" s="401" t="n"/>
      <c r="X1042" s="401" t="n"/>
      <c r="Y1042" s="401" t="n"/>
      <c r="Z1042" s="401" t="n"/>
      <c r="AA1042" s="401" t="n"/>
      <c r="AB1042" s="401" t="inlineStr"/>
      <c r="AC1042" s="401" t="inlineStr"/>
      <c r="AD1042" s="401" t="inlineStr"/>
      <c r="AE1042" s="401" t="inlineStr"/>
      <c r="AF1042" s="401" t="inlineStr"/>
      <c r="AG1042" s="401" t="inlineStr"/>
      <c r="AH1042" s="401" t="n"/>
      <c r="AI1042" s="401" t="n"/>
      <c r="AJ1042" s="401" t="n"/>
      <c r="AK1042" s="401" t="n"/>
      <c r="AL1042" s="401" t="n"/>
      <c r="AM1042" s="401" t="n"/>
      <c r="AN1042" s="401" t="n"/>
      <c r="AO1042" s="401" t="n"/>
      <c r="AP1042" s="401" t="inlineStr"/>
      <c r="AQ1042" s="401" t="inlineStr"/>
      <c r="AR1042" s="401" t="inlineStr"/>
      <c r="AS1042" s="401" t="n"/>
      <c r="AT1042" s="401" t="n"/>
      <c r="AU1042" s="401" t="n"/>
      <c r="AV1042" s="401" t="n"/>
      <c r="AW1042" s="401" t="n"/>
      <c r="AX1042" s="401" t="n"/>
      <c r="AY1042" s="401" t="n"/>
      <c r="AZ1042" s="401" t="inlineStr"/>
      <c r="BA1042" s="401" t="n"/>
      <c r="BB1042" s="401" t="inlineStr"/>
      <c r="BC1042" s="401" t="inlineStr"/>
      <c r="BD1042" s="401" t="inlineStr"/>
      <c r="BE1042" s="401" t="inlineStr"/>
      <c r="BF1042" s="401" t="inlineStr"/>
      <c r="BG1042" s="401" t="inlineStr"/>
      <c r="BH1042" s="401" t="inlineStr"/>
      <c r="BI1042" s="401" t="inlineStr"/>
      <c r="BJ1042" s="401" t="inlineStr"/>
      <c r="BK1042" s="401" t="inlineStr"/>
      <c r="BL1042" s="401" t="inlineStr"/>
      <c r="BM1042" s="401" t="inlineStr"/>
      <c r="BN1042" s="401" t="inlineStr"/>
      <c r="BO1042" s="401" t="inlineStr"/>
      <c r="BP1042" s="401" t="inlineStr"/>
      <c r="BQ1042" s="401" t="n"/>
      <c r="BR1042" s="401" t="n"/>
      <c r="BS1042" s="401" t="n"/>
      <c r="BT1042" s="401" t="n"/>
      <c r="BU1042" s="401" t="n"/>
      <c r="BV1042" s="401" t="n"/>
      <c r="BW1042" s="401" t="n"/>
      <c r="BX1042" s="401" t="n">
        <v>0</v>
      </c>
      <c r="BY1042" s="401" t="n"/>
      <c r="BZ1042" s="401" t="n"/>
      <c r="CA1042" s="401" t="n"/>
      <c r="CB1042" s="401" t="n"/>
      <c r="CC1042" s="401" t="n"/>
      <c r="CD1042" s="401" t="n"/>
      <c r="CE1042" s="401" t="n"/>
      <c r="CF1042" s="401" t="n">
        <v>0</v>
      </c>
      <c r="CG1042" s="401" t="n">
        <v>0</v>
      </c>
      <c r="CH1042" s="401" t="n"/>
      <c r="CI1042" s="401" t="inlineStr"/>
      <c r="CJ1042" s="401" t="inlineStr"/>
      <c r="CK1042" t="inlineStr"/>
      <c r="CL1042" t="inlineStr"/>
      <c r="CM1042" t="inlineStr"/>
      <c r="CN1042" t="inlineStr"/>
      <c r="CO1042" t="inlineStr"/>
      <c r="CP1042" t="inlineStr"/>
      <c r="CQ1042" t="inlineStr"/>
    </row>
    <row r="1043"/>
    <row r="1044">
      <c r="A1044" s="402" t="n">
        <v>52</v>
      </c>
      <c r="B1044" s="402">
        <f>B1048</f>
        <v/>
      </c>
      <c r="C1044" s="402">
        <f>C1048</f>
        <v/>
      </c>
      <c r="D1044" s="402">
        <f>D1048</f>
        <v/>
      </c>
      <c r="E1044" s="402">
        <f>E1048</f>
        <v/>
      </c>
      <c r="F1044" s="402">
        <f>F1048</f>
        <v/>
      </c>
      <c r="G1044" s="402">
        <f>G1048</f>
        <v/>
      </c>
      <c r="H1044" s="402" t="n"/>
      <c r="I1044" s="402" t="n"/>
      <c r="J1044" s="402" t="n"/>
      <c r="K1044" s="402" t="n"/>
      <c r="L1044" s="402" t="n"/>
      <c r="M1044" s="402" t="n"/>
      <c r="N1044" s="402" t="n"/>
      <c r="O1044" s="402">
        <f>O1048</f>
        <v/>
      </c>
      <c r="P1044" s="402">
        <f>P1048</f>
        <v/>
      </c>
      <c r="Q1044" s="402">
        <f>Q1048</f>
        <v/>
      </c>
      <c r="R1044" s="402">
        <f>R1048</f>
        <v/>
      </c>
      <c r="S1044" s="402">
        <f>S1048</f>
        <v/>
      </c>
      <c r="T1044" s="402">
        <f>T1048</f>
        <v/>
      </c>
      <c r="U1044" s="402">
        <f>U1048</f>
        <v/>
      </c>
      <c r="V1044" s="402">
        <f>V1048</f>
        <v/>
      </c>
      <c r="W1044" s="402">
        <f>W1048</f>
        <v/>
      </c>
      <c r="X1044" s="402">
        <f>X1048</f>
        <v/>
      </c>
      <c r="Y1044" s="402">
        <f>Y1048</f>
        <v/>
      </c>
      <c r="Z1044" s="402">
        <f>Z1048</f>
        <v/>
      </c>
      <c r="AA1044" s="402">
        <f>AA1048</f>
        <v/>
      </c>
      <c r="AB1044" s="402">
        <f>AB1048</f>
        <v/>
      </c>
      <c r="AC1044" s="402">
        <f>AC1048</f>
        <v/>
      </c>
      <c r="AD1044" s="402">
        <f>AD1048</f>
        <v/>
      </c>
      <c r="AE1044" s="402">
        <f>AE1048</f>
        <v/>
      </c>
      <c r="AF1044" s="402">
        <f>AF1048</f>
        <v/>
      </c>
      <c r="AG1044" s="402">
        <f>AG1048</f>
        <v/>
      </c>
      <c r="AH1044" s="402">
        <f>AH1048</f>
        <v/>
      </c>
      <c r="AI1044" s="402">
        <f>AI1048</f>
        <v/>
      </c>
      <c r="AJ1044" s="402">
        <f>AJ1048</f>
        <v/>
      </c>
      <c r="AK1044" s="402">
        <f>AK1048</f>
        <v/>
      </c>
      <c r="AL1044" s="402">
        <f>AL1048</f>
        <v/>
      </c>
      <c r="AM1044" s="402">
        <f>AM1048</f>
        <v/>
      </c>
      <c r="AN1044" s="402">
        <f>AN1048</f>
        <v/>
      </c>
      <c r="AO1044" s="402">
        <f>AO1048</f>
        <v/>
      </c>
      <c r="AP1044" s="402">
        <f>AP1048</f>
        <v/>
      </c>
      <c r="AQ1044" s="402">
        <f>AQ1048</f>
        <v/>
      </c>
      <c r="AR1044" s="402">
        <f>AR1048</f>
        <v/>
      </c>
      <c r="AS1044" s="402">
        <f>AS1048</f>
        <v/>
      </c>
      <c r="AT1044" s="402">
        <f>AT1048</f>
        <v/>
      </c>
      <c r="AU1044" s="402">
        <f>AU1048</f>
        <v/>
      </c>
      <c r="AV1044" s="402">
        <f>AV1048</f>
        <v/>
      </c>
      <c r="AW1044" s="402">
        <f>AW1048</f>
        <v/>
      </c>
      <c r="AX1044" s="402">
        <f>AX1048</f>
        <v/>
      </c>
      <c r="AY1044" s="402">
        <f>AY1048</f>
        <v/>
      </c>
      <c r="AZ1044" s="402">
        <f>AZ1048</f>
        <v/>
      </c>
      <c r="BA1044" s="402">
        <f>BA1048</f>
        <v/>
      </c>
      <c r="BB1044" s="402">
        <f>BB1048</f>
        <v/>
      </c>
      <c r="BC1044" s="402">
        <f>BC1048</f>
        <v/>
      </c>
      <c r="BD1044" s="402">
        <f>BD1048</f>
        <v/>
      </c>
      <c r="BE1044" s="402">
        <f>BE1048</f>
        <v/>
      </c>
      <c r="BF1044" s="402">
        <f>BF1048</f>
        <v/>
      </c>
      <c r="BG1044" s="402">
        <f>BG1048</f>
        <v/>
      </c>
      <c r="BH1044" s="402">
        <f>BH1048</f>
        <v/>
      </c>
      <c r="BI1044" s="402">
        <f>BI1048</f>
        <v/>
      </c>
      <c r="BJ1044" s="402">
        <f>BJ1048</f>
        <v/>
      </c>
      <c r="BK1044" s="402">
        <f>BK1048</f>
        <v/>
      </c>
      <c r="BL1044" s="402">
        <f>BL1048</f>
        <v/>
      </c>
      <c r="BM1044" s="402">
        <f>BM1048</f>
        <v/>
      </c>
      <c r="BN1044" s="402">
        <f>BN1048</f>
        <v/>
      </c>
      <c r="BO1044" s="402">
        <f>BO1048</f>
        <v/>
      </c>
      <c r="BP1044" s="402">
        <f>BP1048</f>
        <v/>
      </c>
      <c r="BQ1044" s="402">
        <f>BQ1048</f>
        <v/>
      </c>
      <c r="BR1044" s="402">
        <f>BR1048</f>
        <v/>
      </c>
      <c r="BS1044" s="402">
        <f>BS1048</f>
        <v/>
      </c>
      <c r="BT1044" s="402">
        <f>BT1048</f>
        <v/>
      </c>
      <c r="BU1044" s="402">
        <f>BU1048</f>
        <v/>
      </c>
      <c r="BV1044" s="402">
        <f>BV1048</f>
        <v/>
      </c>
      <c r="BW1044" s="402">
        <f>BW1048</f>
        <v/>
      </c>
      <c r="BX1044" s="402">
        <f>BX1048</f>
        <v/>
      </c>
      <c r="BY1044" s="402">
        <f>BY1048</f>
        <v/>
      </c>
      <c r="BZ1044" s="402">
        <f>BZ1048</f>
        <v/>
      </c>
      <c r="CA1044" s="402">
        <f>CA1048</f>
        <v/>
      </c>
      <c r="CB1044" s="402">
        <f>CB1048</f>
        <v/>
      </c>
      <c r="CC1044" s="402">
        <f>CC1048</f>
        <v/>
      </c>
      <c r="CD1044" s="402">
        <f>CD1048</f>
        <v/>
      </c>
      <c r="CE1044" s="402">
        <f>CE1048</f>
        <v/>
      </c>
      <c r="CF1044" s="402">
        <f>CF1048</f>
        <v/>
      </c>
      <c r="CG1044" s="402">
        <f>CG1048</f>
        <v/>
      </c>
      <c r="CH1044" s="402">
        <f>CH1048</f>
        <v/>
      </c>
      <c r="CI1044" s="402">
        <f>CI1048</f>
        <v/>
      </c>
      <c r="CJ1044" s="402">
        <f>CJ1048</f>
        <v/>
      </c>
      <c r="CK1044" s="402">
        <f>CK1048</f>
        <v/>
      </c>
      <c r="CL1044" s="402">
        <f>CL1048</f>
        <v/>
      </c>
      <c r="CM1044" s="402">
        <f>CM1048</f>
        <v/>
      </c>
      <c r="CN1044" s="402">
        <f>CN1048</f>
        <v/>
      </c>
      <c r="CO1044" s="402">
        <f>CO1048</f>
        <v/>
      </c>
      <c r="CP1044" s="402">
        <f>CP1048</f>
        <v/>
      </c>
      <c r="CQ1044" s="402">
        <f>CQ1048</f>
        <v/>
      </c>
      <c r="CR1044" s="402">
        <f>CR1048</f>
        <v/>
      </c>
      <c r="CS1044" s="402">
        <f>CS1048</f>
        <v/>
      </c>
      <c r="CT1044" s="402">
        <f>CT1048</f>
        <v/>
      </c>
      <c r="CU1044" s="402">
        <f>CU1048</f>
        <v/>
      </c>
      <c r="CV1044" s="402">
        <f>CV1048</f>
        <v/>
      </c>
      <c r="CW1044" s="402">
        <f>CW1048</f>
        <v/>
      </c>
      <c r="CX1044" s="402">
        <f>CX1048</f>
        <v/>
      </c>
      <c r="CY1044" s="402">
        <f>CY1048</f>
        <v/>
      </c>
      <c r="CZ1044" s="402">
        <f>CZ1048</f>
        <v/>
      </c>
      <c r="DA1044" s="402">
        <f>DA1048</f>
        <v/>
      </c>
      <c r="DB1044" s="402">
        <f>DB1048</f>
        <v/>
      </c>
      <c r="DC1044" s="402">
        <f>DC1048</f>
        <v/>
      </c>
      <c r="DD1044" s="402">
        <f>DD1048</f>
        <v/>
      </c>
      <c r="DE1044" s="402">
        <f>DE1048</f>
        <v/>
      </c>
      <c r="DF1044" s="402">
        <f>DF1048</f>
        <v/>
      </c>
      <c r="DG1044" s="403">
        <f>DG1048</f>
        <v/>
      </c>
      <c r="DH1044" s="403">
        <f>DH1048</f>
        <v/>
      </c>
      <c r="DI1044" s="403">
        <f>DI1048</f>
        <v/>
      </c>
      <c r="DJ1044" s="403">
        <f>DJ1048</f>
        <v/>
      </c>
      <c r="DK1044" s="403">
        <f>DK1048</f>
        <v/>
      </c>
      <c r="DL1044" s="403">
        <f>DL1048</f>
        <v/>
      </c>
      <c r="DM1044" s="403">
        <f>DM1048</f>
        <v/>
      </c>
      <c r="DN1044" s="403">
        <f>DN1048</f>
        <v/>
      </c>
      <c r="DO1044" s="403">
        <f>DO1048</f>
        <v/>
      </c>
      <c r="DP1044" s="403">
        <f>DP1048</f>
        <v/>
      </c>
      <c r="DQ1044" s="403">
        <f>DQ1048</f>
        <v/>
      </c>
      <c r="DR1044" s="403">
        <f>DR1048</f>
        <v/>
      </c>
      <c r="DS1044" s="403">
        <f>DS1048</f>
        <v/>
      </c>
      <c r="DT1044" s="403">
        <f>DT1048</f>
        <v/>
      </c>
      <c r="DU1044" s="403">
        <f>DU1048</f>
        <v/>
      </c>
      <c r="DV1044" s="403">
        <f>DV1048</f>
        <v/>
      </c>
      <c r="DW1044" s="403">
        <f>DW1048</f>
        <v/>
      </c>
      <c r="DX1044" s="403">
        <f>DX1048</f>
        <v/>
      </c>
      <c r="DY1044" s="403">
        <f>DY1048</f>
        <v/>
      </c>
      <c r="DZ1044" s="403">
        <f>DZ1048</f>
        <v/>
      </c>
      <c r="EA1044" s="403">
        <f>EA1048</f>
        <v/>
      </c>
      <c r="EB1044" s="403">
        <f>EB1048</f>
        <v/>
      </c>
      <c r="EC1044" s="403">
        <f>EC1048</f>
        <v/>
      </c>
      <c r="ED1044" s="403">
        <f>ED1048</f>
        <v/>
      </c>
      <c r="EE1044" s="403">
        <f>EE1048</f>
        <v/>
      </c>
      <c r="EF1044" s="403">
        <f>EF1048</f>
        <v/>
      </c>
      <c r="EG1044" s="403">
        <f>EG1048</f>
        <v/>
      </c>
      <c r="EH1044" s="403">
        <f>EH1048</f>
        <v/>
      </c>
      <c r="EI1044" s="403">
        <f>EI1048</f>
        <v/>
      </c>
      <c r="EJ1044" s="403">
        <f>EJ1048</f>
        <v/>
      </c>
      <c r="EK1044" s="403">
        <f>EK1048</f>
        <v/>
      </c>
      <c r="EL1044" s="403">
        <f>EL1048</f>
        <v/>
      </c>
      <c r="EM1044" s="403">
        <f>EM1048</f>
        <v/>
      </c>
      <c r="EN1044" s="403">
        <f>EN1048</f>
        <v/>
      </c>
      <c r="EO1044" s="403">
        <f>EO1048</f>
        <v/>
      </c>
      <c r="EP1044" s="403">
        <f>EP1048</f>
        <v/>
      </c>
      <c r="EQ1044" s="403">
        <f>EQ1048</f>
        <v/>
      </c>
      <c r="ER1044" s="403">
        <f>ER1048</f>
        <v/>
      </c>
      <c r="ES1044" s="403">
        <f>ES1048</f>
        <v/>
      </c>
      <c r="ET1044" s="403">
        <f>ET1048</f>
        <v/>
      </c>
      <c r="EU1044" s="403">
        <f>EU1048</f>
        <v/>
      </c>
      <c r="EV1044" s="403">
        <f>EV1048</f>
        <v/>
      </c>
      <c r="EW1044" s="403">
        <f>EW1048</f>
        <v/>
      </c>
      <c r="EX1044" s="403">
        <f>EX1048</f>
        <v/>
      </c>
      <c r="EY1044" s="403">
        <f>EY1048</f>
        <v/>
      </c>
      <c r="EZ1044" s="403">
        <f>EZ1048</f>
        <v/>
      </c>
      <c r="FA1044" s="403">
        <f>FA1048</f>
        <v/>
      </c>
      <c r="FB1044" s="403">
        <f>FB1048</f>
        <v/>
      </c>
      <c r="FC1044" s="403">
        <f>FC1048</f>
        <v/>
      </c>
      <c r="FD1044" s="403">
        <f>FD1048</f>
        <v/>
      </c>
      <c r="FE1044" s="403">
        <f>FE1048</f>
        <v/>
      </c>
      <c r="FF1044" s="403">
        <f>FF1048</f>
        <v/>
      </c>
      <c r="FG1044" s="403">
        <f>FG1048</f>
        <v/>
      </c>
      <c r="FH1044" s="403">
        <f>FH1048</f>
        <v/>
      </c>
      <c r="FI1044" s="403">
        <f>FI1048</f>
        <v/>
      </c>
      <c r="FJ1044" s="403">
        <f>FJ1048</f>
        <v/>
      </c>
      <c r="FK1044" s="403">
        <f>FK1048</f>
        <v/>
      </c>
      <c r="FL1044" s="403">
        <f>FL1048</f>
        <v/>
      </c>
      <c r="FM1044" s="403">
        <f>FM1048</f>
        <v/>
      </c>
      <c r="FN1044" s="403">
        <f>FN1048</f>
        <v/>
      </c>
      <c r="FO1044" s="403">
        <f>FO1048</f>
        <v/>
      </c>
      <c r="FP1044" s="403">
        <f>FP1048</f>
        <v/>
      </c>
      <c r="FQ1044" s="403">
        <f>FQ1048</f>
        <v/>
      </c>
      <c r="FR1044" s="403">
        <f>FR1048</f>
        <v/>
      </c>
      <c r="FS1044" s="403">
        <f>FS1048</f>
        <v/>
      </c>
      <c r="FT1044" s="403">
        <f>FT1048</f>
        <v/>
      </c>
      <c r="FU1044" s="403">
        <f>FU1048</f>
        <v/>
      </c>
      <c r="FV1044" s="403">
        <f>FV1048</f>
        <v/>
      </c>
      <c r="FW1044" s="403">
        <f>FW1048</f>
        <v/>
      </c>
      <c r="FX1044" s="403">
        <f>FX1048</f>
        <v/>
      </c>
      <c r="FY1044" s="403">
        <f>FY1048</f>
        <v/>
      </c>
      <c r="FZ1044" s="403">
        <f>FZ1048</f>
        <v/>
      </c>
      <c r="GA1044" s="403">
        <f>GA1048</f>
        <v/>
      </c>
      <c r="GB1044" s="403">
        <f>GB1048</f>
        <v/>
      </c>
      <c r="GC1044" s="403">
        <f>GC1048</f>
        <v/>
      </c>
      <c r="GD1044" s="403">
        <f>GD1048</f>
        <v/>
      </c>
      <c r="GE1044" s="403">
        <f>GE1048</f>
        <v/>
      </c>
      <c r="GF1044" s="403">
        <f>GF1048</f>
        <v/>
      </c>
      <c r="GG1044" s="403">
        <f>GG1048</f>
        <v/>
      </c>
      <c r="GH1044" s="403">
        <f>GH1048</f>
        <v/>
      </c>
      <c r="GI1044" s="403">
        <f>GI1048</f>
        <v/>
      </c>
      <c r="GJ1044" s="403">
        <f>GJ1048</f>
        <v/>
      </c>
      <c r="GK1044" s="403">
        <f>GK1048</f>
        <v/>
      </c>
      <c r="GL1044" s="403">
        <f>GL1048</f>
        <v/>
      </c>
      <c r="GM1044" s="403">
        <f>GM1048</f>
        <v/>
      </c>
      <c r="GN1044" s="403">
        <f>GN1048</f>
        <v/>
      </c>
      <c r="GO1044" s="403">
        <f>GO1048</f>
        <v/>
      </c>
      <c r="GP1044" s="403">
        <f>GP1048</f>
        <v/>
      </c>
      <c r="GQ1044" s="403">
        <f>GQ1048</f>
        <v/>
      </c>
      <c r="GR1044" s="403">
        <f>GR1048</f>
        <v/>
      </c>
      <c r="GS1044" s="403">
        <f>GS1048</f>
        <v/>
      </c>
      <c r="GT1044" s="403">
        <f>GT1048</f>
        <v/>
      </c>
      <c r="GU1044" s="403">
        <f>GU1048</f>
        <v/>
      </c>
      <c r="GV1044" s="403">
        <f>GV1048</f>
        <v/>
      </c>
      <c r="GW1044" s="403">
        <f>GW1048</f>
        <v/>
      </c>
      <c r="GX1044" s="403">
        <f>GX1048</f>
        <v/>
      </c>
    </row>
    <row r="1045"/>
    <row r="1046">
      <c r="A1046" t="n">
        <v>17</v>
      </c>
      <c r="B1046" t="n">
        <v>0</v>
      </c>
      <c r="C1046">
        <f>ROW(SmtRes!A517)</f>
        <v/>
      </c>
      <c r="D1046">
        <f>ROW(EtalonRes!A473)</f>
        <v/>
      </c>
      <c r="E1046" t="inlineStr">
        <is>
          <t>1</t>
        </is>
      </c>
      <c r="F1046" t="inlineStr">
        <is>
          <t>65-10-1</t>
        </is>
      </c>
      <c r="G1046" t="inlineStr">
        <is>
          <t>Очистка канализационной сети внутренней</t>
        </is>
      </c>
      <c r="H1046" t="inlineStr">
        <is>
          <t>100 м трубопровода</t>
        </is>
      </c>
      <c r="I1046">
        <f>ROUND(ROUND(15/100,4),7)</f>
        <v/>
      </c>
      <c r="J1046" t="n">
        <v>0</v>
      </c>
      <c r="K1046">
        <f>ROUND(ROUND(15/100,4),7)</f>
        <v/>
      </c>
      <c r="O1046">
        <f>ROUND(CP1046,0)</f>
        <v/>
      </c>
      <c r="P1046">
        <f>ROUND(CQ1046*I1046,0)</f>
        <v/>
      </c>
      <c r="Q1046">
        <f>(ROUND((ROUND(((ET1046)*I1046),0)*BB1046),0)+ROUND((ROUND(((AE1046-(EU1046))*I1046),0)*BS1046),0))</f>
        <v/>
      </c>
      <c r="R1046">
        <f>(ROUND((ROUND(((EU1046)*I1046),0)*BS1046),0)+ROUND((ROUND(((AE1046-(EU1046))*I1046),0)*BS1046),0))</f>
        <v/>
      </c>
      <c r="S1046">
        <f>ROUND(CT1046*I1046,0)</f>
        <v/>
      </c>
      <c r="T1046">
        <f>ROUND(CU1046*I1046,0)</f>
        <v/>
      </c>
      <c r="U1046">
        <f>ROUND(CV1046*I1046,7)</f>
        <v/>
      </c>
      <c r="V1046">
        <f>ROUND(CW1046*I1046,7)</f>
        <v/>
      </c>
      <c r="W1046">
        <f>ROUND(CX1046*I1046,0)</f>
        <v/>
      </c>
      <c r="X1046">
        <f>ROUND(CY1046,0)</f>
        <v/>
      </c>
      <c r="Y1046">
        <f>ROUND(CZ1046,0)</f>
        <v/>
      </c>
      <c r="AA1046" t="n">
        <v>78869116</v>
      </c>
      <c r="AB1046">
        <f>ROUND((AC1046+AD1046+AF1046),2)</f>
        <v/>
      </c>
      <c r="AC1046">
        <f>ROUND((ES1046),2)</f>
        <v/>
      </c>
      <c r="AD1046">
        <f>ROUND((((ET1046)-(EU1046))+AE1046),2)</f>
        <v/>
      </c>
      <c r="AE1046">
        <f>ROUND((EU1046),2)</f>
        <v/>
      </c>
      <c r="AF1046">
        <f>ROUND((EV1046),2)</f>
        <v/>
      </c>
      <c r="AG1046">
        <f>ROUND((AP1046),2)</f>
        <v/>
      </c>
      <c r="AH1046">
        <f>(EW1046)</f>
        <v/>
      </c>
      <c r="AI1046">
        <f>(EX1046)</f>
        <v/>
      </c>
      <c r="AJ1046">
        <f>(AS1046)</f>
        <v/>
      </c>
      <c r="AK1046" t="n">
        <v>403.3</v>
      </c>
      <c r="AL1046" t="n">
        <v>139.36</v>
      </c>
      <c r="AM1046" t="n">
        <v>0.87</v>
      </c>
      <c r="AN1046" t="n">
        <v>0</v>
      </c>
      <c r="AO1046" t="n">
        <v>263.07</v>
      </c>
      <c r="AP1046" t="n">
        <v>0</v>
      </c>
      <c r="AQ1046" t="n">
        <v>32.2</v>
      </c>
      <c r="AR1046" t="n">
        <v>0</v>
      </c>
      <c r="AS1046" t="n">
        <v>0</v>
      </c>
      <c r="AT1046" t="n">
        <v>103</v>
      </c>
      <c r="AU1046" t="n">
        <v>52</v>
      </c>
      <c r="AV1046" t="n">
        <v>1</v>
      </c>
      <c r="AW1046" t="n">
        <v>1</v>
      </c>
      <c r="AZ1046" t="n">
        <v>1</v>
      </c>
      <c r="BA1046" t="n">
        <v>52.25</v>
      </c>
      <c r="BB1046" t="n">
        <v>25.03</v>
      </c>
      <c r="BC1046" t="n">
        <v>11.85</v>
      </c>
      <c r="BD1046" t="inlineStr"/>
      <c r="BE1046" t="inlineStr"/>
      <c r="BF1046" t="inlineStr"/>
      <c r="BG1046" t="inlineStr"/>
      <c r="BH1046" t="n">
        <v>0</v>
      </c>
      <c r="BI1046" t="n">
        <v>1</v>
      </c>
      <c r="BJ1046" t="inlineStr">
        <is>
          <t>ТЕРр Московской обл., 65-10-1, приказ Минстроя России №675/пр от 28.02.2017 № 263/пр</t>
        </is>
      </c>
      <c r="BM1046" t="n">
        <v>65007</v>
      </c>
      <c r="BN1046" t="n">
        <v>0</v>
      </c>
      <c r="BO1046" t="inlineStr">
        <is>
          <t>65-10-1</t>
        </is>
      </c>
      <c r="BP1046" t="n">
        <v>1</v>
      </c>
      <c r="BQ1046" t="n">
        <v>6</v>
      </c>
      <c r="BR1046" t="n">
        <v>0</v>
      </c>
      <c r="BS1046" t="n">
        <v>52.25</v>
      </c>
      <c r="BT1046" t="n">
        <v>1</v>
      </c>
      <c r="BU1046" t="n">
        <v>1</v>
      </c>
      <c r="BV1046" t="n">
        <v>1</v>
      </c>
      <c r="BW1046" t="n">
        <v>1</v>
      </c>
      <c r="BX1046" t="n">
        <v>1</v>
      </c>
      <c r="BY1046" t="inlineStr"/>
      <c r="BZ1046" t="n">
        <v>103</v>
      </c>
      <c r="CA1046" t="n">
        <v>52</v>
      </c>
      <c r="CB1046" t="inlineStr"/>
      <c r="CE1046" t="n">
        <v>12</v>
      </c>
      <c r="CF1046" t="n">
        <v>0</v>
      </c>
      <c r="CG1046" t="n">
        <v>0</v>
      </c>
      <c r="CM1046" t="n">
        <v>0</v>
      </c>
      <c r="CN1046" t="inlineStr"/>
      <c r="CO1046" t="n">
        <v>0</v>
      </c>
      <c r="CP1046">
        <f>(P1046+Q1046+S1046)</f>
        <v/>
      </c>
      <c r="CQ1046">
        <f>AC1046*BC1046</f>
        <v/>
      </c>
      <c r="CR1046">
        <f>(ROUND((ROUND(((ET1046)*1),0)*BB1046),0)+ROUND((ROUND(((AE1046-(EU1046))*1),0)*BS1046),0))</f>
        <v/>
      </c>
      <c r="CS1046">
        <f>(ROUND((ROUND(((EU1046)*1),0)*BS1046),0)+ROUND((ROUND(((AE1046-(EU1046))*1),0)*BS1046),0))</f>
        <v/>
      </c>
      <c r="CT1046">
        <f>AF1046*BA1046</f>
        <v/>
      </c>
      <c r="CU1046">
        <f>AG1046</f>
        <v/>
      </c>
      <c r="CV1046">
        <f>AH1046</f>
        <v/>
      </c>
      <c r="CW1046">
        <f>AI1046</f>
        <v/>
      </c>
      <c r="CX1046">
        <f>AJ1046</f>
        <v/>
      </c>
      <c r="CY1046">
        <f>(((S1046+R1046)*AT1046)/100)</f>
        <v/>
      </c>
      <c r="CZ1046">
        <f>(((S1046+R1046)*AU1046)/100)</f>
        <v/>
      </c>
      <c r="DC1046" t="inlineStr"/>
      <c r="DD1046" t="inlineStr"/>
      <c r="DE1046" t="inlineStr"/>
      <c r="DF1046" t="inlineStr"/>
      <c r="DG1046" t="inlineStr"/>
      <c r="DH1046" t="inlineStr"/>
      <c r="DI1046" t="inlineStr"/>
      <c r="DJ1046" t="inlineStr"/>
      <c r="DK1046" t="inlineStr"/>
      <c r="DL1046" t="inlineStr"/>
      <c r="DM1046" t="inlineStr"/>
      <c r="DN1046" t="n">
        <v>0</v>
      </c>
      <c r="DO1046" t="n">
        <v>0</v>
      </c>
      <c r="DP1046" t="n">
        <v>1</v>
      </c>
      <c r="DQ1046" t="n">
        <v>1</v>
      </c>
      <c r="DU1046" t="n">
        <v>1013</v>
      </c>
      <c r="DV1046" t="inlineStr">
        <is>
          <t>100 м трубопровода</t>
        </is>
      </c>
      <c r="DW1046" t="inlineStr">
        <is>
          <t>100 м трубопровода</t>
        </is>
      </c>
      <c r="DX1046" t="n">
        <v>1</v>
      </c>
      <c r="DZ1046" t="inlineStr"/>
      <c r="EA1046" t="inlineStr"/>
      <c r="EB1046" t="inlineStr"/>
      <c r="EC1046" t="inlineStr"/>
      <c r="EE1046" t="n">
        <v>78726000</v>
      </c>
      <c r="EF1046" t="n">
        <v>6</v>
      </c>
      <c r="EG1046" t="inlineStr">
        <is>
          <t>Ремонтно-строительные работы</t>
        </is>
      </c>
      <c r="EH1046" t="n">
        <v>99</v>
      </c>
      <c r="EI1046" t="inlineStr">
        <is>
          <t>Внутренние санитарно-технические работы</t>
        </is>
      </c>
      <c r="EJ1046" t="n">
        <v>1</v>
      </c>
      <c r="EK1046" t="n">
        <v>65007</v>
      </c>
      <c r="EL1046" t="inlineStr">
        <is>
          <t>Внутренние санитарнотехнические работы: смена труб, санприборов, запорной арматуры и другое</t>
        </is>
      </c>
      <c r="EM1046" t="inlineStr">
        <is>
          <t>рФЕР-65</t>
        </is>
      </c>
      <c r="EO1046" t="inlineStr"/>
      <c r="EQ1046" t="n">
        <v>0</v>
      </c>
      <c r="ER1046" t="n">
        <v>403.3</v>
      </c>
      <c r="ES1046" t="n">
        <v>139.36</v>
      </c>
      <c r="ET1046" t="n">
        <v>0.87</v>
      </c>
      <c r="EU1046" t="n">
        <v>0</v>
      </c>
      <c r="EV1046" t="n">
        <v>263.07</v>
      </c>
      <c r="EW1046" t="n">
        <v>32.2</v>
      </c>
      <c r="EX1046" t="n">
        <v>0</v>
      </c>
      <c r="EY1046" t="n">
        <v>0</v>
      </c>
      <c r="FQ1046" t="n">
        <v>0</v>
      </c>
      <c r="FR1046" t="n">
        <v>0</v>
      </c>
      <c r="FS1046" t="n">
        <v>0</v>
      </c>
      <c r="FX1046" t="n">
        <v>103</v>
      </c>
      <c r="FY1046" t="n">
        <v>52</v>
      </c>
      <c r="GA1046" t="inlineStr"/>
      <c r="GD1046" t="n">
        <v>1</v>
      </c>
      <c r="GF1046" t="n">
        <v>-66904957</v>
      </c>
      <c r="GG1046" t="n">
        <v>2</v>
      </c>
      <c r="GH1046" t="n">
        <v>1</v>
      </c>
      <c r="GI1046" t="n">
        <v>2</v>
      </c>
      <c r="GJ1046" t="n">
        <v>0</v>
      </c>
      <c r="GK1046" t="n">
        <v>0</v>
      </c>
      <c r="GL1046">
        <f>ROUND(IF(AND(BH1046=3,BI1046=3,FS1046&lt;&gt;0),P1046,0),0)</f>
        <v/>
      </c>
      <c r="GM1046">
        <f>ROUND(O1046+X1046+Y1046,0)+GX1046</f>
        <v/>
      </c>
      <c r="GN1046">
        <f>IF(OR(BI1046=0,BI1046=1),GM1046-GX1046,0)</f>
        <v/>
      </c>
      <c r="GO1046">
        <f>IF(BI1046=2,GM1046-GX1046,0)</f>
        <v/>
      </c>
      <c r="GP1046">
        <f>IF(BI1046=4,GM1046-GX1046,0)</f>
        <v/>
      </c>
      <c r="GR1046" t="n">
        <v>0</v>
      </c>
      <c r="GS1046" t="n">
        <v>3</v>
      </c>
      <c r="GT1046" t="n">
        <v>0</v>
      </c>
      <c r="GU1046" t="inlineStr"/>
      <c r="GV1046">
        <f>ROUND((GT1046),2)</f>
        <v/>
      </c>
      <c r="GW1046" t="n">
        <v>1</v>
      </c>
      <c r="GX1046">
        <f>ROUND(HC1046*I1046,0)</f>
        <v/>
      </c>
      <c r="HA1046" t="n">
        <v>0</v>
      </c>
      <c r="HB1046" t="n">
        <v>0</v>
      </c>
      <c r="HC1046">
        <f>GV1046*GW1046</f>
        <v/>
      </c>
      <c r="HE1046" t="inlineStr"/>
      <c r="HF1046" t="inlineStr"/>
      <c r="HM1046" t="inlineStr"/>
      <c r="HN1046" t="inlineStr">
        <is>
          <t>Пр/812-099.2-1</t>
        </is>
      </c>
      <c r="HO1046" t="inlineStr">
        <is>
          <t>Пр/774-099.2</t>
        </is>
      </c>
      <c r="HP1046" t="inlineStr">
        <is>
          <t>Внутренние санитарнотехнические работы: смена труб, санприборов, запорной арматуры и другое</t>
        </is>
      </c>
      <c r="HQ1046" t="inlineStr">
        <is>
          <t>Внутренние санитарнотехнические работы: смена труб, санприборов, запорной арматуры и другое</t>
        </is>
      </c>
      <c r="HS1046" t="n">
        <v>0</v>
      </c>
      <c r="IK1046" t="n">
        <v>0</v>
      </c>
    </row>
    <row r="1047"/>
    <row r="1048">
      <c r="A1048" s="402" t="n">
        <v>51</v>
      </c>
      <c r="B1048" s="402">
        <f>B1042</f>
        <v/>
      </c>
      <c r="C1048" s="402">
        <f>A1042</f>
        <v/>
      </c>
      <c r="D1048" s="402">
        <f>ROW(A1042)</f>
        <v/>
      </c>
      <c r="E1048" s="402" t="n"/>
      <c r="F1048" s="402">
        <f>IF(F1042&lt;&gt;"",F1042,"")</f>
        <v/>
      </c>
      <c r="G1048" s="402">
        <f>IF(G1042&lt;&gt;"",G1042,"")</f>
        <v/>
      </c>
      <c r="H1048" s="402" t="n">
        <v>0</v>
      </c>
      <c r="I1048" s="402" t="n"/>
      <c r="J1048" s="402" t="n"/>
      <c r="K1048" s="402" t="n"/>
      <c r="L1048" s="402" t="n"/>
      <c r="M1048" s="402" t="n"/>
      <c r="N1048" s="402" t="n"/>
      <c r="O1048" s="402" t="n">
        <v>0</v>
      </c>
      <c r="P1048" s="402" t="n">
        <v>0</v>
      </c>
      <c r="Q1048" s="402" t="n">
        <v>0</v>
      </c>
      <c r="R1048" s="402" t="n">
        <v>0</v>
      </c>
      <c r="S1048" s="402" t="n">
        <v>0</v>
      </c>
      <c r="T1048" s="402" t="n">
        <v>0</v>
      </c>
      <c r="U1048" s="402" t="n">
        <v>0</v>
      </c>
      <c r="V1048" s="402" t="n">
        <v>0</v>
      </c>
      <c r="W1048" s="402" t="n">
        <v>0</v>
      </c>
      <c r="X1048" s="402" t="n">
        <v>0</v>
      </c>
      <c r="Y1048" s="402" t="n">
        <v>0</v>
      </c>
      <c r="Z1048" s="402" t="n"/>
      <c r="AA1048" s="402" t="n"/>
      <c r="AB1048" s="402" t="n"/>
      <c r="AC1048" s="402" t="n"/>
      <c r="AD1048" s="402" t="n"/>
      <c r="AE1048" s="402" t="n"/>
      <c r="AF1048" s="402" t="n"/>
      <c r="AG1048" s="402" t="n"/>
      <c r="AH1048" s="402" t="n"/>
      <c r="AI1048" s="402" t="n"/>
      <c r="AJ1048" s="402" t="n"/>
      <c r="AK1048" s="402" t="n"/>
      <c r="AL1048" s="402" t="n"/>
      <c r="AM1048" s="402" t="n"/>
      <c r="AN1048" s="402" t="n"/>
      <c r="AO1048" s="402">
        <f>ROUND(BX1048,0)</f>
        <v/>
      </c>
      <c r="AP1048" s="402">
        <f>ROUND(BY1048,0)</f>
        <v/>
      </c>
      <c r="AQ1048" s="402">
        <f>ROUND(BZ1048,0)</f>
        <v/>
      </c>
      <c r="AR1048" s="402">
        <f>ROUND(CA1048,0)</f>
        <v/>
      </c>
      <c r="AS1048" s="402">
        <f>ROUND(CB1048,0)</f>
        <v/>
      </c>
      <c r="AT1048" s="402">
        <f>ROUND(CC1048,0)</f>
        <v/>
      </c>
      <c r="AU1048" s="402">
        <f>ROUND(CD1048,0)</f>
        <v/>
      </c>
      <c r="AV1048" s="402">
        <f>ROUND(CE1048,0)</f>
        <v/>
      </c>
      <c r="AW1048" s="402">
        <f>ROUND(CF1048,0)</f>
        <v/>
      </c>
      <c r="AX1048" s="402">
        <f>ROUND(CG1048,0)</f>
        <v/>
      </c>
      <c r="AY1048" s="402">
        <f>ROUND(CH1048,0)</f>
        <v/>
      </c>
      <c r="AZ1048" s="402">
        <f>ROUND(CI1048,0)</f>
        <v/>
      </c>
      <c r="BA1048" s="402">
        <f>ROUND(CJ1048,0)</f>
        <v/>
      </c>
      <c r="BB1048" s="402">
        <f>ROUND(CK1048,0)</f>
        <v/>
      </c>
      <c r="BC1048" s="402">
        <f>ROUND(CL1048,0)</f>
        <v/>
      </c>
      <c r="BD1048" s="402">
        <f>ROUND(CM1048,0)</f>
        <v/>
      </c>
      <c r="BE1048" s="402" t="n"/>
      <c r="BF1048" s="402" t="n"/>
      <c r="BG1048" s="402" t="n"/>
      <c r="BH1048" s="402" t="n"/>
      <c r="BI1048" s="402" t="n"/>
      <c r="BJ1048" s="402" t="n"/>
      <c r="BK1048" s="402" t="n"/>
      <c r="BL1048" s="402" t="n"/>
      <c r="BM1048" s="402" t="n"/>
      <c r="BN1048" s="402" t="n"/>
      <c r="BO1048" s="402" t="n"/>
      <c r="BP1048" s="402" t="n"/>
      <c r="BQ1048" s="402" t="n"/>
      <c r="BR1048" s="402" t="n"/>
      <c r="BS1048" s="402" t="n"/>
      <c r="BT1048" s="402" t="n"/>
      <c r="BU1048" s="402" t="n"/>
      <c r="BV1048" s="402" t="n"/>
      <c r="BW1048" s="402" t="n"/>
      <c r="BX1048" s="402" t="n"/>
      <c r="BY1048" s="402" t="n"/>
      <c r="BZ1048" s="402" t="n"/>
      <c r="CA1048" s="402" t="n"/>
      <c r="CB1048" s="402" t="n"/>
      <c r="CC1048" s="402" t="n"/>
      <c r="CD1048" s="402" t="n"/>
      <c r="CE1048" s="402" t="n"/>
      <c r="CF1048" s="402" t="n"/>
      <c r="CG1048" s="402" t="n"/>
      <c r="CH1048" s="402" t="n"/>
      <c r="CI1048" s="402" t="n"/>
      <c r="CJ1048" s="402" t="n"/>
      <c r="CK1048" s="402" t="n"/>
      <c r="CL1048" s="402" t="n"/>
      <c r="CM1048" s="402" t="n"/>
      <c r="CN1048" s="402" t="n"/>
      <c r="CO1048" s="402" t="n"/>
      <c r="CP1048" s="402" t="n"/>
      <c r="CQ1048" s="402" t="n"/>
      <c r="CR1048" s="402" t="n"/>
      <c r="CS1048" s="402" t="n"/>
      <c r="CT1048" s="402" t="n"/>
      <c r="CU1048" s="402" t="n"/>
      <c r="CV1048" s="402" t="n"/>
      <c r="CW1048" s="402" t="n"/>
      <c r="CX1048" s="402" t="n"/>
      <c r="CY1048" s="402" t="n"/>
      <c r="CZ1048" s="402" t="n"/>
      <c r="DA1048" s="402" t="n"/>
      <c r="DB1048" s="402" t="n"/>
      <c r="DC1048" s="402" t="n"/>
      <c r="DD1048" s="402" t="n"/>
      <c r="DE1048" s="402" t="n"/>
      <c r="DF1048" s="402" t="n"/>
      <c r="DG1048" s="403" t="n"/>
      <c r="DH1048" s="403" t="n"/>
      <c r="DI1048" s="403" t="n"/>
      <c r="DJ1048" s="403" t="n"/>
      <c r="DK1048" s="403" t="n"/>
      <c r="DL1048" s="403" t="n"/>
      <c r="DM1048" s="403" t="n"/>
      <c r="DN1048" s="403" t="n"/>
      <c r="DO1048" s="403" t="n"/>
      <c r="DP1048" s="403" t="n"/>
      <c r="DQ1048" s="403" t="n"/>
      <c r="DR1048" s="403" t="n"/>
      <c r="DS1048" s="403" t="n"/>
      <c r="DT1048" s="403" t="n"/>
      <c r="DU1048" s="403" t="n"/>
      <c r="DV1048" s="403" t="n"/>
      <c r="DW1048" s="403" t="n"/>
      <c r="DX1048" s="403" t="n"/>
      <c r="DY1048" s="403" t="n"/>
      <c r="DZ1048" s="403" t="n"/>
      <c r="EA1048" s="403" t="n"/>
      <c r="EB1048" s="403" t="n"/>
      <c r="EC1048" s="403" t="n"/>
      <c r="ED1048" s="403" t="n"/>
      <c r="EE1048" s="403" t="n"/>
      <c r="EF1048" s="403" t="n"/>
      <c r="EG1048" s="403" t="n"/>
      <c r="EH1048" s="403" t="n"/>
      <c r="EI1048" s="403" t="n"/>
      <c r="EJ1048" s="403" t="n"/>
      <c r="EK1048" s="403" t="n"/>
      <c r="EL1048" s="403" t="n"/>
      <c r="EM1048" s="403" t="n"/>
      <c r="EN1048" s="403" t="n"/>
      <c r="EO1048" s="403" t="n"/>
      <c r="EP1048" s="403" t="n"/>
      <c r="EQ1048" s="403" t="n"/>
      <c r="ER1048" s="403" t="n"/>
      <c r="ES1048" s="403" t="n"/>
      <c r="ET1048" s="403" t="n"/>
      <c r="EU1048" s="403" t="n"/>
      <c r="EV1048" s="403" t="n"/>
      <c r="EW1048" s="403" t="n"/>
      <c r="EX1048" s="403" t="n"/>
      <c r="EY1048" s="403" t="n"/>
      <c r="EZ1048" s="403" t="n"/>
      <c r="FA1048" s="403" t="n"/>
      <c r="FB1048" s="403" t="n"/>
      <c r="FC1048" s="403" t="n"/>
      <c r="FD1048" s="403" t="n"/>
      <c r="FE1048" s="403" t="n"/>
      <c r="FF1048" s="403" t="n"/>
      <c r="FG1048" s="403" t="n"/>
      <c r="FH1048" s="403" t="n"/>
      <c r="FI1048" s="403" t="n"/>
      <c r="FJ1048" s="403" t="n"/>
      <c r="FK1048" s="403" t="n"/>
      <c r="FL1048" s="403" t="n"/>
      <c r="FM1048" s="403" t="n"/>
      <c r="FN1048" s="403" t="n"/>
      <c r="FO1048" s="403" t="n"/>
      <c r="FP1048" s="403" t="n"/>
      <c r="FQ1048" s="403" t="n"/>
      <c r="FR1048" s="403" t="n"/>
      <c r="FS1048" s="403" t="n"/>
      <c r="FT1048" s="403" t="n"/>
      <c r="FU1048" s="403" t="n"/>
      <c r="FV1048" s="403" t="n"/>
      <c r="FW1048" s="403" t="n"/>
      <c r="FX1048" s="403" t="n"/>
      <c r="FY1048" s="403" t="n"/>
      <c r="FZ1048" s="403" t="n"/>
      <c r="GA1048" s="403" t="n"/>
      <c r="GB1048" s="403" t="n"/>
      <c r="GC1048" s="403" t="n"/>
      <c r="GD1048" s="403" t="n"/>
      <c r="GE1048" s="403" t="n"/>
      <c r="GF1048" s="403" t="n"/>
      <c r="GG1048" s="403" t="n"/>
      <c r="GH1048" s="403" t="n"/>
      <c r="GI1048" s="403" t="n"/>
      <c r="GJ1048" s="403" t="n"/>
      <c r="GK1048" s="403" t="n"/>
      <c r="GL1048" s="403" t="n"/>
      <c r="GM1048" s="403" t="n"/>
      <c r="GN1048" s="403" t="n"/>
      <c r="GO1048" s="403" t="n"/>
      <c r="GP1048" s="403" t="n"/>
      <c r="GQ1048" s="403" t="n"/>
      <c r="GR1048" s="403" t="n"/>
      <c r="GS1048" s="403" t="n"/>
      <c r="GT1048" s="403" t="n"/>
      <c r="GU1048" s="403" t="n"/>
      <c r="GV1048" s="403" t="n"/>
      <c r="GW1048" s="403" t="n"/>
      <c r="GX1048" s="403" t="n">
        <v>0</v>
      </c>
    </row>
    <row r="1049"/>
    <row r="1050">
      <c r="A1050" s="404" t="n">
        <v>50</v>
      </c>
      <c r="B1050" s="404" t="n">
        <v>0</v>
      </c>
      <c r="C1050" s="404" t="n">
        <v>0</v>
      </c>
      <c r="D1050" s="404" t="n">
        <v>1</v>
      </c>
      <c r="E1050" s="404" t="n">
        <v>201</v>
      </c>
      <c r="F1050" s="404">
        <f>ROUND(Source!O1048,O1050)</f>
        <v/>
      </c>
      <c r="G1050" s="404" t="inlineStr">
        <is>
          <t>ПЗ</t>
        </is>
      </c>
      <c r="H1050" s="404" t="inlineStr">
        <is>
          <t>Прямые затраты</t>
        </is>
      </c>
      <c r="I1050" s="404" t="n"/>
      <c r="J1050" s="404" t="n"/>
      <c r="K1050" s="404" t="n">
        <v>201</v>
      </c>
      <c r="L1050" s="404" t="n">
        <v>1</v>
      </c>
      <c r="M1050" s="404" t="n">
        <v>3</v>
      </c>
      <c r="N1050" s="404" t="inlineStr"/>
      <c r="O1050" s="404" t="n">
        <v>0</v>
      </c>
      <c r="P1050" s="404" t="n"/>
      <c r="Q1050" s="404" t="n"/>
      <c r="R1050" s="404" t="n"/>
      <c r="S1050" s="404" t="n"/>
      <c r="T1050" s="404" t="n"/>
      <c r="U1050" s="404" t="n"/>
      <c r="V1050" s="404" t="n"/>
      <c r="W1050" s="404" t="n">
        <v>0</v>
      </c>
      <c r="X1050" s="404" t="n">
        <v>1</v>
      </c>
      <c r="Y1050" s="404" t="n">
        <v>0</v>
      </c>
      <c r="Z1050" s="404" t="n"/>
      <c r="AA1050" s="404" t="n"/>
      <c r="AB1050" s="404" t="n"/>
    </row>
    <row r="1051">
      <c r="A1051" s="404" t="n">
        <v>50</v>
      </c>
      <c r="B1051" s="404" t="n">
        <v>0</v>
      </c>
      <c r="C1051" s="404" t="n">
        <v>0</v>
      </c>
      <c r="D1051" s="404" t="n">
        <v>1</v>
      </c>
      <c r="E1051" s="404" t="n">
        <v>202</v>
      </c>
      <c r="F1051" s="404">
        <f>ROUND(Source!P1048,O1051)</f>
        <v/>
      </c>
      <c r="G1051" s="404" t="inlineStr">
        <is>
          <t>СтМатОб</t>
        </is>
      </c>
      <c r="H1051" s="404" t="inlineStr">
        <is>
          <t>Стоимость материальных ресурсов (всего)</t>
        </is>
      </c>
      <c r="I1051" s="404" t="n"/>
      <c r="J1051" s="404" t="n"/>
      <c r="K1051" s="404" t="n">
        <v>202</v>
      </c>
      <c r="L1051" s="404" t="n">
        <v>2</v>
      </c>
      <c r="M1051" s="404" t="n">
        <v>3</v>
      </c>
      <c r="N1051" s="404" t="inlineStr"/>
      <c r="O1051" s="404" t="n">
        <v>0</v>
      </c>
      <c r="P1051" s="404" t="n"/>
      <c r="Q1051" s="404" t="n"/>
      <c r="R1051" s="404" t="n"/>
      <c r="S1051" s="404" t="n"/>
      <c r="T1051" s="404" t="n"/>
      <c r="U1051" s="404" t="n"/>
      <c r="V1051" s="404" t="n"/>
      <c r="W1051" s="404" t="n">
        <v>0</v>
      </c>
      <c r="X1051" s="404" t="n">
        <v>1</v>
      </c>
      <c r="Y1051" s="404" t="n">
        <v>0</v>
      </c>
      <c r="Z1051" s="404" t="n"/>
      <c r="AA1051" s="404" t="n"/>
      <c r="AB1051" s="404" t="n"/>
    </row>
    <row r="1052">
      <c r="A1052" s="404" t="n">
        <v>50</v>
      </c>
      <c r="B1052" s="404" t="n">
        <v>0</v>
      </c>
      <c r="C1052" s="404" t="n">
        <v>0</v>
      </c>
      <c r="D1052" s="404" t="n">
        <v>1</v>
      </c>
      <c r="E1052" s="404" t="n">
        <v>222</v>
      </c>
      <c r="F1052" s="404">
        <f>ROUND(Source!AO1048,O1052)</f>
        <v/>
      </c>
      <c r="G1052" s="404" t="inlineStr">
        <is>
          <t>СтМатОбЗак</t>
        </is>
      </c>
      <c r="H1052" s="404" t="inlineStr">
        <is>
          <t>Стоимость материалов и оборудования заказчика</t>
        </is>
      </c>
      <c r="I1052" s="404" t="n"/>
      <c r="J1052" s="404" t="n"/>
      <c r="K1052" s="404" t="n">
        <v>222</v>
      </c>
      <c r="L1052" s="404" t="n">
        <v>3</v>
      </c>
      <c r="M1052" s="404" t="n">
        <v>3</v>
      </c>
      <c r="N1052" s="404" t="inlineStr"/>
      <c r="O1052" s="404" t="n">
        <v>0</v>
      </c>
      <c r="P1052" s="404" t="n"/>
      <c r="Q1052" s="404" t="n"/>
      <c r="R1052" s="404" t="n"/>
      <c r="S1052" s="404" t="n"/>
      <c r="T1052" s="404" t="n"/>
      <c r="U1052" s="404" t="n"/>
      <c r="V1052" s="404" t="n"/>
      <c r="W1052" s="404" t="n">
        <v>0</v>
      </c>
      <c r="X1052" s="404" t="n">
        <v>1</v>
      </c>
      <c r="Y1052" s="404" t="n">
        <v>0</v>
      </c>
      <c r="Z1052" s="404" t="n"/>
      <c r="AA1052" s="404" t="n"/>
      <c r="AB1052" s="404" t="n"/>
    </row>
    <row r="1053">
      <c r="A1053" s="404" t="n">
        <v>50</v>
      </c>
      <c r="B1053" s="404" t="n">
        <v>0</v>
      </c>
      <c r="C1053" s="404" t="n">
        <v>0</v>
      </c>
      <c r="D1053" s="404" t="n">
        <v>1</v>
      </c>
      <c r="E1053" s="404" t="n">
        <v>225</v>
      </c>
      <c r="F1053" s="404">
        <f>ROUND(Source!AV1048,O1053)</f>
        <v/>
      </c>
      <c r="G1053" s="404" t="inlineStr">
        <is>
          <t>СтМатОбПод</t>
        </is>
      </c>
      <c r="H1053" s="404" t="inlineStr">
        <is>
          <t>Стоимость материалов и оборудования подрядчика</t>
        </is>
      </c>
      <c r="I1053" s="404" t="n"/>
      <c r="J1053" s="404" t="n"/>
      <c r="K1053" s="404" t="n">
        <v>225</v>
      </c>
      <c r="L1053" s="404" t="n">
        <v>4</v>
      </c>
      <c r="M1053" s="404" t="n">
        <v>3</v>
      </c>
      <c r="N1053" s="404" t="inlineStr"/>
      <c r="O1053" s="404" t="n">
        <v>0</v>
      </c>
      <c r="P1053" s="404" t="n"/>
      <c r="Q1053" s="404" t="n"/>
      <c r="R1053" s="404" t="n"/>
      <c r="S1053" s="404" t="n"/>
      <c r="T1053" s="404" t="n"/>
      <c r="U1053" s="404" t="n"/>
      <c r="V1053" s="404" t="n"/>
      <c r="W1053" s="404" t="n">
        <v>0</v>
      </c>
      <c r="X1053" s="404" t="n">
        <v>1</v>
      </c>
      <c r="Y1053" s="404" t="n">
        <v>0</v>
      </c>
      <c r="Z1053" s="404" t="n"/>
      <c r="AA1053" s="404" t="n"/>
      <c r="AB1053" s="404" t="n"/>
    </row>
    <row r="1054">
      <c r="A1054" s="404" t="n">
        <v>50</v>
      </c>
      <c r="B1054" s="404" t="n">
        <v>0</v>
      </c>
      <c r="C1054" s="404" t="n">
        <v>0</v>
      </c>
      <c r="D1054" s="404" t="n">
        <v>1</v>
      </c>
      <c r="E1054" s="404" t="n">
        <v>226</v>
      </c>
      <c r="F1054" s="404">
        <f>ROUND(Source!AW1048,O1054)</f>
        <v/>
      </c>
      <c r="G1054" s="404" t="inlineStr">
        <is>
          <t>СтМат</t>
        </is>
      </c>
      <c r="H1054" s="404" t="inlineStr">
        <is>
          <t>Стоимость материалов (всего)</t>
        </is>
      </c>
      <c r="I1054" s="404" t="n"/>
      <c r="J1054" s="404" t="n"/>
      <c r="K1054" s="404" t="n">
        <v>226</v>
      </c>
      <c r="L1054" s="404" t="n">
        <v>5</v>
      </c>
      <c r="M1054" s="404" t="n">
        <v>3</v>
      </c>
      <c r="N1054" s="404" t="inlineStr"/>
      <c r="O1054" s="404" t="n">
        <v>0</v>
      </c>
      <c r="P1054" s="404" t="n"/>
      <c r="Q1054" s="404" t="n"/>
      <c r="R1054" s="404" t="n"/>
      <c r="S1054" s="404" t="n"/>
      <c r="T1054" s="404" t="n"/>
      <c r="U1054" s="404" t="n"/>
      <c r="V1054" s="404" t="n"/>
      <c r="W1054" s="404" t="n">
        <v>0</v>
      </c>
      <c r="X1054" s="404" t="n">
        <v>1</v>
      </c>
      <c r="Y1054" s="404" t="n">
        <v>0</v>
      </c>
      <c r="Z1054" s="404" t="n"/>
      <c r="AA1054" s="404" t="n"/>
      <c r="AB1054" s="404" t="n"/>
    </row>
    <row r="1055">
      <c r="A1055" s="404" t="n">
        <v>50</v>
      </c>
      <c r="B1055" s="404" t="n">
        <v>0</v>
      </c>
      <c r="C1055" s="404" t="n">
        <v>0</v>
      </c>
      <c r="D1055" s="404" t="n">
        <v>1</v>
      </c>
      <c r="E1055" s="404" t="n">
        <v>227</v>
      </c>
      <c r="F1055" s="404">
        <f>ROUND(Source!AX1048,O1055)</f>
        <v/>
      </c>
      <c r="G1055" s="404" t="inlineStr">
        <is>
          <t>СтМатЗак</t>
        </is>
      </c>
      <c r="H1055" s="404" t="inlineStr">
        <is>
          <t>Стоимость материалов заказчика</t>
        </is>
      </c>
      <c r="I1055" s="404" t="n"/>
      <c r="J1055" s="404" t="n"/>
      <c r="K1055" s="404" t="n">
        <v>227</v>
      </c>
      <c r="L1055" s="404" t="n">
        <v>6</v>
      </c>
      <c r="M1055" s="404" t="n">
        <v>3</v>
      </c>
      <c r="N1055" s="404" t="inlineStr"/>
      <c r="O1055" s="404" t="n">
        <v>0</v>
      </c>
      <c r="P1055" s="404" t="n"/>
      <c r="Q1055" s="404" t="n"/>
      <c r="R1055" s="404" t="n"/>
      <c r="S1055" s="404" t="n"/>
      <c r="T1055" s="404" t="n"/>
      <c r="U1055" s="404" t="n"/>
      <c r="V1055" s="404" t="n"/>
      <c r="W1055" s="404" t="n">
        <v>0</v>
      </c>
      <c r="X1055" s="404" t="n">
        <v>1</v>
      </c>
      <c r="Y1055" s="404" t="n">
        <v>0</v>
      </c>
      <c r="Z1055" s="404" t="n"/>
      <c r="AA1055" s="404" t="n"/>
      <c r="AB1055" s="404" t="n"/>
    </row>
    <row r="1056">
      <c r="A1056" s="404" t="n">
        <v>50</v>
      </c>
      <c r="B1056" s="404" t="n">
        <v>0</v>
      </c>
      <c r="C1056" s="404" t="n">
        <v>0</v>
      </c>
      <c r="D1056" s="404" t="n">
        <v>1</v>
      </c>
      <c r="E1056" s="404" t="n">
        <v>228</v>
      </c>
      <c r="F1056" s="404">
        <f>ROUND(Source!AY1048,O1056)</f>
        <v/>
      </c>
      <c r="G1056" s="404" t="inlineStr">
        <is>
          <t>СтМатПод</t>
        </is>
      </c>
      <c r="H1056" s="404" t="inlineStr">
        <is>
          <t>Стоимость материалов подрядчика</t>
        </is>
      </c>
      <c r="I1056" s="404" t="n"/>
      <c r="J1056" s="404" t="n"/>
      <c r="K1056" s="404" t="n">
        <v>228</v>
      </c>
      <c r="L1056" s="404" t="n">
        <v>7</v>
      </c>
      <c r="M1056" s="404" t="n">
        <v>3</v>
      </c>
      <c r="N1056" s="404" t="inlineStr"/>
      <c r="O1056" s="404" t="n">
        <v>0</v>
      </c>
      <c r="P1056" s="404" t="n"/>
      <c r="Q1056" s="404" t="n"/>
      <c r="R1056" s="404" t="n"/>
      <c r="S1056" s="404" t="n"/>
      <c r="T1056" s="404" t="n"/>
      <c r="U1056" s="404" t="n"/>
      <c r="V1056" s="404" t="n"/>
      <c r="W1056" s="404" t="n">
        <v>0</v>
      </c>
      <c r="X1056" s="404" t="n">
        <v>1</v>
      </c>
      <c r="Y1056" s="404" t="n">
        <v>0</v>
      </c>
      <c r="Z1056" s="404" t="n"/>
      <c r="AA1056" s="404" t="n"/>
      <c r="AB1056" s="404" t="n"/>
    </row>
    <row r="1057">
      <c r="A1057" s="404" t="n">
        <v>50</v>
      </c>
      <c r="B1057" s="404" t="n">
        <v>0</v>
      </c>
      <c r="C1057" s="404" t="n">
        <v>0</v>
      </c>
      <c r="D1057" s="404" t="n">
        <v>1</v>
      </c>
      <c r="E1057" s="404" t="n">
        <v>216</v>
      </c>
      <c r="F1057" s="404">
        <f>ROUND(Source!AP1048,O1057)</f>
        <v/>
      </c>
      <c r="G1057" s="404" t="inlineStr">
        <is>
          <t>Оборуд</t>
        </is>
      </c>
      <c r="H1057" s="404" t="inlineStr">
        <is>
          <t>Стоимость оборудования (всего)</t>
        </is>
      </c>
      <c r="I1057" s="404" t="n"/>
      <c r="J1057" s="404" t="n"/>
      <c r="K1057" s="404" t="n">
        <v>216</v>
      </c>
      <c r="L1057" s="404" t="n">
        <v>8</v>
      </c>
      <c r="M1057" s="404" t="n">
        <v>3</v>
      </c>
      <c r="N1057" s="404" t="inlineStr"/>
      <c r="O1057" s="404" t="n">
        <v>0</v>
      </c>
      <c r="P1057" s="404" t="n"/>
      <c r="Q1057" s="404" t="n"/>
      <c r="R1057" s="404" t="n"/>
      <c r="S1057" s="404" t="n"/>
      <c r="T1057" s="404" t="n"/>
      <c r="U1057" s="404" t="n"/>
      <c r="V1057" s="404" t="n"/>
      <c r="W1057" s="404" t="n">
        <v>0</v>
      </c>
      <c r="X1057" s="404" t="n">
        <v>1</v>
      </c>
      <c r="Y1057" s="404" t="n">
        <v>0</v>
      </c>
      <c r="Z1057" s="404" t="n"/>
      <c r="AA1057" s="404" t="n"/>
      <c r="AB1057" s="404" t="n"/>
    </row>
    <row r="1058">
      <c r="A1058" s="404" t="n">
        <v>50</v>
      </c>
      <c r="B1058" s="404" t="n">
        <v>0</v>
      </c>
      <c r="C1058" s="404" t="n">
        <v>0</v>
      </c>
      <c r="D1058" s="404" t="n">
        <v>1</v>
      </c>
      <c r="E1058" s="404" t="n">
        <v>223</v>
      </c>
      <c r="F1058" s="404">
        <f>ROUND(Source!AQ1048,O1058)</f>
        <v/>
      </c>
      <c r="G1058" s="404" t="inlineStr">
        <is>
          <t>ОборудЗак</t>
        </is>
      </c>
      <c r="H1058" s="404" t="inlineStr">
        <is>
          <t>Стоимость оборудования заказчика</t>
        </is>
      </c>
      <c r="I1058" s="404" t="n"/>
      <c r="J1058" s="404" t="n"/>
      <c r="K1058" s="404" t="n">
        <v>223</v>
      </c>
      <c r="L1058" s="404" t="n">
        <v>9</v>
      </c>
      <c r="M1058" s="404" t="n">
        <v>3</v>
      </c>
      <c r="N1058" s="404" t="inlineStr"/>
      <c r="O1058" s="404" t="n">
        <v>0</v>
      </c>
      <c r="P1058" s="404" t="n"/>
      <c r="Q1058" s="404" t="n"/>
      <c r="R1058" s="404" t="n"/>
      <c r="S1058" s="404" t="n"/>
      <c r="T1058" s="404" t="n"/>
      <c r="U1058" s="404" t="n"/>
      <c r="V1058" s="404" t="n"/>
      <c r="W1058" s="404" t="n">
        <v>0</v>
      </c>
      <c r="X1058" s="404" t="n">
        <v>1</v>
      </c>
      <c r="Y1058" s="404" t="n">
        <v>0</v>
      </c>
      <c r="Z1058" s="404" t="n"/>
      <c r="AA1058" s="404" t="n"/>
      <c r="AB1058" s="404" t="n"/>
    </row>
    <row r="1059">
      <c r="A1059" s="404" t="n">
        <v>50</v>
      </c>
      <c r="B1059" s="404" t="n">
        <v>0</v>
      </c>
      <c r="C1059" s="404" t="n">
        <v>0</v>
      </c>
      <c r="D1059" s="404" t="n">
        <v>1</v>
      </c>
      <c r="E1059" s="404" t="n">
        <v>229</v>
      </c>
      <c r="F1059" s="404">
        <f>ROUND(Source!AZ1048,O1059)</f>
        <v/>
      </c>
      <c r="G1059" s="404" t="inlineStr">
        <is>
          <t>ОборудПод</t>
        </is>
      </c>
      <c r="H1059" s="404" t="inlineStr">
        <is>
          <t>Стоимость оборудования подрядчика</t>
        </is>
      </c>
      <c r="I1059" s="404" t="n"/>
      <c r="J1059" s="404" t="n"/>
      <c r="K1059" s="404" t="n">
        <v>229</v>
      </c>
      <c r="L1059" s="404" t="n">
        <v>10</v>
      </c>
      <c r="M1059" s="404" t="n">
        <v>3</v>
      </c>
      <c r="N1059" s="404" t="inlineStr"/>
      <c r="O1059" s="404" t="n">
        <v>0</v>
      </c>
      <c r="P1059" s="404" t="n"/>
      <c r="Q1059" s="404" t="n"/>
      <c r="R1059" s="404" t="n"/>
      <c r="S1059" s="404" t="n"/>
      <c r="T1059" s="404" t="n"/>
      <c r="U1059" s="404" t="n"/>
      <c r="V1059" s="404" t="n"/>
      <c r="W1059" s="404" t="n">
        <v>0</v>
      </c>
      <c r="X1059" s="404" t="n">
        <v>1</v>
      </c>
      <c r="Y1059" s="404" t="n">
        <v>0</v>
      </c>
      <c r="Z1059" s="404" t="n"/>
      <c r="AA1059" s="404" t="n"/>
      <c r="AB1059" s="404" t="n"/>
    </row>
    <row r="1060">
      <c r="A1060" s="404" t="n">
        <v>50</v>
      </c>
      <c r="B1060" s="404" t="n">
        <v>0</v>
      </c>
      <c r="C1060" s="404" t="n">
        <v>0</v>
      </c>
      <c r="D1060" s="404" t="n">
        <v>1</v>
      </c>
      <c r="E1060" s="404" t="n">
        <v>203</v>
      </c>
      <c r="F1060" s="404">
        <f>ROUND(Source!Q1048,O1060)</f>
        <v/>
      </c>
      <c r="G1060" s="404" t="inlineStr">
        <is>
          <t>ЭММ</t>
        </is>
      </c>
      <c r="H1060" s="404" t="inlineStr">
        <is>
          <t>Эксплуатация машин</t>
        </is>
      </c>
      <c r="I1060" s="404" t="n"/>
      <c r="J1060" s="404" t="n"/>
      <c r="K1060" s="404" t="n">
        <v>203</v>
      </c>
      <c r="L1060" s="404" t="n">
        <v>11</v>
      </c>
      <c r="M1060" s="404" t="n">
        <v>3</v>
      </c>
      <c r="N1060" s="404" t="inlineStr"/>
      <c r="O1060" s="404" t="n">
        <v>0</v>
      </c>
      <c r="P1060" s="404" t="n"/>
      <c r="Q1060" s="404" t="n"/>
      <c r="R1060" s="404" t="n"/>
      <c r="S1060" s="404" t="n"/>
      <c r="T1060" s="404" t="n"/>
      <c r="U1060" s="404" t="n"/>
      <c r="V1060" s="404" t="n"/>
      <c r="W1060" s="404" t="n">
        <v>0</v>
      </c>
      <c r="X1060" s="404" t="n">
        <v>1</v>
      </c>
      <c r="Y1060" s="404" t="n">
        <v>0</v>
      </c>
      <c r="Z1060" s="404" t="n"/>
      <c r="AA1060" s="404" t="n"/>
      <c r="AB1060" s="404" t="n"/>
    </row>
    <row r="1061">
      <c r="A1061" s="404" t="n">
        <v>50</v>
      </c>
      <c r="B1061" s="404" t="n">
        <v>0</v>
      </c>
      <c r="C1061" s="404" t="n">
        <v>0</v>
      </c>
      <c r="D1061" s="404" t="n">
        <v>1</v>
      </c>
      <c r="E1061" s="404" t="n">
        <v>231</v>
      </c>
      <c r="F1061" s="404">
        <f>ROUND(Source!BB1048,O1061)</f>
        <v/>
      </c>
      <c r="G1061" s="404" t="inlineStr">
        <is>
          <t>ЭММсНРиСП</t>
        </is>
      </c>
      <c r="H1061" s="404" t="inlineStr">
        <is>
          <t>Эксплуатация машин по ТСН-2001.16</t>
        </is>
      </c>
      <c r="I1061" s="404" t="n"/>
      <c r="J1061" s="404" t="n"/>
      <c r="K1061" s="404" t="n">
        <v>231</v>
      </c>
      <c r="L1061" s="404" t="n">
        <v>12</v>
      </c>
      <c r="M1061" s="404" t="n">
        <v>3</v>
      </c>
      <c r="N1061" s="404" t="inlineStr"/>
      <c r="O1061" s="404" t="n">
        <v>0</v>
      </c>
      <c r="P1061" s="404" t="n"/>
      <c r="Q1061" s="404" t="n"/>
      <c r="R1061" s="404" t="n"/>
      <c r="S1061" s="404" t="n"/>
      <c r="T1061" s="404" t="n"/>
      <c r="U1061" s="404" t="n"/>
      <c r="V1061" s="404" t="n"/>
      <c r="W1061" s="404" t="n">
        <v>0</v>
      </c>
      <c r="X1061" s="404" t="n">
        <v>1</v>
      </c>
      <c r="Y1061" s="404" t="n">
        <v>0</v>
      </c>
      <c r="Z1061" s="404" t="n"/>
      <c r="AA1061" s="404" t="n"/>
      <c r="AB1061" s="404" t="n"/>
    </row>
    <row r="1062">
      <c r="A1062" s="404" t="n">
        <v>50</v>
      </c>
      <c r="B1062" s="404" t="n">
        <v>0</v>
      </c>
      <c r="C1062" s="404" t="n">
        <v>0</v>
      </c>
      <c r="D1062" s="404" t="n">
        <v>1</v>
      </c>
      <c r="E1062" s="404" t="n">
        <v>204</v>
      </c>
      <c r="F1062" s="404">
        <f>ROUND(Source!R1048,O1062)</f>
        <v/>
      </c>
      <c r="G1062" s="404" t="inlineStr">
        <is>
          <t>ЗПМ</t>
        </is>
      </c>
      <c r="H1062" s="404" t="inlineStr">
        <is>
          <t>ЗП машинистов</t>
        </is>
      </c>
      <c r="I1062" s="404" t="n"/>
      <c r="J1062" s="404" t="n"/>
      <c r="K1062" s="404" t="n">
        <v>204</v>
      </c>
      <c r="L1062" s="404" t="n">
        <v>13</v>
      </c>
      <c r="M1062" s="404" t="n">
        <v>3</v>
      </c>
      <c r="N1062" s="404" t="inlineStr"/>
      <c r="O1062" s="404" t="n">
        <v>0</v>
      </c>
      <c r="P1062" s="404" t="n"/>
      <c r="Q1062" s="404" t="n"/>
      <c r="R1062" s="404" t="n"/>
      <c r="S1062" s="404" t="n"/>
      <c r="T1062" s="404" t="n"/>
      <c r="U1062" s="404" t="n"/>
      <c r="V1062" s="404" t="n"/>
      <c r="W1062" s="404" t="n">
        <v>0</v>
      </c>
      <c r="X1062" s="404" t="n">
        <v>1</v>
      </c>
      <c r="Y1062" s="404" t="n">
        <v>0</v>
      </c>
      <c r="Z1062" s="404" t="n"/>
      <c r="AA1062" s="404" t="n"/>
      <c r="AB1062" s="404" t="n"/>
    </row>
    <row r="1063">
      <c r="A1063" s="404" t="n">
        <v>50</v>
      </c>
      <c r="B1063" s="404" t="n">
        <v>0</v>
      </c>
      <c r="C1063" s="404" t="n">
        <v>0</v>
      </c>
      <c r="D1063" s="404" t="n">
        <v>1</v>
      </c>
      <c r="E1063" s="404" t="n">
        <v>205</v>
      </c>
      <c r="F1063" s="404">
        <f>ROUND(Source!S1048,O1063)</f>
        <v/>
      </c>
      <c r="G1063" s="404" t="inlineStr">
        <is>
          <t>ОЗП</t>
        </is>
      </c>
      <c r="H1063" s="404" t="inlineStr">
        <is>
          <t>Основная ЗП рабочих</t>
        </is>
      </c>
      <c r="I1063" s="404" t="n"/>
      <c r="J1063" s="404" t="n"/>
      <c r="K1063" s="404" t="n">
        <v>205</v>
      </c>
      <c r="L1063" s="404" t="n">
        <v>14</v>
      </c>
      <c r="M1063" s="404" t="n">
        <v>3</v>
      </c>
      <c r="N1063" s="404" t="inlineStr"/>
      <c r="O1063" s="404" t="n">
        <v>0</v>
      </c>
      <c r="P1063" s="404" t="n"/>
      <c r="Q1063" s="404" t="n"/>
      <c r="R1063" s="404" t="n"/>
      <c r="S1063" s="404" t="n"/>
      <c r="T1063" s="404" t="n"/>
      <c r="U1063" s="404" t="n"/>
      <c r="V1063" s="404" t="n"/>
      <c r="W1063" s="404" t="n">
        <v>0</v>
      </c>
      <c r="X1063" s="404" t="n">
        <v>1</v>
      </c>
      <c r="Y1063" s="404" t="n">
        <v>0</v>
      </c>
      <c r="Z1063" s="404" t="n"/>
      <c r="AA1063" s="404" t="n"/>
      <c r="AB1063" s="404" t="n"/>
    </row>
    <row r="1064">
      <c r="A1064" s="404" t="n">
        <v>50</v>
      </c>
      <c r="B1064" s="404" t="n">
        <v>0</v>
      </c>
      <c r="C1064" s="404" t="n">
        <v>0</v>
      </c>
      <c r="D1064" s="404" t="n">
        <v>1</v>
      </c>
      <c r="E1064" s="404" t="n">
        <v>232</v>
      </c>
      <c r="F1064" s="404">
        <f>ROUND(Source!BC1048,O1064)</f>
        <v/>
      </c>
      <c r="G1064" s="404" t="inlineStr">
        <is>
          <t>ОЗПсНРиСП</t>
        </is>
      </c>
      <c r="H1064" s="404" t="inlineStr">
        <is>
          <t>Основная ЗП рабочих по ТСН-2001.16</t>
        </is>
      </c>
      <c r="I1064" s="404" t="n"/>
      <c r="J1064" s="404" t="n"/>
      <c r="K1064" s="404" t="n">
        <v>232</v>
      </c>
      <c r="L1064" s="404" t="n">
        <v>15</v>
      </c>
      <c r="M1064" s="404" t="n">
        <v>3</v>
      </c>
      <c r="N1064" s="404" t="inlineStr"/>
      <c r="O1064" s="404" t="n">
        <v>0</v>
      </c>
      <c r="P1064" s="404" t="n"/>
      <c r="Q1064" s="404" t="n"/>
      <c r="R1064" s="404" t="n"/>
      <c r="S1064" s="404" t="n"/>
      <c r="T1064" s="404" t="n"/>
      <c r="U1064" s="404" t="n"/>
      <c r="V1064" s="404" t="n"/>
      <c r="W1064" s="404" t="n">
        <v>0</v>
      </c>
      <c r="X1064" s="404" t="n">
        <v>1</v>
      </c>
      <c r="Y1064" s="404" t="n">
        <v>0</v>
      </c>
      <c r="Z1064" s="404" t="n"/>
      <c r="AA1064" s="404" t="n"/>
      <c r="AB1064" s="404" t="n"/>
    </row>
    <row r="1065">
      <c r="A1065" s="404" t="n">
        <v>50</v>
      </c>
      <c r="B1065" s="404" t="n">
        <v>0</v>
      </c>
      <c r="C1065" s="404" t="n">
        <v>0</v>
      </c>
      <c r="D1065" s="404" t="n">
        <v>1</v>
      </c>
      <c r="E1065" s="404" t="n">
        <v>214</v>
      </c>
      <c r="F1065" s="404">
        <f>ROUND(Source!AS1048,O1065)</f>
        <v/>
      </c>
      <c r="G1065" s="404" t="inlineStr">
        <is>
          <t>Строит</t>
        </is>
      </c>
      <c r="H1065" s="404" t="inlineStr">
        <is>
          <t>Строительные работы с НР и СП</t>
        </is>
      </c>
      <c r="I1065" s="404" t="n"/>
      <c r="J1065" s="404" t="n"/>
      <c r="K1065" s="404" t="n">
        <v>214</v>
      </c>
      <c r="L1065" s="404" t="n">
        <v>16</v>
      </c>
      <c r="M1065" s="404" t="n">
        <v>3</v>
      </c>
      <c r="N1065" s="404" t="inlineStr"/>
      <c r="O1065" s="404" t="n">
        <v>0</v>
      </c>
      <c r="P1065" s="404" t="n"/>
      <c r="Q1065" s="404" t="n"/>
      <c r="R1065" s="404" t="n"/>
      <c r="S1065" s="404" t="n"/>
      <c r="T1065" s="404" t="n"/>
      <c r="U1065" s="404" t="n"/>
      <c r="V1065" s="404" t="n"/>
      <c r="W1065" s="404" t="n">
        <v>0</v>
      </c>
      <c r="X1065" s="404" t="n">
        <v>1</v>
      </c>
      <c r="Y1065" s="404" t="n">
        <v>0</v>
      </c>
      <c r="Z1065" s="404" t="n"/>
      <c r="AA1065" s="404" t="n"/>
      <c r="AB1065" s="404" t="n"/>
    </row>
    <row r="1066">
      <c r="A1066" s="404" t="n">
        <v>50</v>
      </c>
      <c r="B1066" s="404" t="n">
        <v>0</v>
      </c>
      <c r="C1066" s="404" t="n">
        <v>0</v>
      </c>
      <c r="D1066" s="404" t="n">
        <v>1</v>
      </c>
      <c r="E1066" s="404" t="n">
        <v>215</v>
      </c>
      <c r="F1066" s="404">
        <f>ROUND(Source!AT1048,O1066)</f>
        <v/>
      </c>
      <c r="G1066" s="404" t="inlineStr">
        <is>
          <t>Монтаж</t>
        </is>
      </c>
      <c r="H1066" s="404" t="inlineStr">
        <is>
          <t>Монтажные работы с НР и СП</t>
        </is>
      </c>
      <c r="I1066" s="404" t="n"/>
      <c r="J1066" s="404" t="n"/>
      <c r="K1066" s="404" t="n">
        <v>215</v>
      </c>
      <c r="L1066" s="404" t="n">
        <v>17</v>
      </c>
      <c r="M1066" s="404" t="n">
        <v>3</v>
      </c>
      <c r="N1066" s="404" t="inlineStr"/>
      <c r="O1066" s="404" t="n">
        <v>0</v>
      </c>
      <c r="P1066" s="404" t="n"/>
      <c r="Q1066" s="404" t="n"/>
      <c r="R1066" s="404" t="n"/>
      <c r="S1066" s="404" t="n"/>
      <c r="T1066" s="404" t="n"/>
      <c r="U1066" s="404" t="n"/>
      <c r="V1066" s="404" t="n"/>
      <c r="W1066" s="404" t="n">
        <v>0</v>
      </c>
      <c r="X1066" s="404" t="n">
        <v>1</v>
      </c>
      <c r="Y1066" s="404" t="n">
        <v>0</v>
      </c>
      <c r="Z1066" s="404" t="n"/>
      <c r="AA1066" s="404" t="n"/>
      <c r="AB1066" s="404" t="n"/>
    </row>
    <row r="1067">
      <c r="A1067" s="404" t="n">
        <v>50</v>
      </c>
      <c r="B1067" s="404" t="n">
        <v>0</v>
      </c>
      <c r="C1067" s="404" t="n">
        <v>0</v>
      </c>
      <c r="D1067" s="404" t="n">
        <v>1</v>
      </c>
      <c r="E1067" s="404" t="n">
        <v>217</v>
      </c>
      <c r="F1067" s="404">
        <f>ROUND(Source!AU1048,O1067)</f>
        <v/>
      </c>
      <c r="G1067" s="404" t="inlineStr">
        <is>
          <t>Прочие</t>
        </is>
      </c>
      <c r="H1067" s="404" t="inlineStr">
        <is>
          <t>Прочие работы с НР и СП</t>
        </is>
      </c>
      <c r="I1067" s="404" t="n"/>
      <c r="J1067" s="404" t="n"/>
      <c r="K1067" s="404" t="n">
        <v>217</v>
      </c>
      <c r="L1067" s="404" t="n">
        <v>18</v>
      </c>
      <c r="M1067" s="404" t="n">
        <v>3</v>
      </c>
      <c r="N1067" s="404" t="inlineStr"/>
      <c r="O1067" s="404" t="n">
        <v>0</v>
      </c>
      <c r="P1067" s="404" t="n"/>
      <c r="Q1067" s="404" t="n"/>
      <c r="R1067" s="404" t="n"/>
      <c r="S1067" s="404" t="n"/>
      <c r="T1067" s="404" t="n"/>
      <c r="U1067" s="404" t="n"/>
      <c r="V1067" s="404" t="n"/>
      <c r="W1067" s="404" t="n">
        <v>0</v>
      </c>
      <c r="X1067" s="404" t="n">
        <v>1</v>
      </c>
      <c r="Y1067" s="404" t="n">
        <v>0</v>
      </c>
      <c r="Z1067" s="404" t="n"/>
      <c r="AA1067" s="404" t="n"/>
      <c r="AB1067" s="404" t="n"/>
    </row>
    <row r="1068">
      <c r="A1068" s="404" t="n">
        <v>50</v>
      </c>
      <c r="B1068" s="404" t="n">
        <v>0</v>
      </c>
      <c r="C1068" s="404" t="n">
        <v>0</v>
      </c>
      <c r="D1068" s="404" t="n">
        <v>1</v>
      </c>
      <c r="E1068" s="404" t="n">
        <v>230</v>
      </c>
      <c r="F1068" s="404">
        <f>ROUND(Source!BA1048,O1068)</f>
        <v/>
      </c>
      <c r="G1068" s="404" t="inlineStr">
        <is>
          <t>ПрочиеЗатр</t>
        </is>
      </c>
      <c r="H1068" s="404" t="inlineStr">
        <is>
          <t>Прочие затраты по ТСН-2001.16</t>
        </is>
      </c>
      <c r="I1068" s="404" t="n"/>
      <c r="J1068" s="404" t="n"/>
      <c r="K1068" s="404" t="n">
        <v>230</v>
      </c>
      <c r="L1068" s="404" t="n">
        <v>19</v>
      </c>
      <c r="M1068" s="404" t="n">
        <v>3</v>
      </c>
      <c r="N1068" s="404" t="inlineStr"/>
      <c r="O1068" s="404" t="n">
        <v>0</v>
      </c>
      <c r="P1068" s="404" t="n"/>
      <c r="Q1068" s="404" t="n"/>
      <c r="R1068" s="404" t="n"/>
      <c r="S1068" s="404" t="n"/>
      <c r="T1068" s="404" t="n"/>
      <c r="U1068" s="404" t="n"/>
      <c r="V1068" s="404" t="n"/>
      <c r="W1068" s="404" t="n">
        <v>0</v>
      </c>
      <c r="X1068" s="404" t="n">
        <v>1</v>
      </c>
      <c r="Y1068" s="404" t="n">
        <v>0</v>
      </c>
      <c r="Z1068" s="404" t="n"/>
      <c r="AA1068" s="404" t="n"/>
      <c r="AB1068" s="404" t="n"/>
    </row>
    <row r="1069">
      <c r="A1069" s="404" t="n">
        <v>50</v>
      </c>
      <c r="B1069" s="404" t="n">
        <v>0</v>
      </c>
      <c r="C1069" s="404" t="n">
        <v>0</v>
      </c>
      <c r="D1069" s="404" t="n">
        <v>1</v>
      </c>
      <c r="E1069" s="404" t="n">
        <v>206</v>
      </c>
      <c r="F1069" s="404">
        <f>ROUND(Source!T1048,O1069)</f>
        <v/>
      </c>
      <c r="G1069" s="404" t="inlineStr">
        <is>
          <t>ВозврМат</t>
        </is>
      </c>
      <c r="H1069" s="404" t="inlineStr">
        <is>
          <t>Возврат материалов</t>
        </is>
      </c>
      <c r="I1069" s="404" t="n"/>
      <c r="J1069" s="404" t="n"/>
      <c r="K1069" s="404" t="n">
        <v>206</v>
      </c>
      <c r="L1069" s="404" t="n">
        <v>20</v>
      </c>
      <c r="M1069" s="404" t="n">
        <v>3</v>
      </c>
      <c r="N1069" s="404" t="inlineStr"/>
      <c r="O1069" s="404" t="n">
        <v>0</v>
      </c>
      <c r="P1069" s="404" t="n"/>
      <c r="Q1069" s="404" t="n"/>
      <c r="R1069" s="404" t="n"/>
      <c r="S1069" s="404" t="n"/>
      <c r="T1069" s="404" t="n"/>
      <c r="U1069" s="404" t="n"/>
      <c r="V1069" s="404" t="n"/>
      <c r="W1069" s="404" t="n">
        <v>0</v>
      </c>
      <c r="X1069" s="404" t="n">
        <v>1</v>
      </c>
      <c r="Y1069" s="404" t="n">
        <v>0</v>
      </c>
      <c r="Z1069" s="404" t="n"/>
      <c r="AA1069" s="404" t="n"/>
      <c r="AB1069" s="404" t="n"/>
    </row>
    <row r="1070">
      <c r="A1070" s="404" t="n">
        <v>50</v>
      </c>
      <c r="B1070" s="404" t="n">
        <v>0</v>
      </c>
      <c r="C1070" s="404" t="n">
        <v>0</v>
      </c>
      <c r="D1070" s="404" t="n">
        <v>1</v>
      </c>
      <c r="E1070" s="404" t="n">
        <v>207</v>
      </c>
      <c r="F1070" s="404">
        <f>ROUND(Source!U1048,O1070)</f>
        <v/>
      </c>
      <c r="G1070" s="404" t="inlineStr">
        <is>
          <t>ТрудСтр</t>
        </is>
      </c>
      <c r="H1070" s="404" t="inlineStr">
        <is>
          <t>Трудозатраты строителей</t>
        </is>
      </c>
      <c r="I1070" s="404" t="n"/>
      <c r="J1070" s="404" t="n"/>
      <c r="K1070" s="404" t="n">
        <v>207</v>
      </c>
      <c r="L1070" s="404" t="n">
        <v>21</v>
      </c>
      <c r="M1070" s="404" t="n">
        <v>3</v>
      </c>
      <c r="N1070" s="404" t="inlineStr"/>
      <c r="O1070" s="404" t="n">
        <v>7</v>
      </c>
      <c r="P1070" s="404" t="n"/>
      <c r="Q1070" s="404" t="n"/>
      <c r="R1070" s="404" t="n"/>
      <c r="S1070" s="404" t="n"/>
      <c r="T1070" s="404" t="n"/>
      <c r="U1070" s="404" t="n"/>
      <c r="V1070" s="404" t="n"/>
      <c r="W1070" s="404" t="n">
        <v>0</v>
      </c>
      <c r="X1070" s="404" t="n">
        <v>1</v>
      </c>
      <c r="Y1070" s="404" t="n">
        <v>0</v>
      </c>
      <c r="Z1070" s="404" t="n"/>
      <c r="AA1070" s="404" t="n"/>
      <c r="AB1070" s="404" t="n"/>
    </row>
    <row r="1071">
      <c r="A1071" s="404" t="n">
        <v>50</v>
      </c>
      <c r="B1071" s="404" t="n">
        <v>0</v>
      </c>
      <c r="C1071" s="404" t="n">
        <v>0</v>
      </c>
      <c r="D1071" s="404" t="n">
        <v>1</v>
      </c>
      <c r="E1071" s="404" t="n">
        <v>208</v>
      </c>
      <c r="F1071" s="404">
        <f>ROUND(Source!V1048,O1071)</f>
        <v/>
      </c>
      <c r="G1071" s="404" t="inlineStr">
        <is>
          <t>ТрудМаш</t>
        </is>
      </c>
      <c r="H1071" s="404" t="inlineStr">
        <is>
          <t>Трудозатраты машинистов</t>
        </is>
      </c>
      <c r="I1071" s="404" t="n"/>
      <c r="J1071" s="404" t="n"/>
      <c r="K1071" s="404" t="n">
        <v>208</v>
      </c>
      <c r="L1071" s="404" t="n">
        <v>22</v>
      </c>
      <c r="M1071" s="404" t="n">
        <v>3</v>
      </c>
      <c r="N1071" s="404" t="inlineStr"/>
      <c r="O1071" s="404" t="n">
        <v>7</v>
      </c>
      <c r="P1071" s="404" t="n"/>
      <c r="Q1071" s="404" t="n"/>
      <c r="R1071" s="404" t="n"/>
      <c r="S1071" s="404" t="n"/>
      <c r="T1071" s="404" t="n"/>
      <c r="U1071" s="404" t="n"/>
      <c r="V1071" s="404" t="n"/>
      <c r="W1071" s="404" t="n">
        <v>0</v>
      </c>
      <c r="X1071" s="404" t="n">
        <v>1</v>
      </c>
      <c r="Y1071" s="404" t="n">
        <v>0</v>
      </c>
      <c r="Z1071" s="404" t="n"/>
      <c r="AA1071" s="404" t="n"/>
      <c r="AB1071" s="404" t="n"/>
    </row>
    <row r="1072">
      <c r="A1072" s="404" t="n">
        <v>50</v>
      </c>
      <c r="B1072" s="404" t="n">
        <v>0</v>
      </c>
      <c r="C1072" s="404" t="n">
        <v>0</v>
      </c>
      <c r="D1072" s="404" t="n">
        <v>1</v>
      </c>
      <c r="E1072" s="404" t="n">
        <v>209</v>
      </c>
      <c r="F1072" s="404">
        <f>ROUND(Source!W1048,O1072)</f>
        <v/>
      </c>
      <c r="G1072" s="404" t="inlineStr">
        <is>
          <t>ТранспМат</t>
        </is>
      </c>
      <c r="H1072" s="404" t="inlineStr">
        <is>
          <t>Транспорт материалов</t>
        </is>
      </c>
      <c r="I1072" s="404" t="n"/>
      <c r="J1072" s="404" t="n"/>
      <c r="K1072" s="404" t="n">
        <v>209</v>
      </c>
      <c r="L1072" s="404" t="n">
        <v>23</v>
      </c>
      <c r="M1072" s="404" t="n">
        <v>3</v>
      </c>
      <c r="N1072" s="404" t="inlineStr"/>
      <c r="O1072" s="404" t="n">
        <v>0</v>
      </c>
      <c r="P1072" s="404" t="n"/>
      <c r="Q1072" s="404" t="n"/>
      <c r="R1072" s="404" t="n"/>
      <c r="S1072" s="404" t="n"/>
      <c r="T1072" s="404" t="n"/>
      <c r="U1072" s="404" t="n"/>
      <c r="V1072" s="404" t="n"/>
      <c r="W1072" s="404" t="n">
        <v>0</v>
      </c>
      <c r="X1072" s="404" t="n">
        <v>1</v>
      </c>
      <c r="Y1072" s="404" t="n">
        <v>0</v>
      </c>
      <c r="Z1072" s="404" t="n"/>
      <c r="AA1072" s="404" t="n"/>
      <c r="AB1072" s="404" t="n"/>
    </row>
    <row r="1073">
      <c r="A1073" s="404" t="n">
        <v>50</v>
      </c>
      <c r="B1073" s="404" t="n">
        <v>0</v>
      </c>
      <c r="C1073" s="404" t="n">
        <v>0</v>
      </c>
      <c r="D1073" s="404" t="n">
        <v>1</v>
      </c>
      <c r="E1073" s="404" t="n">
        <v>233</v>
      </c>
      <c r="F1073" s="404">
        <f>ROUND(Source!BD1048,O1073)</f>
        <v/>
      </c>
      <c r="G1073" s="404" t="inlineStr">
        <is>
          <t>Перевозка</t>
        </is>
      </c>
      <c r="H1073" s="404" t="inlineStr">
        <is>
          <t>Перевозка грузов</t>
        </is>
      </c>
      <c r="I1073" s="404" t="n"/>
      <c r="J1073" s="404" t="n"/>
      <c r="K1073" s="404" t="n">
        <v>233</v>
      </c>
      <c r="L1073" s="404" t="n">
        <v>24</v>
      </c>
      <c r="M1073" s="404" t="n">
        <v>3</v>
      </c>
      <c r="N1073" s="404" t="inlineStr"/>
      <c r="O1073" s="404" t="n">
        <v>0</v>
      </c>
      <c r="P1073" s="404" t="n"/>
      <c r="Q1073" s="404" t="n"/>
      <c r="R1073" s="404" t="n"/>
      <c r="S1073" s="404" t="n"/>
      <c r="T1073" s="404" t="n"/>
      <c r="U1073" s="404" t="n"/>
      <c r="V1073" s="404" t="n"/>
      <c r="W1073" s="404" t="n">
        <v>0</v>
      </c>
      <c r="X1073" s="404" t="n">
        <v>1</v>
      </c>
      <c r="Y1073" s="404" t="n">
        <v>0</v>
      </c>
      <c r="Z1073" s="404" t="n"/>
      <c r="AA1073" s="404" t="n"/>
      <c r="AB1073" s="404" t="n"/>
    </row>
    <row r="1074">
      <c r="A1074" s="404" t="n">
        <v>50</v>
      </c>
      <c r="B1074" s="404" t="n">
        <v>0</v>
      </c>
      <c r="C1074" s="404" t="n">
        <v>0</v>
      </c>
      <c r="D1074" s="404" t="n">
        <v>1</v>
      </c>
      <c r="E1074" s="404" t="n">
        <v>210</v>
      </c>
      <c r="F1074" s="404">
        <f>ROUND(Source!X1048,O1074)</f>
        <v/>
      </c>
      <c r="G1074" s="404" t="inlineStr">
        <is>
          <t>НР</t>
        </is>
      </c>
      <c r="H1074" s="404" t="inlineStr">
        <is>
          <t>Накладные расходы</t>
        </is>
      </c>
      <c r="I1074" s="404" t="n"/>
      <c r="J1074" s="404" t="n"/>
      <c r="K1074" s="404" t="n">
        <v>210</v>
      </c>
      <c r="L1074" s="404" t="n">
        <v>25</v>
      </c>
      <c r="M1074" s="404" t="n">
        <v>3</v>
      </c>
      <c r="N1074" s="404" t="inlineStr"/>
      <c r="O1074" s="404" t="n">
        <v>0</v>
      </c>
      <c r="P1074" s="404" t="n"/>
      <c r="Q1074" s="404" t="n"/>
      <c r="R1074" s="404" t="n"/>
      <c r="S1074" s="404" t="n"/>
      <c r="T1074" s="404" t="n"/>
      <c r="U1074" s="404" t="n"/>
      <c r="V1074" s="404" t="n"/>
      <c r="W1074" s="404" t="n">
        <v>0</v>
      </c>
      <c r="X1074" s="404" t="n">
        <v>1</v>
      </c>
      <c r="Y1074" s="404" t="n">
        <v>0</v>
      </c>
      <c r="Z1074" s="404" t="n"/>
      <c r="AA1074" s="404" t="n"/>
      <c r="AB1074" s="404" t="n"/>
    </row>
    <row r="1075">
      <c r="A1075" s="404" t="n">
        <v>50</v>
      </c>
      <c r="B1075" s="404" t="n">
        <v>0</v>
      </c>
      <c r="C1075" s="404" t="n">
        <v>0</v>
      </c>
      <c r="D1075" s="404" t="n">
        <v>1</v>
      </c>
      <c r="E1075" s="404" t="n">
        <v>211</v>
      </c>
      <c r="F1075" s="404">
        <f>ROUND(Source!Y1048,O1075)</f>
        <v/>
      </c>
      <c r="G1075" s="404" t="inlineStr">
        <is>
          <t>СмПриб</t>
        </is>
      </c>
      <c r="H1075" s="404" t="inlineStr">
        <is>
          <t>Сметная прибыль</t>
        </is>
      </c>
      <c r="I1075" s="404" t="n"/>
      <c r="J1075" s="404" t="n"/>
      <c r="K1075" s="404" t="n">
        <v>211</v>
      </c>
      <c r="L1075" s="404" t="n">
        <v>26</v>
      </c>
      <c r="M1075" s="404" t="n">
        <v>3</v>
      </c>
      <c r="N1075" s="404" t="inlineStr"/>
      <c r="O1075" s="404" t="n">
        <v>0</v>
      </c>
      <c r="P1075" s="404" t="n"/>
      <c r="Q1075" s="404" t="n"/>
      <c r="R1075" s="404" t="n"/>
      <c r="S1075" s="404" t="n"/>
      <c r="T1075" s="404" t="n"/>
      <c r="U1075" s="404" t="n"/>
      <c r="V1075" s="404" t="n"/>
      <c r="W1075" s="404" t="n">
        <v>0</v>
      </c>
      <c r="X1075" s="404" t="n">
        <v>1</v>
      </c>
      <c r="Y1075" s="404" t="n">
        <v>0</v>
      </c>
      <c r="Z1075" s="404" t="n"/>
      <c r="AA1075" s="404" t="n"/>
      <c r="AB1075" s="404" t="n"/>
    </row>
    <row r="1076">
      <c r="A1076" s="404" t="n">
        <v>50</v>
      </c>
      <c r="B1076" s="404" t="n">
        <v>0</v>
      </c>
      <c r="C1076" s="404" t="n">
        <v>0</v>
      </c>
      <c r="D1076" s="404" t="n">
        <v>1</v>
      </c>
      <c r="E1076" s="404" t="n">
        <v>224</v>
      </c>
      <c r="F1076" s="404">
        <f>ROUND(Source!AR1048,O1076)</f>
        <v/>
      </c>
      <c r="G1076" s="404" t="inlineStr">
        <is>
          <t>Всего</t>
        </is>
      </c>
      <c r="H1076" s="404" t="inlineStr">
        <is>
          <t>Всего с НР и СП</t>
        </is>
      </c>
      <c r="I1076" s="404" t="n"/>
      <c r="J1076" s="404" t="n"/>
      <c r="K1076" s="404" t="n">
        <v>224</v>
      </c>
      <c r="L1076" s="404" t="n">
        <v>27</v>
      </c>
      <c r="M1076" s="404" t="n">
        <v>3</v>
      </c>
      <c r="N1076" s="404" t="inlineStr"/>
      <c r="O1076" s="404" t="n">
        <v>0</v>
      </c>
      <c r="P1076" s="404" t="n"/>
      <c r="Q1076" s="404" t="n"/>
      <c r="R1076" s="404" t="n"/>
      <c r="S1076" s="404" t="n"/>
      <c r="T1076" s="404" t="n"/>
      <c r="U1076" s="404" t="n"/>
      <c r="V1076" s="404" t="n"/>
      <c r="W1076" s="404" t="n">
        <v>0</v>
      </c>
      <c r="X1076" s="404" t="n">
        <v>1</v>
      </c>
      <c r="Y1076" s="404" t="n">
        <v>0</v>
      </c>
      <c r="Z1076" s="404" t="n"/>
      <c r="AA1076" s="404" t="n"/>
      <c r="AB1076" s="404" t="n"/>
    </row>
    <row r="1077">
      <c r="A1077" s="404" t="n">
        <v>50</v>
      </c>
      <c r="B1077" s="404" t="n">
        <v>0</v>
      </c>
      <c r="C1077" s="404" t="n">
        <v>0</v>
      </c>
      <c r="D1077" s="404" t="n">
        <v>2</v>
      </c>
      <c r="E1077" s="404" t="n">
        <v>0</v>
      </c>
      <c r="F1077" s="404">
        <f>ROUND(F1076,O1077)</f>
        <v/>
      </c>
      <c r="G1077" s="404" t="inlineStr">
        <is>
          <t>и1</t>
        </is>
      </c>
      <c r="H1077" s="404" t="inlineStr">
        <is>
          <t>Итого</t>
        </is>
      </c>
      <c r="I1077" s="404" t="n"/>
      <c r="J1077" s="404" t="n"/>
      <c r="K1077" s="404" t="n">
        <v>212</v>
      </c>
      <c r="L1077" s="404" t="n">
        <v>28</v>
      </c>
      <c r="M1077" s="404" t="n">
        <v>0</v>
      </c>
      <c r="N1077" s="404" t="inlineStr"/>
      <c r="O1077" s="404" t="n">
        <v>0</v>
      </c>
      <c r="P1077" s="404" t="n"/>
      <c r="Q1077" s="404" t="n"/>
      <c r="R1077" s="404" t="n"/>
      <c r="S1077" s="404" t="n"/>
      <c r="T1077" s="404" t="n"/>
      <c r="U1077" s="404" t="n"/>
      <c r="V1077" s="404" t="n"/>
      <c r="W1077" s="404" t="n">
        <v>0</v>
      </c>
      <c r="X1077" s="404" t="n">
        <v>1</v>
      </c>
      <c r="Y1077" s="404" t="n">
        <v>0</v>
      </c>
      <c r="Z1077" s="404" t="n"/>
      <c r="AA1077" s="404" t="n"/>
      <c r="AB1077" s="404" t="n"/>
    </row>
    <row r="1078">
      <c r="A1078" s="404" t="n">
        <v>50</v>
      </c>
      <c r="B1078" s="404" t="n">
        <v>0</v>
      </c>
      <c r="C1078" s="404" t="n">
        <v>0</v>
      </c>
      <c r="D1078" s="404" t="n">
        <v>2</v>
      </c>
      <c r="E1078" s="404" t="n">
        <v>0</v>
      </c>
      <c r="F1078" s="404">
        <f>ROUND(F1077*0.22,O1078)</f>
        <v/>
      </c>
      <c r="G1078" s="404" t="inlineStr">
        <is>
          <t>и2</t>
        </is>
      </c>
      <c r="H1078" s="404" t="inlineStr">
        <is>
          <t>НДС 22%</t>
        </is>
      </c>
      <c r="I1078" s="404" t="n"/>
      <c r="J1078" s="404" t="n"/>
      <c r="K1078" s="404" t="n">
        <v>212</v>
      </c>
      <c r="L1078" s="404" t="n">
        <v>29</v>
      </c>
      <c r="M1078" s="404" t="n">
        <v>0</v>
      </c>
      <c r="N1078" s="404" t="inlineStr"/>
      <c r="O1078" s="404" t="n">
        <v>0</v>
      </c>
      <c r="P1078" s="404" t="n"/>
      <c r="Q1078" s="404" t="n"/>
      <c r="R1078" s="404" t="n"/>
      <c r="S1078" s="404" t="n"/>
      <c r="T1078" s="404" t="n"/>
      <c r="U1078" s="404" t="n"/>
      <c r="V1078" s="404" t="n"/>
      <c r="W1078" s="404" t="n">
        <v>0</v>
      </c>
      <c r="X1078" s="404" t="n">
        <v>1</v>
      </c>
      <c r="Y1078" s="404" t="n">
        <v>0</v>
      </c>
      <c r="Z1078" s="404" t="n"/>
      <c r="AA1078" s="404" t="n"/>
      <c r="AB1078" s="404" t="n"/>
    </row>
    <row r="1079">
      <c r="A1079" s="404" t="n">
        <v>50</v>
      </c>
      <c r="B1079" s="404" t="n">
        <v>0</v>
      </c>
      <c r="C1079" s="404" t="n">
        <v>0</v>
      </c>
      <c r="D1079" s="404" t="n">
        <v>2</v>
      </c>
      <c r="E1079" s="404" t="n">
        <v>213</v>
      </c>
      <c r="F1079" s="404">
        <f>ROUND(F1077+F1078,O1079)</f>
        <v/>
      </c>
      <c r="G1079" s="404" t="inlineStr">
        <is>
          <t>и3</t>
        </is>
      </c>
      <c r="H1079" s="404" t="inlineStr">
        <is>
          <t>Всего</t>
        </is>
      </c>
      <c r="I1079" s="404" t="n"/>
      <c r="J1079" s="404" t="n"/>
      <c r="K1079" s="404" t="n">
        <v>212</v>
      </c>
      <c r="L1079" s="404" t="n">
        <v>30</v>
      </c>
      <c r="M1079" s="404" t="n">
        <v>0</v>
      </c>
      <c r="N1079" s="404" t="inlineStr"/>
      <c r="O1079" s="404" t="n">
        <v>0</v>
      </c>
      <c r="P1079" s="404" t="n"/>
      <c r="Q1079" s="404" t="n"/>
      <c r="R1079" s="404" t="n"/>
      <c r="S1079" s="404" t="n"/>
      <c r="T1079" s="404" t="n"/>
      <c r="U1079" s="404" t="n"/>
      <c r="V1079" s="404" t="n"/>
      <c r="W1079" s="404" t="n">
        <v>0</v>
      </c>
      <c r="X1079" s="404" t="n">
        <v>1</v>
      </c>
      <c r="Y1079" s="404" t="n">
        <v>0</v>
      </c>
      <c r="Z1079" s="404" t="n"/>
      <c r="AA1079" s="404" t="n"/>
      <c r="AB1079" s="404" t="n"/>
    </row>
    <row r="1080"/>
    <row r="1081">
      <c r="A1081" s="401" t="n">
        <v>3</v>
      </c>
      <c r="B1081" s="401" t="n">
        <v>0</v>
      </c>
      <c r="C1081" s="401" t="n"/>
      <c r="D1081" s="401">
        <f>ROW(A1088)</f>
        <v/>
      </c>
      <c r="E1081" s="401" t="n"/>
      <c r="F1081" s="401" t="inlineStr">
        <is>
          <t>Новая локальная смета</t>
        </is>
      </c>
      <c r="G1081" s="401" t="inlineStr">
        <is>
          <t>Урожайная 1</t>
        </is>
      </c>
      <c r="H1081" s="401" t="inlineStr"/>
      <c r="I1081" s="401" t="n">
        <v>0</v>
      </c>
      <c r="J1081" s="401" t="inlineStr"/>
      <c r="K1081" s="401" t="n">
        <v>0</v>
      </c>
      <c r="L1081" s="401" t="inlineStr">
        <is>
          <t>Новая локальная смета</t>
        </is>
      </c>
      <c r="M1081" s="401" t="inlineStr"/>
      <c r="N1081" s="401" t="n"/>
      <c r="O1081" s="401" t="n"/>
      <c r="P1081" s="401" t="n"/>
      <c r="Q1081" s="401" t="n"/>
      <c r="R1081" s="401" t="n"/>
      <c r="S1081" s="401" t="n">
        <v>0</v>
      </c>
      <c r="T1081" s="401" t="n"/>
      <c r="U1081" s="401" t="inlineStr"/>
      <c r="V1081" s="401" t="n">
        <v>0</v>
      </c>
      <c r="W1081" s="401" t="n"/>
      <c r="X1081" s="401" t="n"/>
      <c r="Y1081" s="401" t="n"/>
      <c r="Z1081" s="401" t="n"/>
      <c r="AA1081" s="401" t="n"/>
      <c r="AB1081" s="401" t="inlineStr"/>
      <c r="AC1081" s="401" t="inlineStr"/>
      <c r="AD1081" s="401" t="inlineStr"/>
      <c r="AE1081" s="401" t="inlineStr"/>
      <c r="AF1081" s="401" t="inlineStr"/>
      <c r="AG1081" s="401" t="inlineStr"/>
      <c r="AH1081" s="401" t="n"/>
      <c r="AI1081" s="401" t="n"/>
      <c r="AJ1081" s="401" t="n"/>
      <c r="AK1081" s="401" t="n"/>
      <c r="AL1081" s="401" t="n"/>
      <c r="AM1081" s="401" t="n"/>
      <c r="AN1081" s="401" t="n"/>
      <c r="AO1081" s="401" t="n"/>
      <c r="AP1081" s="401" t="inlineStr"/>
      <c r="AQ1081" s="401" t="inlineStr"/>
      <c r="AR1081" s="401" t="inlineStr"/>
      <c r="AS1081" s="401" t="n"/>
      <c r="AT1081" s="401" t="n"/>
      <c r="AU1081" s="401" t="n"/>
      <c r="AV1081" s="401" t="n"/>
      <c r="AW1081" s="401" t="n"/>
      <c r="AX1081" s="401" t="n"/>
      <c r="AY1081" s="401" t="n"/>
      <c r="AZ1081" s="401" t="inlineStr"/>
      <c r="BA1081" s="401" t="n"/>
      <c r="BB1081" s="401" t="inlineStr"/>
      <c r="BC1081" s="401" t="inlineStr"/>
      <c r="BD1081" s="401" t="inlineStr"/>
      <c r="BE1081" s="401" t="inlineStr"/>
      <c r="BF1081" s="401" t="inlineStr"/>
      <c r="BG1081" s="401" t="inlineStr"/>
      <c r="BH1081" s="401" t="inlineStr"/>
      <c r="BI1081" s="401" t="inlineStr"/>
      <c r="BJ1081" s="401" t="inlineStr"/>
      <c r="BK1081" s="401" t="inlineStr"/>
      <c r="BL1081" s="401" t="inlineStr"/>
      <c r="BM1081" s="401" t="inlineStr"/>
      <c r="BN1081" s="401" t="inlineStr"/>
      <c r="BO1081" s="401" t="inlineStr"/>
      <c r="BP1081" s="401" t="inlineStr"/>
      <c r="BQ1081" s="401" t="n"/>
      <c r="BR1081" s="401" t="n"/>
      <c r="BS1081" s="401" t="n"/>
      <c r="BT1081" s="401" t="n"/>
      <c r="BU1081" s="401" t="n"/>
      <c r="BV1081" s="401" t="n"/>
      <c r="BW1081" s="401" t="n"/>
      <c r="BX1081" s="401" t="n">
        <v>0</v>
      </c>
      <c r="BY1081" s="401" t="n"/>
      <c r="BZ1081" s="401" t="n"/>
      <c r="CA1081" s="401" t="n"/>
      <c r="CB1081" s="401" t="n"/>
      <c r="CC1081" s="401" t="n"/>
      <c r="CD1081" s="401" t="n"/>
      <c r="CE1081" s="401" t="n"/>
      <c r="CF1081" s="401" t="n">
        <v>0</v>
      </c>
      <c r="CG1081" s="401" t="n">
        <v>0</v>
      </c>
      <c r="CH1081" s="401" t="n"/>
      <c r="CI1081" s="401" t="inlineStr"/>
      <c r="CJ1081" s="401" t="inlineStr"/>
      <c r="CK1081" t="inlineStr"/>
      <c r="CL1081" t="inlineStr"/>
      <c r="CM1081" t="inlineStr"/>
      <c r="CN1081" t="inlineStr"/>
      <c r="CO1081" t="inlineStr"/>
      <c r="CP1081" t="inlineStr"/>
      <c r="CQ1081" t="inlineStr"/>
    </row>
    <row r="1082"/>
    <row r="1083">
      <c r="A1083" s="402" t="n">
        <v>52</v>
      </c>
      <c r="B1083" s="402">
        <f>B1088</f>
        <v/>
      </c>
      <c r="C1083" s="402">
        <f>C1088</f>
        <v/>
      </c>
      <c r="D1083" s="402">
        <f>D1088</f>
        <v/>
      </c>
      <c r="E1083" s="402">
        <f>E1088</f>
        <v/>
      </c>
      <c r="F1083" s="402">
        <f>F1088</f>
        <v/>
      </c>
      <c r="G1083" s="402">
        <f>G1088</f>
        <v/>
      </c>
      <c r="H1083" s="402" t="n"/>
      <c r="I1083" s="402" t="n"/>
      <c r="J1083" s="402" t="n"/>
      <c r="K1083" s="402" t="n"/>
      <c r="L1083" s="402" t="n"/>
      <c r="M1083" s="402" t="n"/>
      <c r="N1083" s="402" t="n"/>
      <c r="O1083" s="402">
        <f>O1088</f>
        <v/>
      </c>
      <c r="P1083" s="402">
        <f>P1088</f>
        <v/>
      </c>
      <c r="Q1083" s="402">
        <f>Q1088</f>
        <v/>
      </c>
      <c r="R1083" s="402">
        <f>R1088</f>
        <v/>
      </c>
      <c r="S1083" s="402">
        <f>S1088</f>
        <v/>
      </c>
      <c r="T1083" s="402">
        <f>T1088</f>
        <v/>
      </c>
      <c r="U1083" s="402">
        <f>U1088</f>
        <v/>
      </c>
      <c r="V1083" s="402">
        <f>V1088</f>
        <v/>
      </c>
      <c r="W1083" s="402">
        <f>W1088</f>
        <v/>
      </c>
      <c r="X1083" s="402">
        <f>X1088</f>
        <v/>
      </c>
      <c r="Y1083" s="402">
        <f>Y1088</f>
        <v/>
      </c>
      <c r="Z1083" s="402">
        <f>Z1088</f>
        <v/>
      </c>
      <c r="AA1083" s="402">
        <f>AA1088</f>
        <v/>
      </c>
      <c r="AB1083" s="402">
        <f>AB1088</f>
        <v/>
      </c>
      <c r="AC1083" s="402">
        <f>AC1088</f>
        <v/>
      </c>
      <c r="AD1083" s="402">
        <f>AD1088</f>
        <v/>
      </c>
      <c r="AE1083" s="402">
        <f>AE1088</f>
        <v/>
      </c>
      <c r="AF1083" s="402">
        <f>AF1088</f>
        <v/>
      </c>
      <c r="AG1083" s="402">
        <f>AG1088</f>
        <v/>
      </c>
      <c r="AH1083" s="402">
        <f>AH1088</f>
        <v/>
      </c>
      <c r="AI1083" s="402">
        <f>AI1088</f>
        <v/>
      </c>
      <c r="AJ1083" s="402">
        <f>AJ1088</f>
        <v/>
      </c>
      <c r="AK1083" s="402">
        <f>AK1088</f>
        <v/>
      </c>
      <c r="AL1083" s="402">
        <f>AL1088</f>
        <v/>
      </c>
      <c r="AM1083" s="402">
        <f>AM1088</f>
        <v/>
      </c>
      <c r="AN1083" s="402">
        <f>AN1088</f>
        <v/>
      </c>
      <c r="AO1083" s="402">
        <f>AO1088</f>
        <v/>
      </c>
      <c r="AP1083" s="402">
        <f>AP1088</f>
        <v/>
      </c>
      <c r="AQ1083" s="402">
        <f>AQ1088</f>
        <v/>
      </c>
      <c r="AR1083" s="402">
        <f>AR1088</f>
        <v/>
      </c>
      <c r="AS1083" s="402">
        <f>AS1088</f>
        <v/>
      </c>
      <c r="AT1083" s="402">
        <f>AT1088</f>
        <v/>
      </c>
      <c r="AU1083" s="402">
        <f>AU1088</f>
        <v/>
      </c>
      <c r="AV1083" s="402">
        <f>AV1088</f>
        <v/>
      </c>
      <c r="AW1083" s="402">
        <f>AW1088</f>
        <v/>
      </c>
      <c r="AX1083" s="402">
        <f>AX1088</f>
        <v/>
      </c>
      <c r="AY1083" s="402">
        <f>AY1088</f>
        <v/>
      </c>
      <c r="AZ1083" s="402">
        <f>AZ1088</f>
        <v/>
      </c>
      <c r="BA1083" s="402">
        <f>BA1088</f>
        <v/>
      </c>
      <c r="BB1083" s="402">
        <f>BB1088</f>
        <v/>
      </c>
      <c r="BC1083" s="402">
        <f>BC1088</f>
        <v/>
      </c>
      <c r="BD1083" s="402">
        <f>BD1088</f>
        <v/>
      </c>
      <c r="BE1083" s="402">
        <f>BE1088</f>
        <v/>
      </c>
      <c r="BF1083" s="402">
        <f>BF1088</f>
        <v/>
      </c>
      <c r="BG1083" s="402">
        <f>BG1088</f>
        <v/>
      </c>
      <c r="BH1083" s="402">
        <f>BH1088</f>
        <v/>
      </c>
      <c r="BI1083" s="402">
        <f>BI1088</f>
        <v/>
      </c>
      <c r="BJ1083" s="402">
        <f>BJ1088</f>
        <v/>
      </c>
      <c r="BK1083" s="402">
        <f>BK1088</f>
        <v/>
      </c>
      <c r="BL1083" s="402">
        <f>BL1088</f>
        <v/>
      </c>
      <c r="BM1083" s="402">
        <f>BM1088</f>
        <v/>
      </c>
      <c r="BN1083" s="402">
        <f>BN1088</f>
        <v/>
      </c>
      <c r="BO1083" s="402">
        <f>BO1088</f>
        <v/>
      </c>
      <c r="BP1083" s="402">
        <f>BP1088</f>
        <v/>
      </c>
      <c r="BQ1083" s="402">
        <f>BQ1088</f>
        <v/>
      </c>
      <c r="BR1083" s="402">
        <f>BR1088</f>
        <v/>
      </c>
      <c r="BS1083" s="402">
        <f>BS1088</f>
        <v/>
      </c>
      <c r="BT1083" s="402">
        <f>BT1088</f>
        <v/>
      </c>
      <c r="BU1083" s="402">
        <f>BU1088</f>
        <v/>
      </c>
      <c r="BV1083" s="402">
        <f>BV1088</f>
        <v/>
      </c>
      <c r="BW1083" s="402">
        <f>BW1088</f>
        <v/>
      </c>
      <c r="BX1083" s="402">
        <f>BX1088</f>
        <v/>
      </c>
      <c r="BY1083" s="402">
        <f>BY1088</f>
        <v/>
      </c>
      <c r="BZ1083" s="402">
        <f>BZ1088</f>
        <v/>
      </c>
      <c r="CA1083" s="402">
        <f>CA1088</f>
        <v/>
      </c>
      <c r="CB1083" s="402">
        <f>CB1088</f>
        <v/>
      </c>
      <c r="CC1083" s="402">
        <f>CC1088</f>
        <v/>
      </c>
      <c r="CD1083" s="402">
        <f>CD1088</f>
        <v/>
      </c>
      <c r="CE1083" s="402">
        <f>CE1088</f>
        <v/>
      </c>
      <c r="CF1083" s="402">
        <f>CF1088</f>
        <v/>
      </c>
      <c r="CG1083" s="402">
        <f>CG1088</f>
        <v/>
      </c>
      <c r="CH1083" s="402">
        <f>CH1088</f>
        <v/>
      </c>
      <c r="CI1083" s="402">
        <f>CI1088</f>
        <v/>
      </c>
      <c r="CJ1083" s="402">
        <f>CJ1088</f>
        <v/>
      </c>
      <c r="CK1083" s="402">
        <f>CK1088</f>
        <v/>
      </c>
      <c r="CL1083" s="402">
        <f>CL1088</f>
        <v/>
      </c>
      <c r="CM1083" s="402">
        <f>CM1088</f>
        <v/>
      </c>
      <c r="CN1083" s="402">
        <f>CN1088</f>
        <v/>
      </c>
      <c r="CO1083" s="402">
        <f>CO1088</f>
        <v/>
      </c>
      <c r="CP1083" s="402">
        <f>CP1088</f>
        <v/>
      </c>
      <c r="CQ1083" s="402">
        <f>CQ1088</f>
        <v/>
      </c>
      <c r="CR1083" s="402">
        <f>CR1088</f>
        <v/>
      </c>
      <c r="CS1083" s="402">
        <f>CS1088</f>
        <v/>
      </c>
      <c r="CT1083" s="402">
        <f>CT1088</f>
        <v/>
      </c>
      <c r="CU1083" s="402">
        <f>CU1088</f>
        <v/>
      </c>
      <c r="CV1083" s="402">
        <f>CV1088</f>
        <v/>
      </c>
      <c r="CW1083" s="402">
        <f>CW1088</f>
        <v/>
      </c>
      <c r="CX1083" s="402">
        <f>CX1088</f>
        <v/>
      </c>
      <c r="CY1083" s="402">
        <f>CY1088</f>
        <v/>
      </c>
      <c r="CZ1083" s="402">
        <f>CZ1088</f>
        <v/>
      </c>
      <c r="DA1083" s="402">
        <f>DA1088</f>
        <v/>
      </c>
      <c r="DB1083" s="402">
        <f>DB1088</f>
        <v/>
      </c>
      <c r="DC1083" s="402">
        <f>DC1088</f>
        <v/>
      </c>
      <c r="DD1083" s="402">
        <f>DD1088</f>
        <v/>
      </c>
      <c r="DE1083" s="402">
        <f>DE1088</f>
        <v/>
      </c>
      <c r="DF1083" s="402">
        <f>DF1088</f>
        <v/>
      </c>
      <c r="DG1083" s="403">
        <f>DG1088</f>
        <v/>
      </c>
      <c r="DH1083" s="403">
        <f>DH1088</f>
        <v/>
      </c>
      <c r="DI1083" s="403">
        <f>DI1088</f>
        <v/>
      </c>
      <c r="DJ1083" s="403">
        <f>DJ1088</f>
        <v/>
      </c>
      <c r="DK1083" s="403">
        <f>DK1088</f>
        <v/>
      </c>
      <c r="DL1083" s="403">
        <f>DL1088</f>
        <v/>
      </c>
      <c r="DM1083" s="403">
        <f>DM1088</f>
        <v/>
      </c>
      <c r="DN1083" s="403">
        <f>DN1088</f>
        <v/>
      </c>
      <c r="DO1083" s="403">
        <f>DO1088</f>
        <v/>
      </c>
      <c r="DP1083" s="403">
        <f>DP1088</f>
        <v/>
      </c>
      <c r="DQ1083" s="403">
        <f>DQ1088</f>
        <v/>
      </c>
      <c r="DR1083" s="403">
        <f>DR1088</f>
        <v/>
      </c>
      <c r="DS1083" s="403">
        <f>DS1088</f>
        <v/>
      </c>
      <c r="DT1083" s="403">
        <f>DT1088</f>
        <v/>
      </c>
      <c r="DU1083" s="403">
        <f>DU1088</f>
        <v/>
      </c>
      <c r="DV1083" s="403">
        <f>DV1088</f>
        <v/>
      </c>
      <c r="DW1083" s="403">
        <f>DW1088</f>
        <v/>
      </c>
      <c r="DX1083" s="403">
        <f>DX1088</f>
        <v/>
      </c>
      <c r="DY1083" s="403">
        <f>DY1088</f>
        <v/>
      </c>
      <c r="DZ1083" s="403">
        <f>DZ1088</f>
        <v/>
      </c>
      <c r="EA1083" s="403">
        <f>EA1088</f>
        <v/>
      </c>
      <c r="EB1083" s="403">
        <f>EB1088</f>
        <v/>
      </c>
      <c r="EC1083" s="403">
        <f>EC1088</f>
        <v/>
      </c>
      <c r="ED1083" s="403">
        <f>ED1088</f>
        <v/>
      </c>
      <c r="EE1083" s="403">
        <f>EE1088</f>
        <v/>
      </c>
      <c r="EF1083" s="403">
        <f>EF1088</f>
        <v/>
      </c>
      <c r="EG1083" s="403">
        <f>EG1088</f>
        <v/>
      </c>
      <c r="EH1083" s="403">
        <f>EH1088</f>
        <v/>
      </c>
      <c r="EI1083" s="403">
        <f>EI1088</f>
        <v/>
      </c>
      <c r="EJ1083" s="403">
        <f>EJ1088</f>
        <v/>
      </c>
      <c r="EK1083" s="403">
        <f>EK1088</f>
        <v/>
      </c>
      <c r="EL1083" s="403">
        <f>EL1088</f>
        <v/>
      </c>
      <c r="EM1083" s="403">
        <f>EM1088</f>
        <v/>
      </c>
      <c r="EN1083" s="403">
        <f>EN1088</f>
        <v/>
      </c>
      <c r="EO1083" s="403">
        <f>EO1088</f>
        <v/>
      </c>
      <c r="EP1083" s="403">
        <f>EP1088</f>
        <v/>
      </c>
      <c r="EQ1083" s="403">
        <f>EQ1088</f>
        <v/>
      </c>
      <c r="ER1083" s="403">
        <f>ER1088</f>
        <v/>
      </c>
      <c r="ES1083" s="403">
        <f>ES1088</f>
        <v/>
      </c>
      <c r="ET1083" s="403">
        <f>ET1088</f>
        <v/>
      </c>
      <c r="EU1083" s="403">
        <f>EU1088</f>
        <v/>
      </c>
      <c r="EV1083" s="403">
        <f>EV1088</f>
        <v/>
      </c>
      <c r="EW1083" s="403">
        <f>EW1088</f>
        <v/>
      </c>
      <c r="EX1083" s="403">
        <f>EX1088</f>
        <v/>
      </c>
      <c r="EY1083" s="403">
        <f>EY1088</f>
        <v/>
      </c>
      <c r="EZ1083" s="403">
        <f>EZ1088</f>
        <v/>
      </c>
      <c r="FA1083" s="403">
        <f>FA1088</f>
        <v/>
      </c>
      <c r="FB1083" s="403">
        <f>FB1088</f>
        <v/>
      </c>
      <c r="FC1083" s="403">
        <f>FC1088</f>
        <v/>
      </c>
      <c r="FD1083" s="403">
        <f>FD1088</f>
        <v/>
      </c>
      <c r="FE1083" s="403">
        <f>FE1088</f>
        <v/>
      </c>
      <c r="FF1083" s="403">
        <f>FF1088</f>
        <v/>
      </c>
      <c r="FG1083" s="403">
        <f>FG1088</f>
        <v/>
      </c>
      <c r="FH1083" s="403">
        <f>FH1088</f>
        <v/>
      </c>
      <c r="FI1083" s="403">
        <f>FI1088</f>
        <v/>
      </c>
      <c r="FJ1083" s="403">
        <f>FJ1088</f>
        <v/>
      </c>
      <c r="FK1083" s="403">
        <f>FK1088</f>
        <v/>
      </c>
      <c r="FL1083" s="403">
        <f>FL1088</f>
        <v/>
      </c>
      <c r="FM1083" s="403">
        <f>FM1088</f>
        <v/>
      </c>
      <c r="FN1083" s="403">
        <f>FN1088</f>
        <v/>
      </c>
      <c r="FO1083" s="403">
        <f>FO1088</f>
        <v/>
      </c>
      <c r="FP1083" s="403">
        <f>FP1088</f>
        <v/>
      </c>
      <c r="FQ1083" s="403">
        <f>FQ1088</f>
        <v/>
      </c>
      <c r="FR1083" s="403">
        <f>FR1088</f>
        <v/>
      </c>
      <c r="FS1083" s="403">
        <f>FS1088</f>
        <v/>
      </c>
      <c r="FT1083" s="403">
        <f>FT1088</f>
        <v/>
      </c>
      <c r="FU1083" s="403">
        <f>FU1088</f>
        <v/>
      </c>
      <c r="FV1083" s="403">
        <f>FV1088</f>
        <v/>
      </c>
      <c r="FW1083" s="403">
        <f>FW1088</f>
        <v/>
      </c>
      <c r="FX1083" s="403">
        <f>FX1088</f>
        <v/>
      </c>
      <c r="FY1083" s="403">
        <f>FY1088</f>
        <v/>
      </c>
      <c r="FZ1083" s="403">
        <f>FZ1088</f>
        <v/>
      </c>
      <c r="GA1083" s="403">
        <f>GA1088</f>
        <v/>
      </c>
      <c r="GB1083" s="403">
        <f>GB1088</f>
        <v/>
      </c>
      <c r="GC1083" s="403">
        <f>GC1088</f>
        <v/>
      </c>
      <c r="GD1083" s="403">
        <f>GD1088</f>
        <v/>
      </c>
      <c r="GE1083" s="403">
        <f>GE1088</f>
        <v/>
      </c>
      <c r="GF1083" s="403">
        <f>GF1088</f>
        <v/>
      </c>
      <c r="GG1083" s="403">
        <f>GG1088</f>
        <v/>
      </c>
      <c r="GH1083" s="403">
        <f>GH1088</f>
        <v/>
      </c>
      <c r="GI1083" s="403">
        <f>GI1088</f>
        <v/>
      </c>
      <c r="GJ1083" s="403">
        <f>GJ1088</f>
        <v/>
      </c>
      <c r="GK1083" s="403">
        <f>GK1088</f>
        <v/>
      </c>
      <c r="GL1083" s="403">
        <f>GL1088</f>
        <v/>
      </c>
      <c r="GM1083" s="403">
        <f>GM1088</f>
        <v/>
      </c>
      <c r="GN1083" s="403">
        <f>GN1088</f>
        <v/>
      </c>
      <c r="GO1083" s="403">
        <f>GO1088</f>
        <v/>
      </c>
      <c r="GP1083" s="403">
        <f>GP1088</f>
        <v/>
      </c>
      <c r="GQ1083" s="403">
        <f>GQ1088</f>
        <v/>
      </c>
      <c r="GR1083" s="403">
        <f>GR1088</f>
        <v/>
      </c>
      <c r="GS1083" s="403">
        <f>GS1088</f>
        <v/>
      </c>
      <c r="GT1083" s="403">
        <f>GT1088</f>
        <v/>
      </c>
      <c r="GU1083" s="403">
        <f>GU1088</f>
        <v/>
      </c>
      <c r="GV1083" s="403">
        <f>GV1088</f>
        <v/>
      </c>
      <c r="GW1083" s="403">
        <f>GW1088</f>
        <v/>
      </c>
      <c r="GX1083" s="403">
        <f>GX1088</f>
        <v/>
      </c>
    </row>
    <row r="1084"/>
    <row r="1085">
      <c r="A1085" t="n">
        <v>17</v>
      </c>
      <c r="B1085" t="n">
        <v>0</v>
      </c>
      <c r="E1085" t="inlineStr">
        <is>
          <t>1</t>
        </is>
      </c>
      <c r="F1085" t="inlineStr">
        <is>
          <t>509-1044</t>
        </is>
      </c>
      <c r="G1085" t="inlineStr">
        <is>
          <t>Хомут ремонтный</t>
        </is>
      </c>
      <c r="H1085" t="inlineStr">
        <is>
          <t>шт.</t>
        </is>
      </c>
      <c r="I1085">
        <f>ROUND(ROUND(1,4),7)</f>
        <v/>
      </c>
      <c r="J1085" t="n">
        <v>0</v>
      </c>
      <c r="K1085">
        <f>ROUND(ROUND(1,4),7)</f>
        <v/>
      </c>
      <c r="O1085">
        <f>ROUND(CP1085,0)</f>
        <v/>
      </c>
      <c r="P1085">
        <f>ROUND(CQ1085*I1085,0)</f>
        <v/>
      </c>
      <c r="Q1085">
        <f>(ROUND((ROUND(((ET1085)*I1085),0)*BB1085),0)+ROUND((ROUND(((AE1085-(EU1085))*I1085),0)*BS1085),0))</f>
        <v/>
      </c>
      <c r="R1085">
        <f>(ROUND((ROUND(((EU1085)*I1085),0)*BS1085),0)+ROUND((ROUND(((AE1085-(EU1085))*I1085),0)*BS1085),0))</f>
        <v/>
      </c>
      <c r="S1085">
        <f>ROUND(CT1085*I1085,0)</f>
        <v/>
      </c>
      <c r="T1085">
        <f>ROUND(CU1085*I1085,0)</f>
        <v/>
      </c>
      <c r="U1085">
        <f>ROUND(CV1085*I1085,7)</f>
        <v/>
      </c>
      <c r="V1085">
        <f>ROUND(CW1085*I1085,7)</f>
        <v/>
      </c>
      <c r="W1085">
        <f>ROUND(CX1085*I1085,0)</f>
        <v/>
      </c>
      <c r="X1085">
        <f>ROUND(CY1085,0)</f>
        <v/>
      </c>
      <c r="Y1085">
        <f>ROUND(CZ1085,0)</f>
        <v/>
      </c>
      <c r="AA1085" t="n">
        <v>78869116</v>
      </c>
      <c r="AB1085">
        <f>ROUND((AC1085+AD1085+AF1085),2)</f>
        <v/>
      </c>
      <c r="AC1085">
        <f>ROUND((ES1085),2)</f>
        <v/>
      </c>
      <c r="AD1085">
        <f>ROUND((((ET1085)-(EU1085))+AE1085),2)</f>
        <v/>
      </c>
      <c r="AE1085">
        <f>ROUND((EU1085),2)</f>
        <v/>
      </c>
      <c r="AF1085">
        <f>ROUND((EV1085),2)</f>
        <v/>
      </c>
      <c r="AG1085">
        <f>ROUND((AP1085),2)</f>
        <v/>
      </c>
      <c r="AH1085">
        <f>(EW1085)</f>
        <v/>
      </c>
      <c r="AI1085">
        <f>(EX1085)</f>
        <v/>
      </c>
      <c r="AJ1085">
        <f>(AS1085)</f>
        <v/>
      </c>
      <c r="AK1085" t="n">
        <v>82.05</v>
      </c>
      <c r="AL1085" t="n">
        <v>82.05</v>
      </c>
      <c r="AM1085" t="n">
        <v>0</v>
      </c>
      <c r="AN1085" t="n">
        <v>0</v>
      </c>
      <c r="AO1085" t="n">
        <v>0</v>
      </c>
      <c r="AP1085" t="n">
        <v>0</v>
      </c>
      <c r="AQ1085" t="n">
        <v>0</v>
      </c>
      <c r="AR1085" t="n">
        <v>0</v>
      </c>
      <c r="AS1085" t="n">
        <v>0.18</v>
      </c>
      <c r="AT1085" t="n">
        <v>0</v>
      </c>
      <c r="AU1085" t="n">
        <v>0</v>
      </c>
      <c r="AV1085" t="n">
        <v>1</v>
      </c>
      <c r="AW1085" t="n">
        <v>1</v>
      </c>
      <c r="AZ1085" t="n">
        <v>1</v>
      </c>
      <c r="BA1085" t="n">
        <v>1</v>
      </c>
      <c r="BB1085" t="n">
        <v>1</v>
      </c>
      <c r="BC1085" t="n">
        <v>4.57</v>
      </c>
      <c r="BD1085" t="inlineStr"/>
      <c r="BE1085" t="inlineStr"/>
      <c r="BF1085" t="inlineStr"/>
      <c r="BG1085" t="inlineStr"/>
      <c r="BH1085" t="n">
        <v>3</v>
      </c>
      <c r="BI1085" t="n">
        <v>2</v>
      </c>
      <c r="BJ1085" t="inlineStr">
        <is>
          <t>ТССЦ Московской обл., 509-1044, приказ Минстроя России №675/пр от 28.02.2017 № 258/пр</t>
        </is>
      </c>
      <c r="BM1085" t="n">
        <v>500002</v>
      </c>
      <c r="BN1085" t="n">
        <v>0</v>
      </c>
      <c r="BO1085" t="inlineStr">
        <is>
          <t>509-1044</t>
        </is>
      </c>
      <c r="BP1085" t="n">
        <v>1</v>
      </c>
      <c r="BQ1085" t="n">
        <v>12</v>
      </c>
      <c r="BR1085" t="n">
        <v>0</v>
      </c>
      <c r="BS1085" t="n">
        <v>1</v>
      </c>
      <c r="BT1085" t="n">
        <v>1</v>
      </c>
      <c r="BU1085" t="n">
        <v>1</v>
      </c>
      <c r="BV1085" t="n">
        <v>1</v>
      </c>
      <c r="BW1085" t="n">
        <v>1</v>
      </c>
      <c r="BX1085" t="n">
        <v>1</v>
      </c>
      <c r="BY1085" t="inlineStr"/>
      <c r="BZ1085" t="n">
        <v>0</v>
      </c>
      <c r="CA1085" t="n">
        <v>0</v>
      </c>
      <c r="CB1085" t="inlineStr"/>
      <c r="CE1085" t="n">
        <v>12</v>
      </c>
      <c r="CF1085" t="n">
        <v>0</v>
      </c>
      <c r="CG1085" t="n">
        <v>0</v>
      </c>
      <c r="CM1085" t="n">
        <v>0</v>
      </c>
      <c r="CN1085" t="inlineStr"/>
      <c r="CO1085" t="n">
        <v>0</v>
      </c>
      <c r="CP1085">
        <f>(P1085+Q1085+S1085)</f>
        <v/>
      </c>
      <c r="CQ1085">
        <f>AC1085*BC1085</f>
        <v/>
      </c>
      <c r="CR1085">
        <f>(ROUND((ROUND(((ET1085)*1),0)*BB1085),0)+ROUND((ROUND(((AE1085-(EU1085))*1),0)*BS1085),0))</f>
        <v/>
      </c>
      <c r="CS1085">
        <f>(ROUND((ROUND(((EU1085)*1),0)*BS1085),0)+ROUND((ROUND(((AE1085-(EU1085))*1),0)*BS1085),0))</f>
        <v/>
      </c>
      <c r="CT1085">
        <f>AF1085*BA1085</f>
        <v/>
      </c>
      <c r="CU1085">
        <f>AG1085</f>
        <v/>
      </c>
      <c r="CV1085">
        <f>AH1085</f>
        <v/>
      </c>
      <c r="CW1085">
        <f>AI1085</f>
        <v/>
      </c>
      <c r="CX1085">
        <f>AJ1085</f>
        <v/>
      </c>
      <c r="CY1085">
        <f>0</f>
        <v/>
      </c>
      <c r="CZ1085">
        <f>0</f>
        <v/>
      </c>
      <c r="DC1085" t="inlineStr"/>
      <c r="DD1085" t="inlineStr"/>
      <c r="DE1085" t="inlineStr"/>
      <c r="DF1085" t="inlineStr"/>
      <c r="DG1085" t="inlineStr"/>
      <c r="DH1085" t="inlineStr"/>
      <c r="DI1085" t="inlineStr"/>
      <c r="DJ1085" t="inlineStr"/>
      <c r="DK1085" t="inlineStr"/>
      <c r="DL1085" t="inlineStr"/>
      <c r="DM1085" t="inlineStr"/>
      <c r="DN1085" t="n">
        <v>0</v>
      </c>
      <c r="DO1085" t="n">
        <v>0</v>
      </c>
      <c r="DP1085" t="n">
        <v>1</v>
      </c>
      <c r="DQ1085" t="n">
        <v>1</v>
      </c>
      <c r="DU1085" t="n">
        <v>1010</v>
      </c>
      <c r="DV1085" t="inlineStr">
        <is>
          <t>шт.</t>
        </is>
      </c>
      <c r="DW1085" t="inlineStr">
        <is>
          <t>шт.</t>
        </is>
      </c>
      <c r="DX1085" t="n">
        <v>1</v>
      </c>
      <c r="DZ1085" t="inlineStr"/>
      <c r="EA1085" t="inlineStr"/>
      <c r="EB1085" t="inlineStr"/>
      <c r="EC1085" t="inlineStr"/>
      <c r="EE1085" t="n">
        <v>78725759</v>
      </c>
      <c r="EF1085" t="n">
        <v>12</v>
      </c>
      <c r="EG1085" t="inlineStr">
        <is>
          <t>Материалы монтажные</t>
        </is>
      </c>
      <c r="EH1085" t="n">
        <v>0</v>
      </c>
      <c r="EI1085" t="inlineStr"/>
      <c r="EJ1085" t="n">
        <v>2</v>
      </c>
      <c r="EK1085" t="n">
        <v>500002</v>
      </c>
      <c r="EL1085" t="inlineStr">
        <is>
          <t>Материалы и конструкции ( монтажные )  по ценникам и каталогам</t>
        </is>
      </c>
      <c r="EM1085" t="inlineStr">
        <is>
          <t>ФССЦм</t>
        </is>
      </c>
      <c r="EO1085" t="inlineStr"/>
      <c r="EQ1085" t="n">
        <v>0</v>
      </c>
      <c r="ER1085" t="n">
        <v>82.05</v>
      </c>
      <c r="ES1085" t="n">
        <v>82.05</v>
      </c>
      <c r="ET1085" t="n">
        <v>0</v>
      </c>
      <c r="EU1085" t="n">
        <v>0</v>
      </c>
      <c r="EV1085" t="n">
        <v>0</v>
      </c>
      <c r="EW1085" t="n">
        <v>0</v>
      </c>
      <c r="EX1085" t="n">
        <v>0</v>
      </c>
      <c r="EY1085" t="n">
        <v>0</v>
      </c>
      <c r="FQ1085" t="n">
        <v>0</v>
      </c>
      <c r="FR1085" t="n">
        <v>0</v>
      </c>
      <c r="FS1085" t="n">
        <v>0</v>
      </c>
      <c r="FX1085" t="n">
        <v>0</v>
      </c>
      <c r="FY1085" t="n">
        <v>0</v>
      </c>
      <c r="GA1085" t="inlineStr"/>
      <c r="GD1085" t="n">
        <v>1</v>
      </c>
      <c r="GF1085" t="n">
        <v>1690898704</v>
      </c>
      <c r="GG1085" t="n">
        <v>2</v>
      </c>
      <c r="GH1085" t="n">
        <v>1</v>
      </c>
      <c r="GI1085" t="n">
        <v>2</v>
      </c>
      <c r="GJ1085" t="n">
        <v>0</v>
      </c>
      <c r="GK1085" t="n">
        <v>0</v>
      </c>
      <c r="GL1085">
        <f>ROUND(IF(AND(BH1085=3,BI1085=3,FS1085&lt;&gt;0),P1085,0),0)</f>
        <v/>
      </c>
      <c r="GM1085">
        <f>ROUND(O1085+X1085+Y1085,0)+GX1085</f>
        <v/>
      </c>
      <c r="GN1085">
        <f>IF(OR(BI1085=0,BI1085=1),GM1085-GX1085,0)</f>
        <v/>
      </c>
      <c r="GO1085">
        <f>IF(BI1085=2,GM1085-GX1085,0)</f>
        <v/>
      </c>
      <c r="GP1085">
        <f>IF(BI1085=4,GM1085-GX1085,0)</f>
        <v/>
      </c>
      <c r="GR1085" t="n">
        <v>0</v>
      </c>
      <c r="GS1085" t="n">
        <v>3</v>
      </c>
      <c r="GT1085" t="n">
        <v>0</v>
      </c>
      <c r="GU1085" t="inlineStr"/>
      <c r="GV1085">
        <f>ROUND((GT1085),2)</f>
        <v/>
      </c>
      <c r="GW1085" t="n">
        <v>1</v>
      </c>
      <c r="GX1085">
        <f>ROUND(HC1085*I1085,0)</f>
        <v/>
      </c>
      <c r="HA1085" t="n">
        <v>0</v>
      </c>
      <c r="HB1085" t="n">
        <v>0</v>
      </c>
      <c r="HC1085">
        <f>GV1085*GW1085</f>
        <v/>
      </c>
      <c r="HE1085" t="inlineStr"/>
      <c r="HF1085" t="inlineStr"/>
      <c r="HM1085" t="inlineStr"/>
      <c r="HN1085" t="inlineStr"/>
      <c r="HO1085" t="inlineStr"/>
      <c r="HP1085" t="inlineStr"/>
      <c r="HQ1085" t="inlineStr"/>
      <c r="HS1085" t="n">
        <v>0</v>
      </c>
      <c r="IK1085" t="n">
        <v>0</v>
      </c>
    </row>
    <row r="1086">
      <c r="A1086" t="n">
        <v>17</v>
      </c>
      <c r="B1086" t="n">
        <v>0</v>
      </c>
      <c r="C1086">
        <f>ROW(SmtRes!A523)</f>
        <v/>
      </c>
      <c r="D1086">
        <f>ROW(EtalonRes!A479)</f>
        <v/>
      </c>
      <c r="E1086" t="inlineStr">
        <is>
          <t>2</t>
        </is>
      </c>
      <c r="F1086" t="inlineStr">
        <is>
          <t>16-07-005-1</t>
        </is>
      </c>
      <c r="G108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086" t="inlineStr">
        <is>
          <t>100 м трубопровода</t>
        </is>
      </c>
      <c r="I1086">
        <f>ROUND(ROUND(6/100,4),7)</f>
        <v/>
      </c>
      <c r="J1086" t="n">
        <v>0</v>
      </c>
      <c r="K1086">
        <f>ROUND(ROUND(6/100,4),7)</f>
        <v/>
      </c>
      <c r="O1086">
        <f>ROUND(CP1086,0)</f>
        <v/>
      </c>
      <c r="P1086">
        <f>ROUND(CQ1086*I1086,0)</f>
        <v/>
      </c>
      <c r="Q1086">
        <f>(ROUND((ROUND(((ET1086)*I1086),0)*BB1086),0)+ROUND((ROUND(((AE1086-(EU1086))*I1086),0)*BS1086),0))</f>
        <v/>
      </c>
      <c r="R1086">
        <f>(ROUND((ROUND(((EU1086)*I1086),0)*BS1086),0)+ROUND((ROUND(((AE1086-(EU1086))*I1086),0)*BS1086),0))</f>
        <v/>
      </c>
      <c r="S1086">
        <f>ROUND(CT1086*I1086,0)</f>
        <v/>
      </c>
      <c r="T1086">
        <f>ROUND(CU1086*I1086,0)</f>
        <v/>
      </c>
      <c r="U1086">
        <f>ROUND(CV1086*I1086,7)</f>
        <v/>
      </c>
      <c r="V1086">
        <f>ROUND(CW1086*I1086,7)</f>
        <v/>
      </c>
      <c r="W1086">
        <f>ROUND(CX1086*I1086,0)</f>
        <v/>
      </c>
      <c r="X1086">
        <f>ROUND(CY1086,0)</f>
        <v/>
      </c>
      <c r="Y1086">
        <f>ROUND(CZ1086,0)</f>
        <v/>
      </c>
      <c r="AA1086" t="n">
        <v>78869116</v>
      </c>
      <c r="AB1086">
        <f>ROUND((AC1086+AD1086+AF1086),2)</f>
        <v/>
      </c>
      <c r="AC1086">
        <f>ROUND((ES1086),2)</f>
        <v/>
      </c>
      <c r="AD1086">
        <f>ROUND((((ET1086)-(EU1086))+AE1086),2)</f>
        <v/>
      </c>
      <c r="AE1086">
        <f>ROUND((EU1086),2)</f>
        <v/>
      </c>
      <c r="AF1086">
        <f>ROUND((EV1086),2)</f>
        <v/>
      </c>
      <c r="AG1086">
        <f>ROUND((AP1086),2)</f>
        <v/>
      </c>
      <c r="AH1086">
        <f>(EW1086)</f>
        <v/>
      </c>
      <c r="AI1086">
        <f>(EX1086)</f>
        <v/>
      </c>
      <c r="AJ1086">
        <f>(AS1086)</f>
        <v/>
      </c>
      <c r="AK1086" t="n">
        <v>107.11</v>
      </c>
      <c r="AL1086" t="n">
        <v>4.28</v>
      </c>
      <c r="AM1086" t="n">
        <v>44.51</v>
      </c>
      <c r="AN1086" t="n">
        <v>0</v>
      </c>
      <c r="AO1086" t="n">
        <v>58.32</v>
      </c>
      <c r="AP1086" t="n">
        <v>0</v>
      </c>
      <c r="AQ1086" t="n">
        <v>5.01</v>
      </c>
      <c r="AR1086" t="n">
        <v>0</v>
      </c>
      <c r="AS1086" t="n">
        <v>0</v>
      </c>
      <c r="AT1086" t="n">
        <v>121</v>
      </c>
      <c r="AU1086" t="n">
        <v>72</v>
      </c>
      <c r="AV1086" t="n">
        <v>1</v>
      </c>
      <c r="AW1086" t="n">
        <v>1</v>
      </c>
      <c r="AZ1086" t="n">
        <v>1</v>
      </c>
      <c r="BA1086" t="n">
        <v>52.25</v>
      </c>
      <c r="BB1086" t="n">
        <v>5.97</v>
      </c>
      <c r="BC1086" t="n">
        <v>11.38</v>
      </c>
      <c r="BD1086" t="inlineStr"/>
      <c r="BE1086" t="inlineStr"/>
      <c r="BF1086" t="inlineStr"/>
      <c r="BG1086" t="inlineStr"/>
      <c r="BH1086" t="n">
        <v>0</v>
      </c>
      <c r="BI1086" t="n">
        <v>1</v>
      </c>
      <c r="BJ1086" t="inlineStr">
        <is>
          <t>ТЕР Московской обл., 16-07-005-1, приказ Минстроя России №675/пр от 28.02.2017 № 260/пр</t>
        </is>
      </c>
      <c r="BM1086" t="n">
        <v>16001</v>
      </c>
      <c r="BN1086" t="n">
        <v>0</v>
      </c>
      <c r="BO1086" t="inlineStr">
        <is>
          <t>16-07-005-1</t>
        </is>
      </c>
      <c r="BP1086" t="n">
        <v>1</v>
      </c>
      <c r="BQ1086" t="n">
        <v>2</v>
      </c>
      <c r="BR1086" t="n">
        <v>0</v>
      </c>
      <c r="BS1086" t="n">
        <v>52.25</v>
      </c>
      <c r="BT1086" t="n">
        <v>1</v>
      </c>
      <c r="BU1086" t="n">
        <v>1</v>
      </c>
      <c r="BV1086" t="n">
        <v>1</v>
      </c>
      <c r="BW1086" t="n">
        <v>1</v>
      </c>
      <c r="BX1086" t="n">
        <v>1</v>
      </c>
      <c r="BY1086" t="inlineStr"/>
      <c r="BZ1086" t="n">
        <v>121</v>
      </c>
      <c r="CA1086" t="n">
        <v>72</v>
      </c>
      <c r="CB1086" t="inlineStr"/>
      <c r="CE1086" t="n">
        <v>12</v>
      </c>
      <c r="CF1086" t="n">
        <v>0</v>
      </c>
      <c r="CG1086" t="n">
        <v>0</v>
      </c>
      <c r="CM1086" t="n">
        <v>0</v>
      </c>
      <c r="CN1086" t="inlineStr"/>
      <c r="CO1086" t="n">
        <v>0</v>
      </c>
      <c r="CP1086">
        <f>(P1086+Q1086+S1086)</f>
        <v/>
      </c>
      <c r="CQ1086">
        <f>AC1086*BC1086</f>
        <v/>
      </c>
      <c r="CR1086">
        <f>(ROUND((ROUND(((ET1086)*1),0)*BB1086),0)+ROUND((ROUND(((AE1086-(EU1086))*1),0)*BS1086),0))</f>
        <v/>
      </c>
      <c r="CS1086">
        <f>(ROUND((ROUND(((EU1086)*1),0)*BS1086),0)+ROUND((ROUND(((AE1086-(EU1086))*1),0)*BS1086),0))</f>
        <v/>
      </c>
      <c r="CT1086">
        <f>AF1086*BA1086</f>
        <v/>
      </c>
      <c r="CU1086">
        <f>AG1086</f>
        <v/>
      </c>
      <c r="CV1086">
        <f>AH1086</f>
        <v/>
      </c>
      <c r="CW1086">
        <f>AI1086</f>
        <v/>
      </c>
      <c r="CX1086">
        <f>AJ1086</f>
        <v/>
      </c>
      <c r="CY1086">
        <f>(((S1086+R1086)*AT1086)/100)</f>
        <v/>
      </c>
      <c r="CZ1086">
        <f>(((S1086+R1086)*AU1086)/100)</f>
        <v/>
      </c>
      <c r="DC1086" t="inlineStr"/>
      <c r="DD1086" t="inlineStr"/>
      <c r="DE1086" t="inlineStr"/>
      <c r="DF1086" t="inlineStr"/>
      <c r="DG1086" t="inlineStr"/>
      <c r="DH1086" t="inlineStr"/>
      <c r="DI1086" t="inlineStr"/>
      <c r="DJ1086" t="inlineStr"/>
      <c r="DK1086" t="inlineStr"/>
      <c r="DL1086" t="inlineStr"/>
      <c r="DM1086" t="inlineStr"/>
      <c r="DN1086" t="n">
        <v>0</v>
      </c>
      <c r="DO1086" t="n">
        <v>0</v>
      </c>
      <c r="DP1086" t="n">
        <v>1</v>
      </c>
      <c r="DQ1086" t="n">
        <v>1</v>
      </c>
      <c r="DU1086" t="n">
        <v>1013</v>
      </c>
      <c r="DV1086" t="inlineStr">
        <is>
          <t>100 м трубопровода</t>
        </is>
      </c>
      <c r="DW1086" t="inlineStr">
        <is>
          <t>100 м трубопровода</t>
        </is>
      </c>
      <c r="DX1086" t="n">
        <v>1</v>
      </c>
      <c r="DZ1086" t="inlineStr"/>
      <c r="EA1086" t="inlineStr"/>
      <c r="EB1086" t="inlineStr"/>
      <c r="EC1086" t="inlineStr"/>
      <c r="EE1086" t="n">
        <v>78725882</v>
      </c>
      <c r="EF1086" t="n">
        <v>2</v>
      </c>
      <c r="EG1086" t="inlineStr">
        <is>
          <t>Общестроительные работы</t>
        </is>
      </c>
      <c r="EH1086" t="n">
        <v>16</v>
      </c>
      <c r="EI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086" t="n">
        <v>1</v>
      </c>
      <c r="EK1086" t="n">
        <v>16001</v>
      </c>
      <c r="EL1086" t="inlineStr">
        <is>
          <t>Трубопроводы внутренние</t>
        </is>
      </c>
      <c r="EM1086" t="inlineStr">
        <is>
          <t>ФЕР-16</t>
        </is>
      </c>
      <c r="EO1086" t="inlineStr"/>
      <c r="EQ1086" t="n">
        <v>0</v>
      </c>
      <c r="ER1086" t="n">
        <v>107.11</v>
      </c>
      <c r="ES1086" t="n">
        <v>4.28</v>
      </c>
      <c r="ET1086" t="n">
        <v>44.51</v>
      </c>
      <c r="EU1086" t="n">
        <v>0</v>
      </c>
      <c r="EV1086" t="n">
        <v>58.32</v>
      </c>
      <c r="EW1086" t="n">
        <v>5.01</v>
      </c>
      <c r="EX1086" t="n">
        <v>0</v>
      </c>
      <c r="EY1086" t="n">
        <v>0</v>
      </c>
      <c r="FQ1086" t="n">
        <v>0</v>
      </c>
      <c r="FR1086" t="n">
        <v>0</v>
      </c>
      <c r="FS1086" t="n">
        <v>0</v>
      </c>
      <c r="FX1086" t="n">
        <v>121</v>
      </c>
      <c r="FY1086" t="n">
        <v>72</v>
      </c>
      <c r="GA1086" t="inlineStr"/>
      <c r="GD1086" t="n">
        <v>1</v>
      </c>
      <c r="GF1086" t="n">
        <v>635989612</v>
      </c>
      <c r="GG1086" t="n">
        <v>2</v>
      </c>
      <c r="GH1086" t="n">
        <v>1</v>
      </c>
      <c r="GI1086" t="n">
        <v>2</v>
      </c>
      <c r="GJ1086" t="n">
        <v>0</v>
      </c>
      <c r="GK1086" t="n">
        <v>0</v>
      </c>
      <c r="GL1086">
        <f>ROUND(IF(AND(BH1086=3,BI1086=3,FS1086&lt;&gt;0),P1086,0),0)</f>
        <v/>
      </c>
      <c r="GM1086">
        <f>ROUND(O1086+X1086+Y1086,0)+GX1086</f>
        <v/>
      </c>
      <c r="GN1086">
        <f>IF(OR(BI1086=0,BI1086=1),GM1086-GX1086,0)</f>
        <v/>
      </c>
      <c r="GO1086">
        <f>IF(BI1086=2,GM1086-GX1086,0)</f>
        <v/>
      </c>
      <c r="GP1086">
        <f>IF(BI1086=4,GM1086-GX1086,0)</f>
        <v/>
      </c>
      <c r="GR1086" t="n">
        <v>0</v>
      </c>
      <c r="GS1086" t="n">
        <v>3</v>
      </c>
      <c r="GT1086" t="n">
        <v>0</v>
      </c>
      <c r="GU1086" t="inlineStr"/>
      <c r="GV1086">
        <f>ROUND((GT1086),2)</f>
        <v/>
      </c>
      <c r="GW1086" t="n">
        <v>1</v>
      </c>
      <c r="GX1086">
        <f>ROUND(HC1086*I1086,0)</f>
        <v/>
      </c>
      <c r="HA1086" t="n">
        <v>0</v>
      </c>
      <c r="HB1086" t="n">
        <v>0</v>
      </c>
      <c r="HC1086">
        <f>GV1086*GW1086</f>
        <v/>
      </c>
      <c r="HE1086" t="inlineStr"/>
      <c r="HF1086" t="inlineStr"/>
      <c r="HM1086" t="inlineStr"/>
      <c r="HN1086" t="inlineStr">
        <is>
          <t>Пр/812-016.0-1</t>
        </is>
      </c>
      <c r="HO1086" t="inlineStr">
        <is>
          <t>Пр/774-016.0</t>
        </is>
      </c>
      <c r="HP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086" t="n">
        <v>0</v>
      </c>
      <c r="IK1086" t="n">
        <v>0</v>
      </c>
    </row>
    <row r="1087"/>
    <row r="1088">
      <c r="A1088" s="402" t="n">
        <v>51</v>
      </c>
      <c r="B1088" s="402">
        <f>B1081</f>
        <v/>
      </c>
      <c r="C1088" s="402">
        <f>A1081</f>
        <v/>
      </c>
      <c r="D1088" s="402">
        <f>ROW(A1081)</f>
        <v/>
      </c>
      <c r="E1088" s="402" t="n"/>
      <c r="F1088" s="402">
        <f>IF(F1081&lt;&gt;"",F1081,"")</f>
        <v/>
      </c>
      <c r="G1088" s="402">
        <f>IF(G1081&lt;&gt;"",G1081,"")</f>
        <v/>
      </c>
      <c r="H1088" s="402" t="n">
        <v>0</v>
      </c>
      <c r="I1088" s="402" t="n"/>
      <c r="J1088" s="402" t="n"/>
      <c r="K1088" s="402" t="n"/>
      <c r="L1088" s="402" t="n"/>
      <c r="M1088" s="402" t="n"/>
      <c r="N1088" s="402" t="n"/>
      <c r="O1088" s="402" t="n">
        <v>0</v>
      </c>
      <c r="P1088" s="402" t="n">
        <v>0</v>
      </c>
      <c r="Q1088" s="402" t="n">
        <v>0</v>
      </c>
      <c r="R1088" s="402" t="n">
        <v>0</v>
      </c>
      <c r="S1088" s="402" t="n">
        <v>0</v>
      </c>
      <c r="T1088" s="402" t="n">
        <v>0</v>
      </c>
      <c r="U1088" s="402" t="n">
        <v>0</v>
      </c>
      <c r="V1088" s="402" t="n">
        <v>0</v>
      </c>
      <c r="W1088" s="402" t="n">
        <v>0</v>
      </c>
      <c r="X1088" s="402" t="n">
        <v>0</v>
      </c>
      <c r="Y1088" s="402" t="n">
        <v>0</v>
      </c>
      <c r="Z1088" s="402" t="n"/>
      <c r="AA1088" s="402" t="n"/>
      <c r="AB1088" s="402" t="n"/>
      <c r="AC1088" s="402" t="n"/>
      <c r="AD1088" s="402" t="n"/>
      <c r="AE1088" s="402" t="n"/>
      <c r="AF1088" s="402" t="n"/>
      <c r="AG1088" s="402" t="n"/>
      <c r="AH1088" s="402" t="n"/>
      <c r="AI1088" s="402" t="n"/>
      <c r="AJ1088" s="402" t="n"/>
      <c r="AK1088" s="402" t="n"/>
      <c r="AL1088" s="402" t="n"/>
      <c r="AM1088" s="402" t="n"/>
      <c r="AN1088" s="402" t="n"/>
      <c r="AO1088" s="402">
        <f>ROUND(BX1088,0)</f>
        <v/>
      </c>
      <c r="AP1088" s="402">
        <f>ROUND(BY1088,0)</f>
        <v/>
      </c>
      <c r="AQ1088" s="402">
        <f>ROUND(BZ1088,0)</f>
        <v/>
      </c>
      <c r="AR1088" s="402">
        <f>ROUND(CA1088,0)</f>
        <v/>
      </c>
      <c r="AS1088" s="402">
        <f>ROUND(CB1088,0)</f>
        <v/>
      </c>
      <c r="AT1088" s="402">
        <f>ROUND(CC1088,0)</f>
        <v/>
      </c>
      <c r="AU1088" s="402">
        <f>ROUND(CD1088,0)</f>
        <v/>
      </c>
      <c r="AV1088" s="402">
        <f>ROUND(CE1088,0)</f>
        <v/>
      </c>
      <c r="AW1088" s="402">
        <f>ROUND(CF1088,0)</f>
        <v/>
      </c>
      <c r="AX1088" s="402">
        <f>ROUND(CG1088,0)</f>
        <v/>
      </c>
      <c r="AY1088" s="402">
        <f>ROUND(CH1088,0)</f>
        <v/>
      </c>
      <c r="AZ1088" s="402">
        <f>ROUND(CI1088,0)</f>
        <v/>
      </c>
      <c r="BA1088" s="402">
        <f>ROUND(CJ1088,0)</f>
        <v/>
      </c>
      <c r="BB1088" s="402">
        <f>ROUND(CK1088,0)</f>
        <v/>
      </c>
      <c r="BC1088" s="402">
        <f>ROUND(CL1088,0)</f>
        <v/>
      </c>
      <c r="BD1088" s="402">
        <f>ROUND(CM1088,0)</f>
        <v/>
      </c>
      <c r="BE1088" s="402" t="n"/>
      <c r="BF1088" s="402" t="n"/>
      <c r="BG1088" s="402" t="n"/>
      <c r="BH1088" s="402" t="n"/>
      <c r="BI1088" s="402" t="n"/>
      <c r="BJ1088" s="402" t="n"/>
      <c r="BK1088" s="402" t="n"/>
      <c r="BL1088" s="402" t="n"/>
      <c r="BM1088" s="402" t="n"/>
      <c r="BN1088" s="402" t="n"/>
      <c r="BO1088" s="402" t="n"/>
      <c r="BP1088" s="402" t="n"/>
      <c r="BQ1088" s="402" t="n"/>
      <c r="BR1088" s="402" t="n"/>
      <c r="BS1088" s="402" t="n"/>
      <c r="BT1088" s="402" t="n"/>
      <c r="BU1088" s="402" t="n"/>
      <c r="BV1088" s="402" t="n"/>
      <c r="BW1088" s="402" t="n"/>
      <c r="BX1088" s="402" t="n"/>
      <c r="BY1088" s="402" t="n"/>
      <c r="BZ1088" s="402" t="n"/>
      <c r="CA1088" s="402" t="n"/>
      <c r="CB1088" s="402" t="n"/>
      <c r="CC1088" s="402" t="n"/>
      <c r="CD1088" s="402" t="n"/>
      <c r="CE1088" s="402" t="n"/>
      <c r="CF1088" s="402" t="n"/>
      <c r="CG1088" s="402" t="n"/>
      <c r="CH1088" s="402" t="n"/>
      <c r="CI1088" s="402" t="n"/>
      <c r="CJ1088" s="402" t="n"/>
      <c r="CK1088" s="402" t="n"/>
      <c r="CL1088" s="402" t="n"/>
      <c r="CM1088" s="402" t="n"/>
      <c r="CN1088" s="402" t="n"/>
      <c r="CO1088" s="402" t="n"/>
      <c r="CP1088" s="402" t="n"/>
      <c r="CQ1088" s="402" t="n"/>
      <c r="CR1088" s="402" t="n"/>
      <c r="CS1088" s="402" t="n"/>
      <c r="CT1088" s="402" t="n"/>
      <c r="CU1088" s="402" t="n"/>
      <c r="CV1088" s="402" t="n"/>
      <c r="CW1088" s="402" t="n"/>
      <c r="CX1088" s="402" t="n"/>
      <c r="CY1088" s="402" t="n"/>
      <c r="CZ1088" s="402" t="n"/>
      <c r="DA1088" s="402" t="n"/>
      <c r="DB1088" s="402" t="n"/>
      <c r="DC1088" s="402" t="n"/>
      <c r="DD1088" s="402" t="n"/>
      <c r="DE1088" s="402" t="n"/>
      <c r="DF1088" s="402" t="n"/>
      <c r="DG1088" s="403" t="n"/>
      <c r="DH1088" s="403" t="n"/>
      <c r="DI1088" s="403" t="n"/>
      <c r="DJ1088" s="403" t="n"/>
      <c r="DK1088" s="403" t="n"/>
      <c r="DL1088" s="403" t="n"/>
      <c r="DM1088" s="403" t="n"/>
      <c r="DN1088" s="403" t="n"/>
      <c r="DO1088" s="403" t="n"/>
      <c r="DP1088" s="403" t="n"/>
      <c r="DQ1088" s="403" t="n"/>
      <c r="DR1088" s="403" t="n"/>
      <c r="DS1088" s="403" t="n"/>
      <c r="DT1088" s="403" t="n"/>
      <c r="DU1088" s="403" t="n"/>
      <c r="DV1088" s="403" t="n"/>
      <c r="DW1088" s="403" t="n"/>
      <c r="DX1088" s="403" t="n"/>
      <c r="DY1088" s="403" t="n"/>
      <c r="DZ1088" s="403" t="n"/>
      <c r="EA1088" s="403" t="n"/>
      <c r="EB1088" s="403" t="n"/>
      <c r="EC1088" s="403" t="n"/>
      <c r="ED1088" s="403" t="n"/>
      <c r="EE1088" s="403" t="n"/>
      <c r="EF1088" s="403" t="n"/>
      <c r="EG1088" s="403" t="n"/>
      <c r="EH1088" s="403" t="n"/>
      <c r="EI1088" s="403" t="n"/>
      <c r="EJ1088" s="403" t="n"/>
      <c r="EK1088" s="403" t="n"/>
      <c r="EL1088" s="403" t="n"/>
      <c r="EM1088" s="403" t="n"/>
      <c r="EN1088" s="403" t="n"/>
      <c r="EO1088" s="403" t="n"/>
      <c r="EP1088" s="403" t="n"/>
      <c r="EQ1088" s="403" t="n"/>
      <c r="ER1088" s="403" t="n"/>
      <c r="ES1088" s="403" t="n"/>
      <c r="ET1088" s="403" t="n"/>
      <c r="EU1088" s="403" t="n"/>
      <c r="EV1088" s="403" t="n"/>
      <c r="EW1088" s="403" t="n"/>
      <c r="EX1088" s="403" t="n"/>
      <c r="EY1088" s="403" t="n"/>
      <c r="EZ1088" s="403" t="n"/>
      <c r="FA1088" s="403" t="n"/>
      <c r="FB1088" s="403" t="n"/>
      <c r="FC1088" s="403" t="n"/>
      <c r="FD1088" s="403" t="n"/>
      <c r="FE1088" s="403" t="n"/>
      <c r="FF1088" s="403" t="n"/>
      <c r="FG1088" s="403" t="n"/>
      <c r="FH1088" s="403" t="n"/>
      <c r="FI1088" s="403" t="n"/>
      <c r="FJ1088" s="403" t="n"/>
      <c r="FK1088" s="403" t="n"/>
      <c r="FL1088" s="403" t="n"/>
      <c r="FM1088" s="403" t="n"/>
      <c r="FN1088" s="403" t="n"/>
      <c r="FO1088" s="403" t="n"/>
      <c r="FP1088" s="403" t="n"/>
      <c r="FQ1088" s="403" t="n"/>
      <c r="FR1088" s="403" t="n"/>
      <c r="FS1088" s="403" t="n"/>
      <c r="FT1088" s="403" t="n"/>
      <c r="FU1088" s="403" t="n"/>
      <c r="FV1088" s="403" t="n"/>
      <c r="FW1088" s="403" t="n"/>
      <c r="FX1088" s="403" t="n"/>
      <c r="FY1088" s="403" t="n"/>
      <c r="FZ1088" s="403" t="n"/>
      <c r="GA1088" s="403" t="n"/>
      <c r="GB1088" s="403" t="n"/>
      <c r="GC1088" s="403" t="n"/>
      <c r="GD1088" s="403" t="n"/>
      <c r="GE1088" s="403" t="n"/>
      <c r="GF1088" s="403" t="n"/>
      <c r="GG1088" s="403" t="n"/>
      <c r="GH1088" s="403" t="n"/>
      <c r="GI1088" s="403" t="n"/>
      <c r="GJ1088" s="403" t="n"/>
      <c r="GK1088" s="403" t="n"/>
      <c r="GL1088" s="403" t="n"/>
      <c r="GM1088" s="403" t="n"/>
      <c r="GN1088" s="403" t="n"/>
      <c r="GO1088" s="403" t="n"/>
      <c r="GP1088" s="403" t="n"/>
      <c r="GQ1088" s="403" t="n"/>
      <c r="GR1088" s="403" t="n"/>
      <c r="GS1088" s="403" t="n"/>
      <c r="GT1088" s="403" t="n"/>
      <c r="GU1088" s="403" t="n"/>
      <c r="GV1088" s="403" t="n"/>
      <c r="GW1088" s="403" t="n"/>
      <c r="GX1088" s="403" t="n">
        <v>0</v>
      </c>
    </row>
    <row r="1089"/>
    <row r="1090">
      <c r="A1090" s="404" t="n">
        <v>50</v>
      </c>
      <c r="B1090" s="404" t="n">
        <v>0</v>
      </c>
      <c r="C1090" s="404" t="n">
        <v>0</v>
      </c>
      <c r="D1090" s="404" t="n">
        <v>1</v>
      </c>
      <c r="E1090" s="404" t="n">
        <v>201</v>
      </c>
      <c r="F1090" s="404">
        <f>ROUND(Source!O1088,O1090)</f>
        <v/>
      </c>
      <c r="G1090" s="404" t="inlineStr">
        <is>
          <t>ПЗ</t>
        </is>
      </c>
      <c r="H1090" s="404" t="inlineStr">
        <is>
          <t>Прямые затраты</t>
        </is>
      </c>
      <c r="I1090" s="404" t="n"/>
      <c r="J1090" s="404" t="n"/>
      <c r="K1090" s="404" t="n">
        <v>201</v>
      </c>
      <c r="L1090" s="404" t="n">
        <v>1</v>
      </c>
      <c r="M1090" s="404" t="n">
        <v>3</v>
      </c>
      <c r="N1090" s="404" t="inlineStr"/>
      <c r="O1090" s="404" t="n">
        <v>0</v>
      </c>
      <c r="P1090" s="404" t="n"/>
      <c r="Q1090" s="404" t="n"/>
      <c r="R1090" s="404" t="n"/>
      <c r="S1090" s="404" t="n"/>
      <c r="T1090" s="404" t="n"/>
      <c r="U1090" s="404" t="n"/>
      <c r="V1090" s="404" t="n"/>
      <c r="W1090" s="404" t="n">
        <v>0</v>
      </c>
      <c r="X1090" s="404" t="n">
        <v>1</v>
      </c>
      <c r="Y1090" s="404" t="n">
        <v>0</v>
      </c>
      <c r="Z1090" s="404" t="n"/>
      <c r="AA1090" s="404" t="n"/>
      <c r="AB1090" s="404" t="n"/>
    </row>
    <row r="1091">
      <c r="A1091" s="404" t="n">
        <v>50</v>
      </c>
      <c r="B1091" s="404" t="n">
        <v>0</v>
      </c>
      <c r="C1091" s="404" t="n">
        <v>0</v>
      </c>
      <c r="D1091" s="404" t="n">
        <v>1</v>
      </c>
      <c r="E1091" s="404" t="n">
        <v>202</v>
      </c>
      <c r="F1091" s="404">
        <f>ROUND(Source!P1088,O1091)</f>
        <v/>
      </c>
      <c r="G1091" s="404" t="inlineStr">
        <is>
          <t>СтМатОб</t>
        </is>
      </c>
      <c r="H1091" s="404" t="inlineStr">
        <is>
          <t>Стоимость материальных ресурсов (всего)</t>
        </is>
      </c>
      <c r="I1091" s="404" t="n"/>
      <c r="J1091" s="404" t="n"/>
      <c r="K1091" s="404" t="n">
        <v>202</v>
      </c>
      <c r="L1091" s="404" t="n">
        <v>2</v>
      </c>
      <c r="M1091" s="404" t="n">
        <v>3</v>
      </c>
      <c r="N1091" s="404" t="inlineStr"/>
      <c r="O1091" s="404" t="n">
        <v>0</v>
      </c>
      <c r="P1091" s="404" t="n"/>
      <c r="Q1091" s="404" t="n"/>
      <c r="R1091" s="404" t="n"/>
      <c r="S1091" s="404" t="n"/>
      <c r="T1091" s="404" t="n"/>
      <c r="U1091" s="404" t="n"/>
      <c r="V1091" s="404" t="n"/>
      <c r="W1091" s="404" t="n">
        <v>0</v>
      </c>
      <c r="X1091" s="404" t="n">
        <v>1</v>
      </c>
      <c r="Y1091" s="404" t="n">
        <v>0</v>
      </c>
      <c r="Z1091" s="404" t="n"/>
      <c r="AA1091" s="404" t="n"/>
      <c r="AB1091" s="404" t="n"/>
    </row>
    <row r="1092">
      <c r="A1092" s="404" t="n">
        <v>50</v>
      </c>
      <c r="B1092" s="404" t="n">
        <v>0</v>
      </c>
      <c r="C1092" s="404" t="n">
        <v>0</v>
      </c>
      <c r="D1092" s="404" t="n">
        <v>1</v>
      </c>
      <c r="E1092" s="404" t="n">
        <v>222</v>
      </c>
      <c r="F1092" s="404">
        <f>ROUND(Source!AO1088,O1092)</f>
        <v/>
      </c>
      <c r="G1092" s="404" t="inlineStr">
        <is>
          <t>СтМатОбЗак</t>
        </is>
      </c>
      <c r="H1092" s="404" t="inlineStr">
        <is>
          <t>Стоимость материалов и оборудования заказчика</t>
        </is>
      </c>
      <c r="I1092" s="404" t="n"/>
      <c r="J1092" s="404" t="n"/>
      <c r="K1092" s="404" t="n">
        <v>222</v>
      </c>
      <c r="L1092" s="404" t="n">
        <v>3</v>
      </c>
      <c r="M1092" s="404" t="n">
        <v>3</v>
      </c>
      <c r="N1092" s="404" t="inlineStr"/>
      <c r="O1092" s="404" t="n">
        <v>0</v>
      </c>
      <c r="P1092" s="404" t="n"/>
      <c r="Q1092" s="404" t="n"/>
      <c r="R1092" s="404" t="n"/>
      <c r="S1092" s="404" t="n"/>
      <c r="T1092" s="404" t="n"/>
      <c r="U1092" s="404" t="n"/>
      <c r="V1092" s="404" t="n"/>
      <c r="W1092" s="404" t="n">
        <v>0</v>
      </c>
      <c r="X1092" s="404" t="n">
        <v>1</v>
      </c>
      <c r="Y1092" s="404" t="n">
        <v>0</v>
      </c>
      <c r="Z1092" s="404" t="n"/>
      <c r="AA1092" s="404" t="n"/>
      <c r="AB1092" s="404" t="n"/>
    </row>
    <row r="1093">
      <c r="A1093" s="404" t="n">
        <v>50</v>
      </c>
      <c r="B1093" s="404" t="n">
        <v>0</v>
      </c>
      <c r="C1093" s="404" t="n">
        <v>0</v>
      </c>
      <c r="D1093" s="404" t="n">
        <v>1</v>
      </c>
      <c r="E1093" s="404" t="n">
        <v>225</v>
      </c>
      <c r="F1093" s="404">
        <f>ROUND(Source!AV1088,O1093)</f>
        <v/>
      </c>
      <c r="G1093" s="404" t="inlineStr">
        <is>
          <t>СтМатОбПод</t>
        </is>
      </c>
      <c r="H1093" s="404" t="inlineStr">
        <is>
          <t>Стоимость материалов и оборудования подрядчика</t>
        </is>
      </c>
      <c r="I1093" s="404" t="n"/>
      <c r="J1093" s="404" t="n"/>
      <c r="K1093" s="404" t="n">
        <v>225</v>
      </c>
      <c r="L1093" s="404" t="n">
        <v>4</v>
      </c>
      <c r="M1093" s="404" t="n">
        <v>3</v>
      </c>
      <c r="N1093" s="404" t="inlineStr"/>
      <c r="O1093" s="404" t="n">
        <v>0</v>
      </c>
      <c r="P1093" s="404" t="n"/>
      <c r="Q1093" s="404" t="n"/>
      <c r="R1093" s="404" t="n"/>
      <c r="S1093" s="404" t="n"/>
      <c r="T1093" s="404" t="n"/>
      <c r="U1093" s="404" t="n"/>
      <c r="V1093" s="404" t="n"/>
      <c r="W1093" s="404" t="n">
        <v>0</v>
      </c>
      <c r="X1093" s="404" t="n">
        <v>1</v>
      </c>
      <c r="Y1093" s="404" t="n">
        <v>0</v>
      </c>
      <c r="Z1093" s="404" t="n"/>
      <c r="AA1093" s="404" t="n"/>
      <c r="AB1093" s="404" t="n"/>
    </row>
    <row r="1094">
      <c r="A1094" s="404" t="n">
        <v>50</v>
      </c>
      <c r="B1094" s="404" t="n">
        <v>0</v>
      </c>
      <c r="C1094" s="404" t="n">
        <v>0</v>
      </c>
      <c r="D1094" s="404" t="n">
        <v>1</v>
      </c>
      <c r="E1094" s="404" t="n">
        <v>226</v>
      </c>
      <c r="F1094" s="404">
        <f>ROUND(Source!AW1088,O1094)</f>
        <v/>
      </c>
      <c r="G1094" s="404" t="inlineStr">
        <is>
          <t>СтМат</t>
        </is>
      </c>
      <c r="H1094" s="404" t="inlineStr">
        <is>
          <t>Стоимость материалов (всего)</t>
        </is>
      </c>
      <c r="I1094" s="404" t="n"/>
      <c r="J1094" s="404" t="n"/>
      <c r="K1094" s="404" t="n">
        <v>226</v>
      </c>
      <c r="L1094" s="404" t="n">
        <v>5</v>
      </c>
      <c r="M1094" s="404" t="n">
        <v>3</v>
      </c>
      <c r="N1094" s="404" t="inlineStr"/>
      <c r="O1094" s="404" t="n">
        <v>0</v>
      </c>
      <c r="P1094" s="404" t="n"/>
      <c r="Q1094" s="404" t="n"/>
      <c r="R1094" s="404" t="n"/>
      <c r="S1094" s="404" t="n"/>
      <c r="T1094" s="404" t="n"/>
      <c r="U1094" s="404" t="n"/>
      <c r="V1094" s="404" t="n"/>
      <c r="W1094" s="404" t="n">
        <v>0</v>
      </c>
      <c r="X1094" s="404" t="n">
        <v>1</v>
      </c>
      <c r="Y1094" s="404" t="n">
        <v>0</v>
      </c>
      <c r="Z1094" s="404" t="n"/>
      <c r="AA1094" s="404" t="n"/>
      <c r="AB1094" s="404" t="n"/>
    </row>
    <row r="1095">
      <c r="A1095" s="404" t="n">
        <v>50</v>
      </c>
      <c r="B1095" s="404" t="n">
        <v>0</v>
      </c>
      <c r="C1095" s="404" t="n">
        <v>0</v>
      </c>
      <c r="D1095" s="404" t="n">
        <v>1</v>
      </c>
      <c r="E1095" s="404" t="n">
        <v>227</v>
      </c>
      <c r="F1095" s="404">
        <f>ROUND(Source!AX1088,O1095)</f>
        <v/>
      </c>
      <c r="G1095" s="404" t="inlineStr">
        <is>
          <t>СтМатЗак</t>
        </is>
      </c>
      <c r="H1095" s="404" t="inlineStr">
        <is>
          <t>Стоимость материалов заказчика</t>
        </is>
      </c>
      <c r="I1095" s="404" t="n"/>
      <c r="J1095" s="404" t="n"/>
      <c r="K1095" s="404" t="n">
        <v>227</v>
      </c>
      <c r="L1095" s="404" t="n">
        <v>6</v>
      </c>
      <c r="M1095" s="404" t="n">
        <v>3</v>
      </c>
      <c r="N1095" s="404" t="inlineStr"/>
      <c r="O1095" s="404" t="n">
        <v>0</v>
      </c>
      <c r="P1095" s="404" t="n"/>
      <c r="Q1095" s="404" t="n"/>
      <c r="R1095" s="404" t="n"/>
      <c r="S1095" s="404" t="n"/>
      <c r="T1095" s="404" t="n"/>
      <c r="U1095" s="404" t="n"/>
      <c r="V1095" s="404" t="n"/>
      <c r="W1095" s="404" t="n">
        <v>0</v>
      </c>
      <c r="X1095" s="404" t="n">
        <v>1</v>
      </c>
      <c r="Y1095" s="404" t="n">
        <v>0</v>
      </c>
      <c r="Z1095" s="404" t="n"/>
      <c r="AA1095" s="404" t="n"/>
      <c r="AB1095" s="404" t="n"/>
    </row>
    <row r="1096">
      <c r="A1096" s="404" t="n">
        <v>50</v>
      </c>
      <c r="B1096" s="404" t="n">
        <v>0</v>
      </c>
      <c r="C1096" s="404" t="n">
        <v>0</v>
      </c>
      <c r="D1096" s="404" t="n">
        <v>1</v>
      </c>
      <c r="E1096" s="404" t="n">
        <v>228</v>
      </c>
      <c r="F1096" s="404">
        <f>ROUND(Source!AY1088,O1096)</f>
        <v/>
      </c>
      <c r="G1096" s="404" t="inlineStr">
        <is>
          <t>СтМатПод</t>
        </is>
      </c>
      <c r="H1096" s="404" t="inlineStr">
        <is>
          <t>Стоимость материалов подрядчика</t>
        </is>
      </c>
      <c r="I1096" s="404" t="n"/>
      <c r="J1096" s="404" t="n"/>
      <c r="K1096" s="404" t="n">
        <v>228</v>
      </c>
      <c r="L1096" s="404" t="n">
        <v>7</v>
      </c>
      <c r="M1096" s="404" t="n">
        <v>3</v>
      </c>
      <c r="N1096" s="404" t="inlineStr"/>
      <c r="O1096" s="404" t="n">
        <v>0</v>
      </c>
      <c r="P1096" s="404" t="n"/>
      <c r="Q1096" s="404" t="n"/>
      <c r="R1096" s="404" t="n"/>
      <c r="S1096" s="404" t="n"/>
      <c r="T1096" s="404" t="n"/>
      <c r="U1096" s="404" t="n"/>
      <c r="V1096" s="404" t="n"/>
      <c r="W1096" s="404" t="n">
        <v>0</v>
      </c>
      <c r="X1096" s="404" t="n">
        <v>1</v>
      </c>
      <c r="Y1096" s="404" t="n">
        <v>0</v>
      </c>
      <c r="Z1096" s="404" t="n"/>
      <c r="AA1096" s="404" t="n"/>
      <c r="AB1096" s="404" t="n"/>
    </row>
    <row r="1097">
      <c r="A1097" s="404" t="n">
        <v>50</v>
      </c>
      <c r="B1097" s="404" t="n">
        <v>0</v>
      </c>
      <c r="C1097" s="404" t="n">
        <v>0</v>
      </c>
      <c r="D1097" s="404" t="n">
        <v>1</v>
      </c>
      <c r="E1097" s="404" t="n">
        <v>216</v>
      </c>
      <c r="F1097" s="404">
        <f>ROUND(Source!AP1088,O1097)</f>
        <v/>
      </c>
      <c r="G1097" s="404" t="inlineStr">
        <is>
          <t>Оборуд</t>
        </is>
      </c>
      <c r="H1097" s="404" t="inlineStr">
        <is>
          <t>Стоимость оборудования (всего)</t>
        </is>
      </c>
      <c r="I1097" s="404" t="n"/>
      <c r="J1097" s="404" t="n"/>
      <c r="K1097" s="404" t="n">
        <v>216</v>
      </c>
      <c r="L1097" s="404" t="n">
        <v>8</v>
      </c>
      <c r="M1097" s="404" t="n">
        <v>3</v>
      </c>
      <c r="N1097" s="404" t="inlineStr"/>
      <c r="O1097" s="404" t="n">
        <v>0</v>
      </c>
      <c r="P1097" s="404" t="n"/>
      <c r="Q1097" s="404" t="n"/>
      <c r="R1097" s="404" t="n"/>
      <c r="S1097" s="404" t="n"/>
      <c r="T1097" s="404" t="n"/>
      <c r="U1097" s="404" t="n"/>
      <c r="V1097" s="404" t="n"/>
      <c r="W1097" s="404" t="n">
        <v>0</v>
      </c>
      <c r="X1097" s="404" t="n">
        <v>1</v>
      </c>
      <c r="Y1097" s="404" t="n">
        <v>0</v>
      </c>
      <c r="Z1097" s="404" t="n"/>
      <c r="AA1097" s="404" t="n"/>
      <c r="AB1097" s="404" t="n"/>
    </row>
    <row r="1098">
      <c r="A1098" s="404" t="n">
        <v>50</v>
      </c>
      <c r="B1098" s="404" t="n">
        <v>0</v>
      </c>
      <c r="C1098" s="404" t="n">
        <v>0</v>
      </c>
      <c r="D1098" s="404" t="n">
        <v>1</v>
      </c>
      <c r="E1098" s="404" t="n">
        <v>223</v>
      </c>
      <c r="F1098" s="404">
        <f>ROUND(Source!AQ1088,O1098)</f>
        <v/>
      </c>
      <c r="G1098" s="404" t="inlineStr">
        <is>
          <t>ОборудЗак</t>
        </is>
      </c>
      <c r="H1098" s="404" t="inlineStr">
        <is>
          <t>Стоимость оборудования заказчика</t>
        </is>
      </c>
      <c r="I1098" s="404" t="n"/>
      <c r="J1098" s="404" t="n"/>
      <c r="K1098" s="404" t="n">
        <v>223</v>
      </c>
      <c r="L1098" s="404" t="n">
        <v>9</v>
      </c>
      <c r="M1098" s="404" t="n">
        <v>3</v>
      </c>
      <c r="N1098" s="404" t="inlineStr"/>
      <c r="O1098" s="404" t="n">
        <v>0</v>
      </c>
      <c r="P1098" s="404" t="n"/>
      <c r="Q1098" s="404" t="n"/>
      <c r="R1098" s="404" t="n"/>
      <c r="S1098" s="404" t="n"/>
      <c r="T1098" s="404" t="n"/>
      <c r="U1098" s="404" t="n"/>
      <c r="V1098" s="404" t="n"/>
      <c r="W1098" s="404" t="n">
        <v>0</v>
      </c>
      <c r="X1098" s="404" t="n">
        <v>1</v>
      </c>
      <c r="Y1098" s="404" t="n">
        <v>0</v>
      </c>
      <c r="Z1098" s="404" t="n"/>
      <c r="AA1098" s="404" t="n"/>
      <c r="AB1098" s="404" t="n"/>
    </row>
    <row r="1099">
      <c r="A1099" s="404" t="n">
        <v>50</v>
      </c>
      <c r="B1099" s="404" t="n">
        <v>0</v>
      </c>
      <c r="C1099" s="404" t="n">
        <v>0</v>
      </c>
      <c r="D1099" s="404" t="n">
        <v>1</v>
      </c>
      <c r="E1099" s="404" t="n">
        <v>229</v>
      </c>
      <c r="F1099" s="404">
        <f>ROUND(Source!AZ1088,O1099)</f>
        <v/>
      </c>
      <c r="G1099" s="404" t="inlineStr">
        <is>
          <t>ОборудПод</t>
        </is>
      </c>
      <c r="H1099" s="404" t="inlineStr">
        <is>
          <t>Стоимость оборудования подрядчика</t>
        </is>
      </c>
      <c r="I1099" s="404" t="n"/>
      <c r="J1099" s="404" t="n"/>
      <c r="K1099" s="404" t="n">
        <v>229</v>
      </c>
      <c r="L1099" s="404" t="n">
        <v>10</v>
      </c>
      <c r="M1099" s="404" t="n">
        <v>3</v>
      </c>
      <c r="N1099" s="404" t="inlineStr"/>
      <c r="O1099" s="404" t="n">
        <v>0</v>
      </c>
      <c r="P1099" s="404" t="n"/>
      <c r="Q1099" s="404" t="n"/>
      <c r="R1099" s="404" t="n"/>
      <c r="S1099" s="404" t="n"/>
      <c r="T1099" s="404" t="n"/>
      <c r="U1099" s="404" t="n"/>
      <c r="V1099" s="404" t="n"/>
      <c r="W1099" s="404" t="n">
        <v>0</v>
      </c>
      <c r="X1099" s="404" t="n">
        <v>1</v>
      </c>
      <c r="Y1099" s="404" t="n">
        <v>0</v>
      </c>
      <c r="Z1099" s="404" t="n"/>
      <c r="AA1099" s="404" t="n"/>
      <c r="AB1099" s="404" t="n"/>
    </row>
    <row r="1100">
      <c r="A1100" s="404" t="n">
        <v>50</v>
      </c>
      <c r="B1100" s="404" t="n">
        <v>0</v>
      </c>
      <c r="C1100" s="404" t="n">
        <v>0</v>
      </c>
      <c r="D1100" s="404" t="n">
        <v>1</v>
      </c>
      <c r="E1100" s="404" t="n">
        <v>203</v>
      </c>
      <c r="F1100" s="404">
        <f>ROUND(Source!Q1088,O1100)</f>
        <v/>
      </c>
      <c r="G1100" s="404" t="inlineStr">
        <is>
          <t>ЭММ</t>
        </is>
      </c>
      <c r="H1100" s="404" t="inlineStr">
        <is>
          <t>Эксплуатация машин</t>
        </is>
      </c>
      <c r="I1100" s="404" t="n"/>
      <c r="J1100" s="404" t="n"/>
      <c r="K1100" s="404" t="n">
        <v>203</v>
      </c>
      <c r="L1100" s="404" t="n">
        <v>11</v>
      </c>
      <c r="M1100" s="404" t="n">
        <v>3</v>
      </c>
      <c r="N1100" s="404" t="inlineStr"/>
      <c r="O1100" s="404" t="n">
        <v>0</v>
      </c>
      <c r="P1100" s="404" t="n"/>
      <c r="Q1100" s="404" t="n"/>
      <c r="R1100" s="404" t="n"/>
      <c r="S1100" s="404" t="n"/>
      <c r="T1100" s="404" t="n"/>
      <c r="U1100" s="404" t="n"/>
      <c r="V1100" s="404" t="n"/>
      <c r="W1100" s="404" t="n">
        <v>0</v>
      </c>
      <c r="X1100" s="404" t="n">
        <v>1</v>
      </c>
      <c r="Y1100" s="404" t="n">
        <v>0</v>
      </c>
      <c r="Z1100" s="404" t="n"/>
      <c r="AA1100" s="404" t="n"/>
      <c r="AB1100" s="404" t="n"/>
    </row>
    <row r="1101">
      <c r="A1101" s="404" t="n">
        <v>50</v>
      </c>
      <c r="B1101" s="404" t="n">
        <v>0</v>
      </c>
      <c r="C1101" s="404" t="n">
        <v>0</v>
      </c>
      <c r="D1101" s="404" t="n">
        <v>1</v>
      </c>
      <c r="E1101" s="404" t="n">
        <v>231</v>
      </c>
      <c r="F1101" s="404">
        <f>ROUND(Source!BB1088,O1101)</f>
        <v/>
      </c>
      <c r="G1101" s="404" t="inlineStr">
        <is>
          <t>ЭММсНРиСП</t>
        </is>
      </c>
      <c r="H1101" s="404" t="inlineStr">
        <is>
          <t>Эксплуатация машин по ТСН-2001.16</t>
        </is>
      </c>
      <c r="I1101" s="404" t="n"/>
      <c r="J1101" s="404" t="n"/>
      <c r="K1101" s="404" t="n">
        <v>231</v>
      </c>
      <c r="L1101" s="404" t="n">
        <v>12</v>
      </c>
      <c r="M1101" s="404" t="n">
        <v>3</v>
      </c>
      <c r="N1101" s="404" t="inlineStr"/>
      <c r="O1101" s="404" t="n">
        <v>0</v>
      </c>
      <c r="P1101" s="404" t="n"/>
      <c r="Q1101" s="404" t="n"/>
      <c r="R1101" s="404" t="n"/>
      <c r="S1101" s="404" t="n"/>
      <c r="T1101" s="404" t="n"/>
      <c r="U1101" s="404" t="n"/>
      <c r="V1101" s="404" t="n"/>
      <c r="W1101" s="404" t="n">
        <v>0</v>
      </c>
      <c r="X1101" s="404" t="n">
        <v>1</v>
      </c>
      <c r="Y1101" s="404" t="n">
        <v>0</v>
      </c>
      <c r="Z1101" s="404" t="n"/>
      <c r="AA1101" s="404" t="n"/>
      <c r="AB1101" s="404" t="n"/>
    </row>
    <row r="1102">
      <c r="A1102" s="404" t="n">
        <v>50</v>
      </c>
      <c r="B1102" s="404" t="n">
        <v>0</v>
      </c>
      <c r="C1102" s="404" t="n">
        <v>0</v>
      </c>
      <c r="D1102" s="404" t="n">
        <v>1</v>
      </c>
      <c r="E1102" s="404" t="n">
        <v>204</v>
      </c>
      <c r="F1102" s="404">
        <f>ROUND(Source!R1088,O1102)</f>
        <v/>
      </c>
      <c r="G1102" s="404" t="inlineStr">
        <is>
          <t>ЗПМ</t>
        </is>
      </c>
      <c r="H1102" s="404" t="inlineStr">
        <is>
          <t>ЗП машинистов</t>
        </is>
      </c>
      <c r="I1102" s="404" t="n"/>
      <c r="J1102" s="404" t="n"/>
      <c r="K1102" s="404" t="n">
        <v>204</v>
      </c>
      <c r="L1102" s="404" t="n">
        <v>13</v>
      </c>
      <c r="M1102" s="404" t="n">
        <v>3</v>
      </c>
      <c r="N1102" s="404" t="inlineStr"/>
      <c r="O1102" s="404" t="n">
        <v>0</v>
      </c>
      <c r="P1102" s="404" t="n"/>
      <c r="Q1102" s="404" t="n"/>
      <c r="R1102" s="404" t="n"/>
      <c r="S1102" s="404" t="n"/>
      <c r="T1102" s="404" t="n"/>
      <c r="U1102" s="404" t="n"/>
      <c r="V1102" s="404" t="n"/>
      <c r="W1102" s="404" t="n">
        <v>0</v>
      </c>
      <c r="X1102" s="404" t="n">
        <v>1</v>
      </c>
      <c r="Y1102" s="404" t="n">
        <v>0</v>
      </c>
      <c r="Z1102" s="404" t="n"/>
      <c r="AA1102" s="404" t="n"/>
      <c r="AB1102" s="404" t="n"/>
    </row>
    <row r="1103">
      <c r="A1103" s="404" t="n">
        <v>50</v>
      </c>
      <c r="B1103" s="404" t="n">
        <v>0</v>
      </c>
      <c r="C1103" s="404" t="n">
        <v>0</v>
      </c>
      <c r="D1103" s="404" t="n">
        <v>1</v>
      </c>
      <c r="E1103" s="404" t="n">
        <v>205</v>
      </c>
      <c r="F1103" s="404">
        <f>ROUND(Source!S1088,O1103)</f>
        <v/>
      </c>
      <c r="G1103" s="404" t="inlineStr">
        <is>
          <t>ОЗП</t>
        </is>
      </c>
      <c r="H1103" s="404" t="inlineStr">
        <is>
          <t>Основная ЗП рабочих</t>
        </is>
      </c>
      <c r="I1103" s="404" t="n"/>
      <c r="J1103" s="404" t="n"/>
      <c r="K1103" s="404" t="n">
        <v>205</v>
      </c>
      <c r="L1103" s="404" t="n">
        <v>14</v>
      </c>
      <c r="M1103" s="404" t="n">
        <v>3</v>
      </c>
      <c r="N1103" s="404" t="inlineStr"/>
      <c r="O1103" s="404" t="n">
        <v>0</v>
      </c>
      <c r="P1103" s="404" t="n"/>
      <c r="Q1103" s="404" t="n"/>
      <c r="R1103" s="404" t="n"/>
      <c r="S1103" s="404" t="n"/>
      <c r="T1103" s="404" t="n"/>
      <c r="U1103" s="404" t="n"/>
      <c r="V1103" s="404" t="n"/>
      <c r="W1103" s="404" t="n">
        <v>0</v>
      </c>
      <c r="X1103" s="404" t="n">
        <v>1</v>
      </c>
      <c r="Y1103" s="404" t="n">
        <v>0</v>
      </c>
      <c r="Z1103" s="404" t="n"/>
      <c r="AA1103" s="404" t="n"/>
      <c r="AB1103" s="404" t="n"/>
    </row>
    <row r="1104">
      <c r="A1104" s="404" t="n">
        <v>50</v>
      </c>
      <c r="B1104" s="404" t="n">
        <v>0</v>
      </c>
      <c r="C1104" s="404" t="n">
        <v>0</v>
      </c>
      <c r="D1104" s="404" t="n">
        <v>1</v>
      </c>
      <c r="E1104" s="404" t="n">
        <v>232</v>
      </c>
      <c r="F1104" s="404">
        <f>ROUND(Source!BC1088,O1104)</f>
        <v/>
      </c>
      <c r="G1104" s="404" t="inlineStr">
        <is>
          <t>ОЗПсНРиСП</t>
        </is>
      </c>
      <c r="H1104" s="404" t="inlineStr">
        <is>
          <t>Основная ЗП рабочих по ТСН-2001.16</t>
        </is>
      </c>
      <c r="I1104" s="404" t="n"/>
      <c r="J1104" s="404" t="n"/>
      <c r="K1104" s="404" t="n">
        <v>232</v>
      </c>
      <c r="L1104" s="404" t="n">
        <v>15</v>
      </c>
      <c r="M1104" s="404" t="n">
        <v>3</v>
      </c>
      <c r="N1104" s="404" t="inlineStr"/>
      <c r="O1104" s="404" t="n">
        <v>0</v>
      </c>
      <c r="P1104" s="404" t="n"/>
      <c r="Q1104" s="404" t="n"/>
      <c r="R1104" s="404" t="n"/>
      <c r="S1104" s="404" t="n"/>
      <c r="T1104" s="404" t="n"/>
      <c r="U1104" s="404" t="n"/>
      <c r="V1104" s="404" t="n"/>
      <c r="W1104" s="404" t="n">
        <v>0</v>
      </c>
      <c r="X1104" s="404" t="n">
        <v>1</v>
      </c>
      <c r="Y1104" s="404" t="n">
        <v>0</v>
      </c>
      <c r="Z1104" s="404" t="n"/>
      <c r="AA1104" s="404" t="n"/>
      <c r="AB1104" s="404" t="n"/>
    </row>
    <row r="1105">
      <c r="A1105" s="404" t="n">
        <v>50</v>
      </c>
      <c r="B1105" s="404" t="n">
        <v>0</v>
      </c>
      <c r="C1105" s="404" t="n">
        <v>0</v>
      </c>
      <c r="D1105" s="404" t="n">
        <v>1</v>
      </c>
      <c r="E1105" s="404" t="n">
        <v>214</v>
      </c>
      <c r="F1105" s="404">
        <f>ROUND(Source!AS1088,O1105)</f>
        <v/>
      </c>
      <c r="G1105" s="404" t="inlineStr">
        <is>
          <t>Строит</t>
        </is>
      </c>
      <c r="H1105" s="404" t="inlineStr">
        <is>
          <t>Строительные работы с НР и СП</t>
        </is>
      </c>
      <c r="I1105" s="404" t="n"/>
      <c r="J1105" s="404" t="n"/>
      <c r="K1105" s="404" t="n">
        <v>214</v>
      </c>
      <c r="L1105" s="404" t="n">
        <v>16</v>
      </c>
      <c r="M1105" s="404" t="n">
        <v>3</v>
      </c>
      <c r="N1105" s="404" t="inlineStr"/>
      <c r="O1105" s="404" t="n">
        <v>0</v>
      </c>
      <c r="P1105" s="404" t="n"/>
      <c r="Q1105" s="404" t="n"/>
      <c r="R1105" s="404" t="n"/>
      <c r="S1105" s="404" t="n"/>
      <c r="T1105" s="404" t="n"/>
      <c r="U1105" s="404" t="n"/>
      <c r="V1105" s="404" t="n"/>
      <c r="W1105" s="404" t="n">
        <v>0</v>
      </c>
      <c r="X1105" s="404" t="n">
        <v>1</v>
      </c>
      <c r="Y1105" s="404" t="n">
        <v>0</v>
      </c>
      <c r="Z1105" s="404" t="n"/>
      <c r="AA1105" s="404" t="n"/>
      <c r="AB1105" s="404" t="n"/>
    </row>
    <row r="1106">
      <c r="A1106" s="404" t="n">
        <v>50</v>
      </c>
      <c r="B1106" s="404" t="n">
        <v>0</v>
      </c>
      <c r="C1106" s="404" t="n">
        <v>0</v>
      </c>
      <c r="D1106" s="404" t="n">
        <v>1</v>
      </c>
      <c r="E1106" s="404" t="n">
        <v>215</v>
      </c>
      <c r="F1106" s="404">
        <f>ROUND(Source!AT1088,O1106)</f>
        <v/>
      </c>
      <c r="G1106" s="404" t="inlineStr">
        <is>
          <t>Монтаж</t>
        </is>
      </c>
      <c r="H1106" s="404" t="inlineStr">
        <is>
          <t>Монтажные работы с НР и СП</t>
        </is>
      </c>
      <c r="I1106" s="404" t="n"/>
      <c r="J1106" s="404" t="n"/>
      <c r="K1106" s="404" t="n">
        <v>215</v>
      </c>
      <c r="L1106" s="404" t="n">
        <v>17</v>
      </c>
      <c r="M1106" s="404" t="n">
        <v>3</v>
      </c>
      <c r="N1106" s="404" t="inlineStr"/>
      <c r="O1106" s="404" t="n">
        <v>0</v>
      </c>
      <c r="P1106" s="404" t="n"/>
      <c r="Q1106" s="404" t="n"/>
      <c r="R1106" s="404" t="n"/>
      <c r="S1106" s="404" t="n"/>
      <c r="T1106" s="404" t="n"/>
      <c r="U1106" s="404" t="n"/>
      <c r="V1106" s="404" t="n"/>
      <c r="W1106" s="404" t="n">
        <v>0</v>
      </c>
      <c r="X1106" s="404" t="n">
        <v>1</v>
      </c>
      <c r="Y1106" s="404" t="n">
        <v>0</v>
      </c>
      <c r="Z1106" s="404" t="n"/>
      <c r="AA1106" s="404" t="n"/>
      <c r="AB1106" s="404" t="n"/>
    </row>
    <row r="1107">
      <c r="A1107" s="404" t="n">
        <v>50</v>
      </c>
      <c r="B1107" s="404" t="n">
        <v>0</v>
      </c>
      <c r="C1107" s="404" t="n">
        <v>0</v>
      </c>
      <c r="D1107" s="404" t="n">
        <v>1</v>
      </c>
      <c r="E1107" s="404" t="n">
        <v>217</v>
      </c>
      <c r="F1107" s="404">
        <f>ROUND(Source!AU1088,O1107)</f>
        <v/>
      </c>
      <c r="G1107" s="404" t="inlineStr">
        <is>
          <t>Прочие</t>
        </is>
      </c>
      <c r="H1107" s="404" t="inlineStr">
        <is>
          <t>Прочие работы с НР и СП</t>
        </is>
      </c>
      <c r="I1107" s="404" t="n"/>
      <c r="J1107" s="404" t="n"/>
      <c r="K1107" s="404" t="n">
        <v>217</v>
      </c>
      <c r="L1107" s="404" t="n">
        <v>18</v>
      </c>
      <c r="M1107" s="404" t="n">
        <v>3</v>
      </c>
      <c r="N1107" s="404" t="inlineStr"/>
      <c r="O1107" s="404" t="n">
        <v>0</v>
      </c>
      <c r="P1107" s="404" t="n"/>
      <c r="Q1107" s="404" t="n"/>
      <c r="R1107" s="404" t="n"/>
      <c r="S1107" s="404" t="n"/>
      <c r="T1107" s="404" t="n"/>
      <c r="U1107" s="404" t="n"/>
      <c r="V1107" s="404" t="n"/>
      <c r="W1107" s="404" t="n">
        <v>0</v>
      </c>
      <c r="X1107" s="404" t="n">
        <v>1</v>
      </c>
      <c r="Y1107" s="404" t="n">
        <v>0</v>
      </c>
      <c r="Z1107" s="404" t="n"/>
      <c r="AA1107" s="404" t="n"/>
      <c r="AB1107" s="404" t="n"/>
    </row>
    <row r="1108">
      <c r="A1108" s="404" t="n">
        <v>50</v>
      </c>
      <c r="B1108" s="404" t="n">
        <v>0</v>
      </c>
      <c r="C1108" s="404" t="n">
        <v>0</v>
      </c>
      <c r="D1108" s="404" t="n">
        <v>1</v>
      </c>
      <c r="E1108" s="404" t="n">
        <v>230</v>
      </c>
      <c r="F1108" s="404">
        <f>ROUND(Source!BA1088,O1108)</f>
        <v/>
      </c>
      <c r="G1108" s="404" t="inlineStr">
        <is>
          <t>ПрочиеЗатр</t>
        </is>
      </c>
      <c r="H1108" s="404" t="inlineStr">
        <is>
          <t>Прочие затраты по ТСН-2001.16</t>
        </is>
      </c>
      <c r="I1108" s="404" t="n"/>
      <c r="J1108" s="404" t="n"/>
      <c r="K1108" s="404" t="n">
        <v>230</v>
      </c>
      <c r="L1108" s="404" t="n">
        <v>19</v>
      </c>
      <c r="M1108" s="404" t="n">
        <v>3</v>
      </c>
      <c r="N1108" s="404" t="inlineStr"/>
      <c r="O1108" s="404" t="n">
        <v>0</v>
      </c>
      <c r="P1108" s="404" t="n"/>
      <c r="Q1108" s="404" t="n"/>
      <c r="R1108" s="404" t="n"/>
      <c r="S1108" s="404" t="n"/>
      <c r="T1108" s="404" t="n"/>
      <c r="U1108" s="404" t="n"/>
      <c r="V1108" s="404" t="n"/>
      <c r="W1108" s="404" t="n">
        <v>0</v>
      </c>
      <c r="X1108" s="404" t="n">
        <v>1</v>
      </c>
      <c r="Y1108" s="404" t="n">
        <v>0</v>
      </c>
      <c r="Z1108" s="404" t="n"/>
      <c r="AA1108" s="404" t="n"/>
      <c r="AB1108" s="404" t="n"/>
    </row>
    <row r="1109">
      <c r="A1109" s="404" t="n">
        <v>50</v>
      </c>
      <c r="B1109" s="404" t="n">
        <v>0</v>
      </c>
      <c r="C1109" s="404" t="n">
        <v>0</v>
      </c>
      <c r="D1109" s="404" t="n">
        <v>1</v>
      </c>
      <c r="E1109" s="404" t="n">
        <v>206</v>
      </c>
      <c r="F1109" s="404">
        <f>ROUND(Source!T1088,O1109)</f>
        <v/>
      </c>
      <c r="G1109" s="404" t="inlineStr">
        <is>
          <t>ВозврМат</t>
        </is>
      </c>
      <c r="H1109" s="404" t="inlineStr">
        <is>
          <t>Возврат материалов</t>
        </is>
      </c>
      <c r="I1109" s="404" t="n"/>
      <c r="J1109" s="404" t="n"/>
      <c r="K1109" s="404" t="n">
        <v>206</v>
      </c>
      <c r="L1109" s="404" t="n">
        <v>20</v>
      </c>
      <c r="M1109" s="404" t="n">
        <v>3</v>
      </c>
      <c r="N1109" s="404" t="inlineStr"/>
      <c r="O1109" s="404" t="n">
        <v>0</v>
      </c>
      <c r="P1109" s="404" t="n"/>
      <c r="Q1109" s="404" t="n"/>
      <c r="R1109" s="404" t="n"/>
      <c r="S1109" s="404" t="n"/>
      <c r="T1109" s="404" t="n"/>
      <c r="U1109" s="404" t="n"/>
      <c r="V1109" s="404" t="n"/>
      <c r="W1109" s="404" t="n">
        <v>0</v>
      </c>
      <c r="X1109" s="404" t="n">
        <v>1</v>
      </c>
      <c r="Y1109" s="404" t="n">
        <v>0</v>
      </c>
      <c r="Z1109" s="404" t="n"/>
      <c r="AA1109" s="404" t="n"/>
      <c r="AB1109" s="404" t="n"/>
    </row>
    <row r="1110">
      <c r="A1110" s="404" t="n">
        <v>50</v>
      </c>
      <c r="B1110" s="404" t="n">
        <v>0</v>
      </c>
      <c r="C1110" s="404" t="n">
        <v>0</v>
      </c>
      <c r="D1110" s="404" t="n">
        <v>1</v>
      </c>
      <c r="E1110" s="404" t="n">
        <v>207</v>
      </c>
      <c r="F1110" s="404">
        <f>ROUND(Source!U1088,O1110)</f>
        <v/>
      </c>
      <c r="G1110" s="404" t="inlineStr">
        <is>
          <t>ТрудСтр</t>
        </is>
      </c>
      <c r="H1110" s="404" t="inlineStr">
        <is>
          <t>Трудозатраты строителей</t>
        </is>
      </c>
      <c r="I1110" s="404" t="n"/>
      <c r="J1110" s="404" t="n"/>
      <c r="K1110" s="404" t="n">
        <v>207</v>
      </c>
      <c r="L1110" s="404" t="n">
        <v>21</v>
      </c>
      <c r="M1110" s="404" t="n">
        <v>3</v>
      </c>
      <c r="N1110" s="404" t="inlineStr"/>
      <c r="O1110" s="404" t="n">
        <v>7</v>
      </c>
      <c r="P1110" s="404" t="n"/>
      <c r="Q1110" s="404" t="n"/>
      <c r="R1110" s="404" t="n"/>
      <c r="S1110" s="404" t="n"/>
      <c r="T1110" s="404" t="n"/>
      <c r="U1110" s="404" t="n"/>
      <c r="V1110" s="404" t="n"/>
      <c r="W1110" s="404" t="n">
        <v>0</v>
      </c>
      <c r="X1110" s="404" t="n">
        <v>1</v>
      </c>
      <c r="Y1110" s="404" t="n">
        <v>0</v>
      </c>
      <c r="Z1110" s="404" t="n"/>
      <c r="AA1110" s="404" t="n"/>
      <c r="AB1110" s="404" t="n"/>
    </row>
    <row r="1111">
      <c r="A1111" s="404" t="n">
        <v>50</v>
      </c>
      <c r="B1111" s="404" t="n">
        <v>0</v>
      </c>
      <c r="C1111" s="404" t="n">
        <v>0</v>
      </c>
      <c r="D1111" s="404" t="n">
        <v>1</v>
      </c>
      <c r="E1111" s="404" t="n">
        <v>208</v>
      </c>
      <c r="F1111" s="404">
        <f>ROUND(Source!V1088,O1111)</f>
        <v/>
      </c>
      <c r="G1111" s="404" t="inlineStr">
        <is>
          <t>ТрудМаш</t>
        </is>
      </c>
      <c r="H1111" s="404" t="inlineStr">
        <is>
          <t>Трудозатраты машинистов</t>
        </is>
      </c>
      <c r="I1111" s="404" t="n"/>
      <c r="J1111" s="404" t="n"/>
      <c r="K1111" s="404" t="n">
        <v>208</v>
      </c>
      <c r="L1111" s="404" t="n">
        <v>22</v>
      </c>
      <c r="M1111" s="404" t="n">
        <v>3</v>
      </c>
      <c r="N1111" s="404" t="inlineStr"/>
      <c r="O1111" s="404" t="n">
        <v>7</v>
      </c>
      <c r="P1111" s="404" t="n"/>
      <c r="Q1111" s="404" t="n"/>
      <c r="R1111" s="404" t="n"/>
      <c r="S1111" s="404" t="n"/>
      <c r="T1111" s="404" t="n"/>
      <c r="U1111" s="404" t="n"/>
      <c r="V1111" s="404" t="n"/>
      <c r="W1111" s="404" t="n">
        <v>0</v>
      </c>
      <c r="X1111" s="404" t="n">
        <v>1</v>
      </c>
      <c r="Y1111" s="404" t="n">
        <v>0</v>
      </c>
      <c r="Z1111" s="404" t="n"/>
      <c r="AA1111" s="404" t="n"/>
      <c r="AB1111" s="404" t="n"/>
    </row>
    <row r="1112">
      <c r="A1112" s="404" t="n">
        <v>50</v>
      </c>
      <c r="B1112" s="404" t="n">
        <v>0</v>
      </c>
      <c r="C1112" s="404" t="n">
        <v>0</v>
      </c>
      <c r="D1112" s="404" t="n">
        <v>1</v>
      </c>
      <c r="E1112" s="404" t="n">
        <v>209</v>
      </c>
      <c r="F1112" s="404">
        <f>ROUND(Source!W1088,O1112)</f>
        <v/>
      </c>
      <c r="G1112" s="404" t="inlineStr">
        <is>
          <t>ТранспМат</t>
        </is>
      </c>
      <c r="H1112" s="404" t="inlineStr">
        <is>
          <t>Транспорт материалов</t>
        </is>
      </c>
      <c r="I1112" s="404" t="n"/>
      <c r="J1112" s="404" t="n"/>
      <c r="K1112" s="404" t="n">
        <v>209</v>
      </c>
      <c r="L1112" s="404" t="n">
        <v>23</v>
      </c>
      <c r="M1112" s="404" t="n">
        <v>3</v>
      </c>
      <c r="N1112" s="404" t="inlineStr"/>
      <c r="O1112" s="404" t="n">
        <v>0</v>
      </c>
      <c r="P1112" s="404" t="n"/>
      <c r="Q1112" s="404" t="n"/>
      <c r="R1112" s="404" t="n"/>
      <c r="S1112" s="404" t="n"/>
      <c r="T1112" s="404" t="n"/>
      <c r="U1112" s="404" t="n"/>
      <c r="V1112" s="404" t="n"/>
      <c r="W1112" s="404" t="n">
        <v>0</v>
      </c>
      <c r="X1112" s="404" t="n">
        <v>1</v>
      </c>
      <c r="Y1112" s="404" t="n">
        <v>0</v>
      </c>
      <c r="Z1112" s="404" t="n"/>
      <c r="AA1112" s="404" t="n"/>
      <c r="AB1112" s="404" t="n"/>
    </row>
    <row r="1113">
      <c r="A1113" s="404" t="n">
        <v>50</v>
      </c>
      <c r="B1113" s="404" t="n">
        <v>0</v>
      </c>
      <c r="C1113" s="404" t="n">
        <v>0</v>
      </c>
      <c r="D1113" s="404" t="n">
        <v>1</v>
      </c>
      <c r="E1113" s="404" t="n">
        <v>233</v>
      </c>
      <c r="F1113" s="404">
        <f>ROUND(Source!BD1088,O1113)</f>
        <v/>
      </c>
      <c r="G1113" s="404" t="inlineStr">
        <is>
          <t>Перевозка</t>
        </is>
      </c>
      <c r="H1113" s="404" t="inlineStr">
        <is>
          <t>Перевозка грузов</t>
        </is>
      </c>
      <c r="I1113" s="404" t="n"/>
      <c r="J1113" s="404" t="n"/>
      <c r="K1113" s="404" t="n">
        <v>233</v>
      </c>
      <c r="L1113" s="404" t="n">
        <v>24</v>
      </c>
      <c r="M1113" s="404" t="n">
        <v>3</v>
      </c>
      <c r="N1113" s="404" t="inlineStr"/>
      <c r="O1113" s="404" t="n">
        <v>0</v>
      </c>
      <c r="P1113" s="404" t="n"/>
      <c r="Q1113" s="404" t="n"/>
      <c r="R1113" s="404" t="n"/>
      <c r="S1113" s="404" t="n"/>
      <c r="T1113" s="404" t="n"/>
      <c r="U1113" s="404" t="n"/>
      <c r="V1113" s="404" t="n"/>
      <c r="W1113" s="404" t="n">
        <v>0</v>
      </c>
      <c r="X1113" s="404" t="n">
        <v>1</v>
      </c>
      <c r="Y1113" s="404" t="n">
        <v>0</v>
      </c>
      <c r="Z1113" s="404" t="n"/>
      <c r="AA1113" s="404" t="n"/>
      <c r="AB1113" s="404" t="n"/>
    </row>
    <row r="1114">
      <c r="A1114" s="404" t="n">
        <v>50</v>
      </c>
      <c r="B1114" s="404" t="n">
        <v>0</v>
      </c>
      <c r="C1114" s="404" t="n">
        <v>0</v>
      </c>
      <c r="D1114" s="404" t="n">
        <v>1</v>
      </c>
      <c r="E1114" s="404" t="n">
        <v>210</v>
      </c>
      <c r="F1114" s="404">
        <f>ROUND(Source!X1088,O1114)</f>
        <v/>
      </c>
      <c r="G1114" s="404" t="inlineStr">
        <is>
          <t>НР</t>
        </is>
      </c>
      <c r="H1114" s="404" t="inlineStr">
        <is>
          <t>Накладные расходы</t>
        </is>
      </c>
      <c r="I1114" s="404" t="n"/>
      <c r="J1114" s="404" t="n"/>
      <c r="K1114" s="404" t="n">
        <v>210</v>
      </c>
      <c r="L1114" s="404" t="n">
        <v>25</v>
      </c>
      <c r="M1114" s="404" t="n">
        <v>3</v>
      </c>
      <c r="N1114" s="404" t="inlineStr"/>
      <c r="O1114" s="404" t="n">
        <v>0</v>
      </c>
      <c r="P1114" s="404" t="n"/>
      <c r="Q1114" s="404" t="n"/>
      <c r="R1114" s="404" t="n"/>
      <c r="S1114" s="404" t="n"/>
      <c r="T1114" s="404" t="n"/>
      <c r="U1114" s="404" t="n"/>
      <c r="V1114" s="404" t="n"/>
      <c r="W1114" s="404" t="n">
        <v>0</v>
      </c>
      <c r="X1114" s="404" t="n">
        <v>1</v>
      </c>
      <c r="Y1114" s="404" t="n">
        <v>0</v>
      </c>
      <c r="Z1114" s="404" t="n"/>
      <c r="AA1114" s="404" t="n"/>
      <c r="AB1114" s="404" t="n"/>
    </row>
    <row r="1115">
      <c r="A1115" s="404" t="n">
        <v>50</v>
      </c>
      <c r="B1115" s="404" t="n">
        <v>0</v>
      </c>
      <c r="C1115" s="404" t="n">
        <v>0</v>
      </c>
      <c r="D1115" s="404" t="n">
        <v>1</v>
      </c>
      <c r="E1115" s="404" t="n">
        <v>211</v>
      </c>
      <c r="F1115" s="404">
        <f>ROUND(Source!Y1088,O1115)</f>
        <v/>
      </c>
      <c r="G1115" s="404" t="inlineStr">
        <is>
          <t>СмПриб</t>
        </is>
      </c>
      <c r="H1115" s="404" t="inlineStr">
        <is>
          <t>Сметная прибыль</t>
        </is>
      </c>
      <c r="I1115" s="404" t="n"/>
      <c r="J1115" s="404" t="n"/>
      <c r="K1115" s="404" t="n">
        <v>211</v>
      </c>
      <c r="L1115" s="404" t="n">
        <v>26</v>
      </c>
      <c r="M1115" s="404" t="n">
        <v>3</v>
      </c>
      <c r="N1115" s="404" t="inlineStr"/>
      <c r="O1115" s="404" t="n">
        <v>0</v>
      </c>
      <c r="P1115" s="404" t="n"/>
      <c r="Q1115" s="404" t="n"/>
      <c r="R1115" s="404" t="n"/>
      <c r="S1115" s="404" t="n"/>
      <c r="T1115" s="404" t="n"/>
      <c r="U1115" s="404" t="n"/>
      <c r="V1115" s="404" t="n"/>
      <c r="W1115" s="404" t="n">
        <v>0</v>
      </c>
      <c r="X1115" s="404" t="n">
        <v>1</v>
      </c>
      <c r="Y1115" s="404" t="n">
        <v>0</v>
      </c>
      <c r="Z1115" s="404" t="n"/>
      <c r="AA1115" s="404" t="n"/>
      <c r="AB1115" s="404" t="n"/>
    </row>
    <row r="1116">
      <c r="A1116" s="404" t="n">
        <v>50</v>
      </c>
      <c r="B1116" s="404" t="n">
        <v>0</v>
      </c>
      <c r="C1116" s="404" t="n">
        <v>0</v>
      </c>
      <c r="D1116" s="404" t="n">
        <v>1</v>
      </c>
      <c r="E1116" s="404" t="n">
        <v>224</v>
      </c>
      <c r="F1116" s="404">
        <f>ROUND(Source!AR1088,O1116)</f>
        <v/>
      </c>
      <c r="G1116" s="404" t="inlineStr">
        <is>
          <t>Всего</t>
        </is>
      </c>
      <c r="H1116" s="404" t="inlineStr">
        <is>
          <t>Всего с НР и СП</t>
        </is>
      </c>
      <c r="I1116" s="404" t="n"/>
      <c r="J1116" s="404" t="n"/>
      <c r="K1116" s="404" t="n">
        <v>224</v>
      </c>
      <c r="L1116" s="404" t="n">
        <v>27</v>
      </c>
      <c r="M1116" s="404" t="n">
        <v>3</v>
      </c>
      <c r="N1116" s="404" t="inlineStr"/>
      <c r="O1116" s="404" t="n">
        <v>0</v>
      </c>
      <c r="P1116" s="404" t="n"/>
      <c r="Q1116" s="404" t="n"/>
      <c r="R1116" s="404" t="n"/>
      <c r="S1116" s="404" t="n"/>
      <c r="T1116" s="404" t="n"/>
      <c r="U1116" s="404" t="n"/>
      <c r="V1116" s="404" t="n"/>
      <c r="W1116" s="404" t="n">
        <v>0</v>
      </c>
      <c r="X1116" s="404" t="n">
        <v>1</v>
      </c>
      <c r="Y1116" s="404" t="n">
        <v>0</v>
      </c>
      <c r="Z1116" s="404" t="n"/>
      <c r="AA1116" s="404" t="n"/>
      <c r="AB1116" s="404" t="n"/>
    </row>
    <row r="1117">
      <c r="A1117" s="404" t="n">
        <v>50</v>
      </c>
      <c r="B1117" s="404" t="n">
        <v>0</v>
      </c>
      <c r="C1117" s="404" t="n">
        <v>0</v>
      </c>
      <c r="D1117" s="404" t="n">
        <v>2</v>
      </c>
      <c r="E1117" s="404" t="n">
        <v>0</v>
      </c>
      <c r="F1117" s="404">
        <f>ROUND(F1116,O1117)</f>
        <v/>
      </c>
      <c r="G1117" s="404" t="inlineStr">
        <is>
          <t>и1</t>
        </is>
      </c>
      <c r="H1117" s="404" t="inlineStr">
        <is>
          <t>Итого</t>
        </is>
      </c>
      <c r="I1117" s="404" t="n"/>
      <c r="J1117" s="404" t="n"/>
      <c r="K1117" s="404" t="n">
        <v>212</v>
      </c>
      <c r="L1117" s="404" t="n">
        <v>28</v>
      </c>
      <c r="M1117" s="404" t="n">
        <v>0</v>
      </c>
      <c r="N1117" s="404" t="inlineStr"/>
      <c r="O1117" s="404" t="n">
        <v>0</v>
      </c>
      <c r="P1117" s="404" t="n"/>
      <c r="Q1117" s="404" t="n"/>
      <c r="R1117" s="404" t="n"/>
      <c r="S1117" s="404" t="n"/>
      <c r="T1117" s="404" t="n"/>
      <c r="U1117" s="404" t="n"/>
      <c r="V1117" s="404" t="n"/>
      <c r="W1117" s="404" t="n">
        <v>0</v>
      </c>
      <c r="X1117" s="404" t="n">
        <v>1</v>
      </c>
      <c r="Y1117" s="404" t="n">
        <v>0</v>
      </c>
      <c r="Z1117" s="404" t="n"/>
      <c r="AA1117" s="404" t="n"/>
      <c r="AB1117" s="404" t="n"/>
    </row>
    <row r="1118">
      <c r="A1118" s="404" t="n">
        <v>50</v>
      </c>
      <c r="B1118" s="404" t="n">
        <v>0</v>
      </c>
      <c r="C1118" s="404" t="n">
        <v>0</v>
      </c>
      <c r="D1118" s="404" t="n">
        <v>2</v>
      </c>
      <c r="E1118" s="404" t="n">
        <v>0</v>
      </c>
      <c r="F1118" s="404">
        <f>ROUND(F1117*0.22,O1118)</f>
        <v/>
      </c>
      <c r="G1118" s="404" t="inlineStr">
        <is>
          <t>и2</t>
        </is>
      </c>
      <c r="H1118" s="404" t="inlineStr">
        <is>
          <t>НДС 22%</t>
        </is>
      </c>
      <c r="I1118" s="404" t="n"/>
      <c r="J1118" s="404" t="n"/>
      <c r="K1118" s="404" t="n">
        <v>212</v>
      </c>
      <c r="L1118" s="404" t="n">
        <v>29</v>
      </c>
      <c r="M1118" s="404" t="n">
        <v>0</v>
      </c>
      <c r="N1118" s="404" t="inlineStr"/>
      <c r="O1118" s="404" t="n">
        <v>0</v>
      </c>
      <c r="P1118" s="404" t="n"/>
      <c r="Q1118" s="404" t="n"/>
      <c r="R1118" s="404" t="n"/>
      <c r="S1118" s="404" t="n"/>
      <c r="T1118" s="404" t="n"/>
      <c r="U1118" s="404" t="n"/>
      <c r="V1118" s="404" t="n"/>
      <c r="W1118" s="404" t="n">
        <v>0</v>
      </c>
      <c r="X1118" s="404" t="n">
        <v>1</v>
      </c>
      <c r="Y1118" s="404" t="n">
        <v>0</v>
      </c>
      <c r="Z1118" s="404" t="n"/>
      <c r="AA1118" s="404" t="n"/>
      <c r="AB1118" s="404" t="n"/>
    </row>
    <row r="1119">
      <c r="A1119" s="404" t="n">
        <v>50</v>
      </c>
      <c r="B1119" s="404" t="n">
        <v>0</v>
      </c>
      <c r="C1119" s="404" t="n">
        <v>0</v>
      </c>
      <c r="D1119" s="404" t="n">
        <v>2</v>
      </c>
      <c r="E1119" s="404" t="n">
        <v>213</v>
      </c>
      <c r="F1119" s="404">
        <f>ROUND(F1117+F1118,O1119)</f>
        <v/>
      </c>
      <c r="G1119" s="404" t="inlineStr">
        <is>
          <t>и3</t>
        </is>
      </c>
      <c r="H1119" s="404" t="inlineStr">
        <is>
          <t>Всего</t>
        </is>
      </c>
      <c r="I1119" s="404" t="n"/>
      <c r="J1119" s="404" t="n"/>
      <c r="K1119" s="404" t="n">
        <v>212</v>
      </c>
      <c r="L1119" s="404" t="n">
        <v>30</v>
      </c>
      <c r="M1119" s="404" t="n">
        <v>0</v>
      </c>
      <c r="N1119" s="404" t="inlineStr"/>
      <c r="O1119" s="404" t="n">
        <v>0</v>
      </c>
      <c r="P1119" s="404" t="n"/>
      <c r="Q1119" s="404" t="n"/>
      <c r="R1119" s="404" t="n"/>
      <c r="S1119" s="404" t="n"/>
      <c r="T1119" s="404" t="n"/>
      <c r="U1119" s="404" t="n"/>
      <c r="V1119" s="404" t="n"/>
      <c r="W1119" s="404" t="n">
        <v>0</v>
      </c>
      <c r="X1119" s="404" t="n">
        <v>1</v>
      </c>
      <c r="Y1119" s="404" t="n">
        <v>0</v>
      </c>
      <c r="Z1119" s="404" t="n"/>
      <c r="AA1119" s="404" t="n"/>
      <c r="AB1119" s="404" t="n"/>
    </row>
    <row r="1120"/>
    <row r="1121">
      <c r="A1121" s="401" t="n">
        <v>3</v>
      </c>
      <c r="B1121" s="401" t="n">
        <v>0</v>
      </c>
      <c r="C1121" s="401" t="n"/>
      <c r="D1121" s="401">
        <f>ROW(A1130)</f>
        <v/>
      </c>
      <c r="E1121" s="401" t="n"/>
      <c r="F1121" s="401" t="inlineStr">
        <is>
          <t>Новая локальная смета</t>
        </is>
      </c>
      <c r="G1121" s="401" t="inlineStr">
        <is>
          <t>Молодежная 1</t>
        </is>
      </c>
      <c r="H1121" s="401" t="inlineStr"/>
      <c r="I1121" s="401" t="n">
        <v>0</v>
      </c>
      <c r="J1121" s="401" t="inlineStr"/>
      <c r="K1121" s="401" t="n">
        <v>0</v>
      </c>
      <c r="L1121" s="401" t="inlineStr">
        <is>
          <t>Новая локальная смета</t>
        </is>
      </c>
      <c r="M1121" s="401" t="inlineStr"/>
      <c r="N1121" s="401" t="n"/>
      <c r="O1121" s="401" t="n"/>
      <c r="P1121" s="401" t="n"/>
      <c r="Q1121" s="401" t="n"/>
      <c r="R1121" s="401" t="n"/>
      <c r="S1121" s="401" t="n">
        <v>0</v>
      </c>
      <c r="T1121" s="401" t="n"/>
      <c r="U1121" s="401" t="inlineStr"/>
      <c r="V1121" s="401" t="n">
        <v>0</v>
      </c>
      <c r="W1121" s="401" t="n"/>
      <c r="X1121" s="401" t="n"/>
      <c r="Y1121" s="401" t="n"/>
      <c r="Z1121" s="401" t="n"/>
      <c r="AA1121" s="401" t="n"/>
      <c r="AB1121" s="401" t="inlineStr"/>
      <c r="AC1121" s="401" t="inlineStr"/>
      <c r="AD1121" s="401" t="inlineStr"/>
      <c r="AE1121" s="401" t="inlineStr"/>
      <c r="AF1121" s="401" t="inlineStr"/>
      <c r="AG1121" s="401" t="inlineStr"/>
      <c r="AH1121" s="401" t="n"/>
      <c r="AI1121" s="401" t="n"/>
      <c r="AJ1121" s="401" t="n"/>
      <c r="AK1121" s="401" t="n"/>
      <c r="AL1121" s="401" t="n"/>
      <c r="AM1121" s="401" t="n"/>
      <c r="AN1121" s="401" t="n"/>
      <c r="AO1121" s="401" t="n"/>
      <c r="AP1121" s="401" t="inlineStr"/>
      <c r="AQ1121" s="401" t="inlineStr"/>
      <c r="AR1121" s="401" t="inlineStr"/>
      <c r="AS1121" s="401" t="n"/>
      <c r="AT1121" s="401" t="n"/>
      <c r="AU1121" s="401" t="n"/>
      <c r="AV1121" s="401" t="n"/>
      <c r="AW1121" s="401" t="n"/>
      <c r="AX1121" s="401" t="n"/>
      <c r="AY1121" s="401" t="n"/>
      <c r="AZ1121" s="401" t="inlineStr"/>
      <c r="BA1121" s="401" t="n"/>
      <c r="BB1121" s="401" t="inlineStr"/>
      <c r="BC1121" s="401" t="inlineStr"/>
      <c r="BD1121" s="401" t="inlineStr"/>
      <c r="BE1121" s="401" t="inlineStr"/>
      <c r="BF1121" s="401" t="inlineStr"/>
      <c r="BG1121" s="401" t="inlineStr"/>
      <c r="BH1121" s="401" t="inlineStr"/>
      <c r="BI1121" s="401" t="inlineStr"/>
      <c r="BJ1121" s="401" t="inlineStr"/>
      <c r="BK1121" s="401" t="inlineStr"/>
      <c r="BL1121" s="401" t="inlineStr"/>
      <c r="BM1121" s="401" t="inlineStr"/>
      <c r="BN1121" s="401" t="inlineStr"/>
      <c r="BO1121" s="401" t="inlineStr"/>
      <c r="BP1121" s="401" t="inlineStr"/>
      <c r="BQ1121" s="401" t="n"/>
      <c r="BR1121" s="401" t="n"/>
      <c r="BS1121" s="401" t="n"/>
      <c r="BT1121" s="401" t="n"/>
      <c r="BU1121" s="401" t="n"/>
      <c r="BV1121" s="401" t="n"/>
      <c r="BW1121" s="401" t="n"/>
      <c r="BX1121" s="401" t="n">
        <v>0</v>
      </c>
      <c r="BY1121" s="401" t="n"/>
      <c r="BZ1121" s="401" t="n"/>
      <c r="CA1121" s="401" t="n"/>
      <c r="CB1121" s="401" t="n"/>
      <c r="CC1121" s="401" t="n"/>
      <c r="CD1121" s="401" t="n"/>
      <c r="CE1121" s="401" t="n"/>
      <c r="CF1121" s="401" t="n">
        <v>0</v>
      </c>
      <c r="CG1121" s="401" t="n">
        <v>0</v>
      </c>
      <c r="CH1121" s="401" t="n"/>
      <c r="CI1121" s="401" t="inlineStr"/>
      <c r="CJ1121" s="401" t="inlineStr"/>
      <c r="CK1121" t="inlineStr"/>
      <c r="CL1121" t="inlineStr"/>
      <c r="CM1121" t="inlineStr"/>
      <c r="CN1121" t="inlineStr"/>
      <c r="CO1121" t="inlineStr"/>
      <c r="CP1121" t="inlineStr"/>
      <c r="CQ1121" t="inlineStr"/>
    </row>
    <row r="1122"/>
    <row r="1123">
      <c r="A1123" s="402" t="n">
        <v>52</v>
      </c>
      <c r="B1123" s="402">
        <f>B1130</f>
        <v/>
      </c>
      <c r="C1123" s="402">
        <f>C1130</f>
        <v/>
      </c>
      <c r="D1123" s="402">
        <f>D1130</f>
        <v/>
      </c>
      <c r="E1123" s="402">
        <f>E1130</f>
        <v/>
      </c>
      <c r="F1123" s="402">
        <f>F1130</f>
        <v/>
      </c>
      <c r="G1123" s="402">
        <f>G1130</f>
        <v/>
      </c>
      <c r="H1123" s="402" t="n"/>
      <c r="I1123" s="402" t="n"/>
      <c r="J1123" s="402" t="n"/>
      <c r="K1123" s="402" t="n"/>
      <c r="L1123" s="402" t="n"/>
      <c r="M1123" s="402" t="n"/>
      <c r="N1123" s="402" t="n"/>
      <c r="O1123" s="402">
        <f>O1130</f>
        <v/>
      </c>
      <c r="P1123" s="402">
        <f>P1130</f>
        <v/>
      </c>
      <c r="Q1123" s="402">
        <f>Q1130</f>
        <v/>
      </c>
      <c r="R1123" s="402">
        <f>R1130</f>
        <v/>
      </c>
      <c r="S1123" s="402">
        <f>S1130</f>
        <v/>
      </c>
      <c r="T1123" s="402">
        <f>T1130</f>
        <v/>
      </c>
      <c r="U1123" s="402">
        <f>U1130</f>
        <v/>
      </c>
      <c r="V1123" s="402">
        <f>V1130</f>
        <v/>
      </c>
      <c r="W1123" s="402">
        <f>W1130</f>
        <v/>
      </c>
      <c r="X1123" s="402">
        <f>X1130</f>
        <v/>
      </c>
      <c r="Y1123" s="402">
        <f>Y1130</f>
        <v/>
      </c>
      <c r="Z1123" s="402">
        <f>Z1130</f>
        <v/>
      </c>
      <c r="AA1123" s="402">
        <f>AA1130</f>
        <v/>
      </c>
      <c r="AB1123" s="402">
        <f>AB1130</f>
        <v/>
      </c>
      <c r="AC1123" s="402">
        <f>AC1130</f>
        <v/>
      </c>
      <c r="AD1123" s="402">
        <f>AD1130</f>
        <v/>
      </c>
      <c r="AE1123" s="402">
        <f>AE1130</f>
        <v/>
      </c>
      <c r="AF1123" s="402">
        <f>AF1130</f>
        <v/>
      </c>
      <c r="AG1123" s="402">
        <f>AG1130</f>
        <v/>
      </c>
      <c r="AH1123" s="402">
        <f>AH1130</f>
        <v/>
      </c>
      <c r="AI1123" s="402">
        <f>AI1130</f>
        <v/>
      </c>
      <c r="AJ1123" s="402">
        <f>AJ1130</f>
        <v/>
      </c>
      <c r="AK1123" s="402">
        <f>AK1130</f>
        <v/>
      </c>
      <c r="AL1123" s="402">
        <f>AL1130</f>
        <v/>
      </c>
      <c r="AM1123" s="402">
        <f>AM1130</f>
        <v/>
      </c>
      <c r="AN1123" s="402">
        <f>AN1130</f>
        <v/>
      </c>
      <c r="AO1123" s="402">
        <f>AO1130</f>
        <v/>
      </c>
      <c r="AP1123" s="402">
        <f>AP1130</f>
        <v/>
      </c>
      <c r="AQ1123" s="402">
        <f>AQ1130</f>
        <v/>
      </c>
      <c r="AR1123" s="402">
        <f>AR1130</f>
        <v/>
      </c>
      <c r="AS1123" s="402">
        <f>AS1130</f>
        <v/>
      </c>
      <c r="AT1123" s="402">
        <f>AT1130</f>
        <v/>
      </c>
      <c r="AU1123" s="402">
        <f>AU1130</f>
        <v/>
      </c>
      <c r="AV1123" s="402">
        <f>AV1130</f>
        <v/>
      </c>
      <c r="AW1123" s="402">
        <f>AW1130</f>
        <v/>
      </c>
      <c r="AX1123" s="402">
        <f>AX1130</f>
        <v/>
      </c>
      <c r="AY1123" s="402">
        <f>AY1130</f>
        <v/>
      </c>
      <c r="AZ1123" s="402">
        <f>AZ1130</f>
        <v/>
      </c>
      <c r="BA1123" s="402">
        <f>BA1130</f>
        <v/>
      </c>
      <c r="BB1123" s="402">
        <f>BB1130</f>
        <v/>
      </c>
      <c r="BC1123" s="402">
        <f>BC1130</f>
        <v/>
      </c>
      <c r="BD1123" s="402">
        <f>BD1130</f>
        <v/>
      </c>
      <c r="BE1123" s="402">
        <f>BE1130</f>
        <v/>
      </c>
      <c r="BF1123" s="402">
        <f>BF1130</f>
        <v/>
      </c>
      <c r="BG1123" s="402">
        <f>BG1130</f>
        <v/>
      </c>
      <c r="BH1123" s="402">
        <f>BH1130</f>
        <v/>
      </c>
      <c r="BI1123" s="402">
        <f>BI1130</f>
        <v/>
      </c>
      <c r="BJ1123" s="402">
        <f>BJ1130</f>
        <v/>
      </c>
      <c r="BK1123" s="402">
        <f>BK1130</f>
        <v/>
      </c>
      <c r="BL1123" s="402">
        <f>BL1130</f>
        <v/>
      </c>
      <c r="BM1123" s="402">
        <f>BM1130</f>
        <v/>
      </c>
      <c r="BN1123" s="402">
        <f>BN1130</f>
        <v/>
      </c>
      <c r="BO1123" s="402">
        <f>BO1130</f>
        <v/>
      </c>
      <c r="BP1123" s="402">
        <f>BP1130</f>
        <v/>
      </c>
      <c r="BQ1123" s="402">
        <f>BQ1130</f>
        <v/>
      </c>
      <c r="BR1123" s="402">
        <f>BR1130</f>
        <v/>
      </c>
      <c r="BS1123" s="402">
        <f>BS1130</f>
        <v/>
      </c>
      <c r="BT1123" s="402">
        <f>BT1130</f>
        <v/>
      </c>
      <c r="BU1123" s="402">
        <f>BU1130</f>
        <v/>
      </c>
      <c r="BV1123" s="402">
        <f>BV1130</f>
        <v/>
      </c>
      <c r="BW1123" s="402">
        <f>BW1130</f>
        <v/>
      </c>
      <c r="BX1123" s="402">
        <f>BX1130</f>
        <v/>
      </c>
      <c r="BY1123" s="402">
        <f>BY1130</f>
        <v/>
      </c>
      <c r="BZ1123" s="402">
        <f>BZ1130</f>
        <v/>
      </c>
      <c r="CA1123" s="402">
        <f>CA1130</f>
        <v/>
      </c>
      <c r="CB1123" s="402">
        <f>CB1130</f>
        <v/>
      </c>
      <c r="CC1123" s="402">
        <f>CC1130</f>
        <v/>
      </c>
      <c r="CD1123" s="402">
        <f>CD1130</f>
        <v/>
      </c>
      <c r="CE1123" s="402">
        <f>CE1130</f>
        <v/>
      </c>
      <c r="CF1123" s="402">
        <f>CF1130</f>
        <v/>
      </c>
      <c r="CG1123" s="402">
        <f>CG1130</f>
        <v/>
      </c>
      <c r="CH1123" s="402">
        <f>CH1130</f>
        <v/>
      </c>
      <c r="CI1123" s="402">
        <f>CI1130</f>
        <v/>
      </c>
      <c r="CJ1123" s="402">
        <f>CJ1130</f>
        <v/>
      </c>
      <c r="CK1123" s="402">
        <f>CK1130</f>
        <v/>
      </c>
      <c r="CL1123" s="402">
        <f>CL1130</f>
        <v/>
      </c>
      <c r="CM1123" s="402">
        <f>CM1130</f>
        <v/>
      </c>
      <c r="CN1123" s="402">
        <f>CN1130</f>
        <v/>
      </c>
      <c r="CO1123" s="402">
        <f>CO1130</f>
        <v/>
      </c>
      <c r="CP1123" s="402">
        <f>CP1130</f>
        <v/>
      </c>
      <c r="CQ1123" s="402">
        <f>CQ1130</f>
        <v/>
      </c>
      <c r="CR1123" s="402">
        <f>CR1130</f>
        <v/>
      </c>
      <c r="CS1123" s="402">
        <f>CS1130</f>
        <v/>
      </c>
      <c r="CT1123" s="402">
        <f>CT1130</f>
        <v/>
      </c>
      <c r="CU1123" s="402">
        <f>CU1130</f>
        <v/>
      </c>
      <c r="CV1123" s="402">
        <f>CV1130</f>
        <v/>
      </c>
      <c r="CW1123" s="402">
        <f>CW1130</f>
        <v/>
      </c>
      <c r="CX1123" s="402">
        <f>CX1130</f>
        <v/>
      </c>
      <c r="CY1123" s="402">
        <f>CY1130</f>
        <v/>
      </c>
      <c r="CZ1123" s="402">
        <f>CZ1130</f>
        <v/>
      </c>
      <c r="DA1123" s="402">
        <f>DA1130</f>
        <v/>
      </c>
      <c r="DB1123" s="402">
        <f>DB1130</f>
        <v/>
      </c>
      <c r="DC1123" s="402">
        <f>DC1130</f>
        <v/>
      </c>
      <c r="DD1123" s="402">
        <f>DD1130</f>
        <v/>
      </c>
      <c r="DE1123" s="402">
        <f>DE1130</f>
        <v/>
      </c>
      <c r="DF1123" s="402">
        <f>DF1130</f>
        <v/>
      </c>
      <c r="DG1123" s="403">
        <f>DG1130</f>
        <v/>
      </c>
      <c r="DH1123" s="403">
        <f>DH1130</f>
        <v/>
      </c>
      <c r="DI1123" s="403">
        <f>DI1130</f>
        <v/>
      </c>
      <c r="DJ1123" s="403">
        <f>DJ1130</f>
        <v/>
      </c>
      <c r="DK1123" s="403">
        <f>DK1130</f>
        <v/>
      </c>
      <c r="DL1123" s="403">
        <f>DL1130</f>
        <v/>
      </c>
      <c r="DM1123" s="403">
        <f>DM1130</f>
        <v/>
      </c>
      <c r="DN1123" s="403">
        <f>DN1130</f>
        <v/>
      </c>
      <c r="DO1123" s="403">
        <f>DO1130</f>
        <v/>
      </c>
      <c r="DP1123" s="403">
        <f>DP1130</f>
        <v/>
      </c>
      <c r="DQ1123" s="403">
        <f>DQ1130</f>
        <v/>
      </c>
      <c r="DR1123" s="403">
        <f>DR1130</f>
        <v/>
      </c>
      <c r="DS1123" s="403">
        <f>DS1130</f>
        <v/>
      </c>
      <c r="DT1123" s="403">
        <f>DT1130</f>
        <v/>
      </c>
      <c r="DU1123" s="403">
        <f>DU1130</f>
        <v/>
      </c>
      <c r="DV1123" s="403">
        <f>DV1130</f>
        <v/>
      </c>
      <c r="DW1123" s="403">
        <f>DW1130</f>
        <v/>
      </c>
      <c r="DX1123" s="403">
        <f>DX1130</f>
        <v/>
      </c>
      <c r="DY1123" s="403">
        <f>DY1130</f>
        <v/>
      </c>
      <c r="DZ1123" s="403">
        <f>DZ1130</f>
        <v/>
      </c>
      <c r="EA1123" s="403">
        <f>EA1130</f>
        <v/>
      </c>
      <c r="EB1123" s="403">
        <f>EB1130</f>
        <v/>
      </c>
      <c r="EC1123" s="403">
        <f>EC1130</f>
        <v/>
      </c>
      <c r="ED1123" s="403">
        <f>ED1130</f>
        <v/>
      </c>
      <c r="EE1123" s="403">
        <f>EE1130</f>
        <v/>
      </c>
      <c r="EF1123" s="403">
        <f>EF1130</f>
        <v/>
      </c>
      <c r="EG1123" s="403">
        <f>EG1130</f>
        <v/>
      </c>
      <c r="EH1123" s="403">
        <f>EH1130</f>
        <v/>
      </c>
      <c r="EI1123" s="403">
        <f>EI1130</f>
        <v/>
      </c>
      <c r="EJ1123" s="403">
        <f>EJ1130</f>
        <v/>
      </c>
      <c r="EK1123" s="403">
        <f>EK1130</f>
        <v/>
      </c>
      <c r="EL1123" s="403">
        <f>EL1130</f>
        <v/>
      </c>
      <c r="EM1123" s="403">
        <f>EM1130</f>
        <v/>
      </c>
      <c r="EN1123" s="403">
        <f>EN1130</f>
        <v/>
      </c>
      <c r="EO1123" s="403">
        <f>EO1130</f>
        <v/>
      </c>
      <c r="EP1123" s="403">
        <f>EP1130</f>
        <v/>
      </c>
      <c r="EQ1123" s="403">
        <f>EQ1130</f>
        <v/>
      </c>
      <c r="ER1123" s="403">
        <f>ER1130</f>
        <v/>
      </c>
      <c r="ES1123" s="403">
        <f>ES1130</f>
        <v/>
      </c>
      <c r="ET1123" s="403">
        <f>ET1130</f>
        <v/>
      </c>
      <c r="EU1123" s="403">
        <f>EU1130</f>
        <v/>
      </c>
      <c r="EV1123" s="403">
        <f>EV1130</f>
        <v/>
      </c>
      <c r="EW1123" s="403">
        <f>EW1130</f>
        <v/>
      </c>
      <c r="EX1123" s="403">
        <f>EX1130</f>
        <v/>
      </c>
      <c r="EY1123" s="403">
        <f>EY1130</f>
        <v/>
      </c>
      <c r="EZ1123" s="403">
        <f>EZ1130</f>
        <v/>
      </c>
      <c r="FA1123" s="403">
        <f>FA1130</f>
        <v/>
      </c>
      <c r="FB1123" s="403">
        <f>FB1130</f>
        <v/>
      </c>
      <c r="FC1123" s="403">
        <f>FC1130</f>
        <v/>
      </c>
      <c r="FD1123" s="403">
        <f>FD1130</f>
        <v/>
      </c>
      <c r="FE1123" s="403">
        <f>FE1130</f>
        <v/>
      </c>
      <c r="FF1123" s="403">
        <f>FF1130</f>
        <v/>
      </c>
      <c r="FG1123" s="403">
        <f>FG1130</f>
        <v/>
      </c>
      <c r="FH1123" s="403">
        <f>FH1130</f>
        <v/>
      </c>
      <c r="FI1123" s="403">
        <f>FI1130</f>
        <v/>
      </c>
      <c r="FJ1123" s="403">
        <f>FJ1130</f>
        <v/>
      </c>
      <c r="FK1123" s="403">
        <f>FK1130</f>
        <v/>
      </c>
      <c r="FL1123" s="403">
        <f>FL1130</f>
        <v/>
      </c>
      <c r="FM1123" s="403">
        <f>FM1130</f>
        <v/>
      </c>
      <c r="FN1123" s="403">
        <f>FN1130</f>
        <v/>
      </c>
      <c r="FO1123" s="403">
        <f>FO1130</f>
        <v/>
      </c>
      <c r="FP1123" s="403">
        <f>FP1130</f>
        <v/>
      </c>
      <c r="FQ1123" s="403">
        <f>FQ1130</f>
        <v/>
      </c>
      <c r="FR1123" s="403">
        <f>FR1130</f>
        <v/>
      </c>
      <c r="FS1123" s="403">
        <f>FS1130</f>
        <v/>
      </c>
      <c r="FT1123" s="403">
        <f>FT1130</f>
        <v/>
      </c>
      <c r="FU1123" s="403">
        <f>FU1130</f>
        <v/>
      </c>
      <c r="FV1123" s="403">
        <f>FV1130</f>
        <v/>
      </c>
      <c r="FW1123" s="403">
        <f>FW1130</f>
        <v/>
      </c>
      <c r="FX1123" s="403">
        <f>FX1130</f>
        <v/>
      </c>
      <c r="FY1123" s="403">
        <f>FY1130</f>
        <v/>
      </c>
      <c r="FZ1123" s="403">
        <f>FZ1130</f>
        <v/>
      </c>
      <c r="GA1123" s="403">
        <f>GA1130</f>
        <v/>
      </c>
      <c r="GB1123" s="403">
        <f>GB1130</f>
        <v/>
      </c>
      <c r="GC1123" s="403">
        <f>GC1130</f>
        <v/>
      </c>
      <c r="GD1123" s="403">
        <f>GD1130</f>
        <v/>
      </c>
      <c r="GE1123" s="403">
        <f>GE1130</f>
        <v/>
      </c>
      <c r="GF1123" s="403">
        <f>GF1130</f>
        <v/>
      </c>
      <c r="GG1123" s="403">
        <f>GG1130</f>
        <v/>
      </c>
      <c r="GH1123" s="403">
        <f>GH1130</f>
        <v/>
      </c>
      <c r="GI1123" s="403">
        <f>GI1130</f>
        <v/>
      </c>
      <c r="GJ1123" s="403">
        <f>GJ1130</f>
        <v/>
      </c>
      <c r="GK1123" s="403">
        <f>GK1130</f>
        <v/>
      </c>
      <c r="GL1123" s="403">
        <f>GL1130</f>
        <v/>
      </c>
      <c r="GM1123" s="403">
        <f>GM1130</f>
        <v/>
      </c>
      <c r="GN1123" s="403">
        <f>GN1130</f>
        <v/>
      </c>
      <c r="GO1123" s="403">
        <f>GO1130</f>
        <v/>
      </c>
      <c r="GP1123" s="403">
        <f>GP1130</f>
        <v/>
      </c>
      <c r="GQ1123" s="403">
        <f>GQ1130</f>
        <v/>
      </c>
      <c r="GR1123" s="403">
        <f>GR1130</f>
        <v/>
      </c>
      <c r="GS1123" s="403">
        <f>GS1130</f>
        <v/>
      </c>
      <c r="GT1123" s="403">
        <f>GT1130</f>
        <v/>
      </c>
      <c r="GU1123" s="403">
        <f>GU1130</f>
        <v/>
      </c>
      <c r="GV1123" s="403">
        <f>GV1130</f>
        <v/>
      </c>
      <c r="GW1123" s="403">
        <f>GW1130</f>
        <v/>
      </c>
      <c r="GX1123" s="403">
        <f>GX1130</f>
        <v/>
      </c>
    </row>
    <row r="1124"/>
    <row r="1125">
      <c r="A1125" t="n">
        <v>17</v>
      </c>
      <c r="B1125" t="n">
        <v>0</v>
      </c>
      <c r="C1125">
        <f>ROW(SmtRes!A528)</f>
        <v/>
      </c>
      <c r="D1125">
        <f>ROW(EtalonRes!A484)</f>
        <v/>
      </c>
      <c r="E1125" t="inlineStr">
        <is>
          <t>1</t>
        </is>
      </c>
      <c r="F1125" t="inlineStr">
        <is>
          <t>65-10-1</t>
        </is>
      </c>
      <c r="G1125" t="inlineStr">
        <is>
          <t>Очистка канализационной сети внутренней</t>
        </is>
      </c>
      <c r="H1125" t="inlineStr">
        <is>
          <t>100 м трубопровода</t>
        </is>
      </c>
      <c r="I1125">
        <f>ROUND(ROUND(15/100,4),7)</f>
        <v/>
      </c>
      <c r="J1125" t="n">
        <v>0</v>
      </c>
      <c r="K1125">
        <f>ROUND(ROUND(15/100,4),7)</f>
        <v/>
      </c>
      <c r="O1125">
        <f>ROUND(CP1125,0)</f>
        <v/>
      </c>
      <c r="P1125">
        <f>ROUND(CQ1125*I1125,0)</f>
        <v/>
      </c>
      <c r="Q1125">
        <f>(ROUND((ROUND(((ET1125)*I1125),0)*BB1125),0)+ROUND((ROUND(((AE1125-(EU1125))*I1125),0)*BS1125),0))</f>
        <v/>
      </c>
      <c r="R1125">
        <f>(ROUND((ROUND(((EU1125)*I1125),0)*BS1125),0)+ROUND((ROUND(((AE1125-(EU1125))*I1125),0)*BS1125),0))</f>
        <v/>
      </c>
      <c r="S1125">
        <f>ROUND(CT1125*I1125,0)</f>
        <v/>
      </c>
      <c r="T1125">
        <f>ROUND(CU1125*I1125,0)</f>
        <v/>
      </c>
      <c r="U1125">
        <f>ROUND(CV1125*I1125,7)</f>
        <v/>
      </c>
      <c r="V1125">
        <f>ROUND(CW1125*I1125,7)</f>
        <v/>
      </c>
      <c r="W1125">
        <f>ROUND(CX1125*I1125,0)</f>
        <v/>
      </c>
      <c r="X1125">
        <f>ROUND(CY1125,0)</f>
        <v/>
      </c>
      <c r="Y1125">
        <f>ROUND(CZ1125,0)</f>
        <v/>
      </c>
      <c r="AA1125" t="n">
        <v>78869116</v>
      </c>
      <c r="AB1125">
        <f>ROUND((AC1125+AD1125+AF1125),2)</f>
        <v/>
      </c>
      <c r="AC1125">
        <f>ROUND((ES1125),2)</f>
        <v/>
      </c>
      <c r="AD1125">
        <f>ROUND((((ET1125)-(EU1125))+AE1125),2)</f>
        <v/>
      </c>
      <c r="AE1125">
        <f>ROUND((EU1125),2)</f>
        <v/>
      </c>
      <c r="AF1125">
        <f>ROUND((EV1125),2)</f>
        <v/>
      </c>
      <c r="AG1125">
        <f>ROUND((AP1125),2)</f>
        <v/>
      </c>
      <c r="AH1125">
        <f>(EW1125)</f>
        <v/>
      </c>
      <c r="AI1125">
        <f>(EX1125)</f>
        <v/>
      </c>
      <c r="AJ1125">
        <f>(AS1125)</f>
        <v/>
      </c>
      <c r="AK1125" t="n">
        <v>403.3</v>
      </c>
      <c r="AL1125" t="n">
        <v>139.36</v>
      </c>
      <c r="AM1125" t="n">
        <v>0.87</v>
      </c>
      <c r="AN1125" t="n">
        <v>0</v>
      </c>
      <c r="AO1125" t="n">
        <v>263.07</v>
      </c>
      <c r="AP1125" t="n">
        <v>0</v>
      </c>
      <c r="AQ1125" t="n">
        <v>32.2</v>
      </c>
      <c r="AR1125" t="n">
        <v>0</v>
      </c>
      <c r="AS1125" t="n">
        <v>0</v>
      </c>
      <c r="AT1125" t="n">
        <v>103</v>
      </c>
      <c r="AU1125" t="n">
        <v>52</v>
      </c>
      <c r="AV1125" t="n">
        <v>1</v>
      </c>
      <c r="AW1125" t="n">
        <v>1</v>
      </c>
      <c r="AZ1125" t="n">
        <v>1</v>
      </c>
      <c r="BA1125" t="n">
        <v>52.25</v>
      </c>
      <c r="BB1125" t="n">
        <v>25.03</v>
      </c>
      <c r="BC1125" t="n">
        <v>11.85</v>
      </c>
      <c r="BD1125" t="inlineStr"/>
      <c r="BE1125" t="inlineStr"/>
      <c r="BF1125" t="inlineStr"/>
      <c r="BG1125" t="inlineStr"/>
      <c r="BH1125" t="n">
        <v>0</v>
      </c>
      <c r="BI1125" t="n">
        <v>1</v>
      </c>
      <c r="BJ1125" t="inlineStr">
        <is>
          <t>ТЕРр Московской обл., 65-10-1, приказ Минстроя России №675/пр от 28.02.2017 № 263/пр</t>
        </is>
      </c>
      <c r="BM1125" t="n">
        <v>65007</v>
      </c>
      <c r="BN1125" t="n">
        <v>0</v>
      </c>
      <c r="BO1125" t="inlineStr">
        <is>
          <t>65-10-1</t>
        </is>
      </c>
      <c r="BP1125" t="n">
        <v>1</v>
      </c>
      <c r="BQ1125" t="n">
        <v>6</v>
      </c>
      <c r="BR1125" t="n">
        <v>0</v>
      </c>
      <c r="BS1125" t="n">
        <v>52.25</v>
      </c>
      <c r="BT1125" t="n">
        <v>1</v>
      </c>
      <c r="BU1125" t="n">
        <v>1</v>
      </c>
      <c r="BV1125" t="n">
        <v>1</v>
      </c>
      <c r="BW1125" t="n">
        <v>1</v>
      </c>
      <c r="BX1125" t="n">
        <v>1</v>
      </c>
      <c r="BY1125" t="inlineStr"/>
      <c r="BZ1125" t="n">
        <v>103</v>
      </c>
      <c r="CA1125" t="n">
        <v>52</v>
      </c>
      <c r="CB1125" t="inlineStr"/>
      <c r="CE1125" t="n">
        <v>12</v>
      </c>
      <c r="CF1125" t="n">
        <v>0</v>
      </c>
      <c r="CG1125" t="n">
        <v>0</v>
      </c>
      <c r="CM1125" t="n">
        <v>0</v>
      </c>
      <c r="CN1125" t="inlineStr"/>
      <c r="CO1125" t="n">
        <v>0</v>
      </c>
      <c r="CP1125">
        <f>(P1125+Q1125+S1125)</f>
        <v/>
      </c>
      <c r="CQ1125">
        <f>AC1125*BC1125</f>
        <v/>
      </c>
      <c r="CR1125">
        <f>(ROUND((ROUND(((ET1125)*1),0)*BB1125),0)+ROUND((ROUND(((AE1125-(EU1125))*1),0)*BS1125),0))</f>
        <v/>
      </c>
      <c r="CS1125">
        <f>(ROUND((ROUND(((EU1125)*1),0)*BS1125),0)+ROUND((ROUND(((AE1125-(EU1125))*1),0)*BS1125),0))</f>
        <v/>
      </c>
      <c r="CT1125">
        <f>AF1125*BA1125</f>
        <v/>
      </c>
      <c r="CU1125">
        <f>AG1125</f>
        <v/>
      </c>
      <c r="CV1125">
        <f>AH1125</f>
        <v/>
      </c>
      <c r="CW1125">
        <f>AI1125</f>
        <v/>
      </c>
      <c r="CX1125">
        <f>AJ1125</f>
        <v/>
      </c>
      <c r="CY1125">
        <f>(((S1125+R1125)*AT1125)/100)</f>
        <v/>
      </c>
      <c r="CZ1125">
        <f>(((S1125+R1125)*AU1125)/100)</f>
        <v/>
      </c>
      <c r="DC1125" t="inlineStr"/>
      <c r="DD1125" t="inlineStr"/>
      <c r="DE1125" t="inlineStr"/>
      <c r="DF1125" t="inlineStr"/>
      <c r="DG1125" t="inlineStr"/>
      <c r="DH1125" t="inlineStr"/>
      <c r="DI1125" t="inlineStr"/>
      <c r="DJ1125" t="inlineStr"/>
      <c r="DK1125" t="inlineStr"/>
      <c r="DL1125" t="inlineStr"/>
      <c r="DM1125" t="inlineStr"/>
      <c r="DN1125" t="n">
        <v>0</v>
      </c>
      <c r="DO1125" t="n">
        <v>0</v>
      </c>
      <c r="DP1125" t="n">
        <v>1</v>
      </c>
      <c r="DQ1125" t="n">
        <v>1</v>
      </c>
      <c r="DU1125" t="n">
        <v>1013</v>
      </c>
      <c r="DV1125" t="inlineStr">
        <is>
          <t>100 м трубопровода</t>
        </is>
      </c>
      <c r="DW1125" t="inlineStr">
        <is>
          <t>100 м трубопровода</t>
        </is>
      </c>
      <c r="DX1125" t="n">
        <v>1</v>
      </c>
      <c r="DZ1125" t="inlineStr"/>
      <c r="EA1125" t="inlineStr"/>
      <c r="EB1125" t="inlineStr"/>
      <c r="EC1125" t="inlineStr"/>
      <c r="EE1125" t="n">
        <v>78726000</v>
      </c>
      <c r="EF1125" t="n">
        <v>6</v>
      </c>
      <c r="EG1125" t="inlineStr">
        <is>
          <t>Ремонтно-строительные работы</t>
        </is>
      </c>
      <c r="EH1125" t="n">
        <v>99</v>
      </c>
      <c r="EI1125" t="inlineStr">
        <is>
          <t>Внутренние санитарно-технические работы</t>
        </is>
      </c>
      <c r="EJ1125" t="n">
        <v>1</v>
      </c>
      <c r="EK1125" t="n">
        <v>65007</v>
      </c>
      <c r="EL1125" t="inlineStr">
        <is>
          <t>Внутренние санитарнотехнические работы: смена труб, санприборов, запорной арматуры и другое</t>
        </is>
      </c>
      <c r="EM1125" t="inlineStr">
        <is>
          <t>рФЕР-65</t>
        </is>
      </c>
      <c r="EO1125" t="inlineStr"/>
      <c r="EQ1125" t="n">
        <v>0</v>
      </c>
      <c r="ER1125" t="n">
        <v>403.3</v>
      </c>
      <c r="ES1125" t="n">
        <v>139.36</v>
      </c>
      <c r="ET1125" t="n">
        <v>0.87</v>
      </c>
      <c r="EU1125" t="n">
        <v>0</v>
      </c>
      <c r="EV1125" t="n">
        <v>263.07</v>
      </c>
      <c r="EW1125" t="n">
        <v>32.2</v>
      </c>
      <c r="EX1125" t="n">
        <v>0</v>
      </c>
      <c r="EY1125" t="n">
        <v>0</v>
      </c>
      <c r="FQ1125" t="n">
        <v>0</v>
      </c>
      <c r="FR1125" t="n">
        <v>0</v>
      </c>
      <c r="FS1125" t="n">
        <v>0</v>
      </c>
      <c r="FX1125" t="n">
        <v>103</v>
      </c>
      <c r="FY1125" t="n">
        <v>52</v>
      </c>
      <c r="GA1125" t="inlineStr"/>
      <c r="GD1125" t="n">
        <v>1</v>
      </c>
      <c r="GF1125" t="n">
        <v>-66904957</v>
      </c>
      <c r="GG1125" t="n">
        <v>2</v>
      </c>
      <c r="GH1125" t="n">
        <v>1</v>
      </c>
      <c r="GI1125" t="n">
        <v>2</v>
      </c>
      <c r="GJ1125" t="n">
        <v>0</v>
      </c>
      <c r="GK1125" t="n">
        <v>0</v>
      </c>
      <c r="GL1125">
        <f>ROUND(IF(AND(BH1125=3,BI1125=3,FS1125&lt;&gt;0),P1125,0),0)</f>
        <v/>
      </c>
      <c r="GM1125">
        <f>ROUND(O1125+X1125+Y1125,0)+GX1125</f>
        <v/>
      </c>
      <c r="GN1125">
        <f>IF(OR(BI1125=0,BI1125=1),GM1125-GX1125,0)</f>
        <v/>
      </c>
      <c r="GO1125">
        <f>IF(BI1125=2,GM1125-GX1125,0)</f>
        <v/>
      </c>
      <c r="GP1125">
        <f>IF(BI1125=4,GM1125-GX1125,0)</f>
        <v/>
      </c>
      <c r="GR1125" t="n">
        <v>0</v>
      </c>
      <c r="GS1125" t="n">
        <v>3</v>
      </c>
      <c r="GT1125" t="n">
        <v>0</v>
      </c>
      <c r="GU1125" t="inlineStr"/>
      <c r="GV1125">
        <f>ROUND((GT1125),2)</f>
        <v/>
      </c>
      <c r="GW1125" t="n">
        <v>1</v>
      </c>
      <c r="GX1125">
        <f>ROUND(HC1125*I1125,0)</f>
        <v/>
      </c>
      <c r="HA1125" t="n">
        <v>0</v>
      </c>
      <c r="HB1125" t="n">
        <v>0</v>
      </c>
      <c r="HC1125">
        <f>GV1125*GW1125</f>
        <v/>
      </c>
      <c r="HE1125" t="inlineStr"/>
      <c r="HF1125" t="inlineStr"/>
      <c r="HM1125" t="inlineStr"/>
      <c r="HN1125" t="inlineStr">
        <is>
          <t>Пр/812-099.2-1</t>
        </is>
      </c>
      <c r="HO1125" t="inlineStr">
        <is>
          <t>Пр/774-099.2</t>
        </is>
      </c>
      <c r="HP1125" t="inlineStr">
        <is>
          <t>Внутренние санитарнотехнические работы: смена труб, санприборов, запорной арматуры и другое</t>
        </is>
      </c>
      <c r="HQ1125" t="inlineStr">
        <is>
          <t>Внутренние санитарнотехнические работы: смена труб, санприборов, запорной арматуры и другое</t>
        </is>
      </c>
      <c r="HS1125" t="n">
        <v>0</v>
      </c>
      <c r="IK1125" t="n">
        <v>0</v>
      </c>
    </row>
    <row r="1126">
      <c r="A1126" t="n">
        <v>17</v>
      </c>
      <c r="B1126" t="n">
        <v>0</v>
      </c>
      <c r="C1126">
        <f>ROW(SmtRes!A534)</f>
        <v/>
      </c>
      <c r="D1126">
        <f>ROW(EtalonRes!A490)</f>
        <v/>
      </c>
      <c r="E1126" t="inlineStr">
        <is>
          <t>2</t>
        </is>
      </c>
      <c r="F1126" t="inlineStr">
        <is>
          <t>16-07-005-1</t>
        </is>
      </c>
      <c r="G112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26" t="inlineStr">
        <is>
          <t>100 м трубопровода</t>
        </is>
      </c>
      <c r="I1126">
        <f>ROUND(ROUND(60/100,4),7)</f>
        <v/>
      </c>
      <c r="J1126" t="n">
        <v>0</v>
      </c>
      <c r="K1126">
        <f>ROUND(ROUND(60/100,4),7)</f>
        <v/>
      </c>
      <c r="O1126">
        <f>ROUND(CP1126,0)</f>
        <v/>
      </c>
      <c r="P1126">
        <f>ROUND(CQ1126*I1126,0)</f>
        <v/>
      </c>
      <c r="Q1126">
        <f>(ROUND((ROUND((((ET1126*ROUND(6,7)))*I1126),0)*BB1126),0)+ROUND((ROUND(((AE1126-((EU1126*ROUND(6,7))))*I1126),0)*BS1126),0))</f>
        <v/>
      </c>
      <c r="R1126">
        <f>(ROUND((ROUND((((EU1126*ROUND(6,7)))*I1126),0)*BS1126),0)+ROUND((ROUND(((AE1126-((EU1126*ROUND(6,7))))*I1126),0)*BS1126),0))</f>
        <v/>
      </c>
      <c r="S1126">
        <f>ROUND(CT1126*I1126,0)</f>
        <v/>
      </c>
      <c r="T1126">
        <f>ROUND(CU1126*I1126,0)</f>
        <v/>
      </c>
      <c r="U1126">
        <f>ROUND(CV1126*I1126,7)</f>
        <v/>
      </c>
      <c r="V1126">
        <f>ROUND(CW1126*I1126,7)</f>
        <v/>
      </c>
      <c r="W1126">
        <f>ROUND(CX1126*I1126,0)</f>
        <v/>
      </c>
      <c r="X1126">
        <f>ROUND(CY1126,0)</f>
        <v/>
      </c>
      <c r="Y1126">
        <f>ROUND(CZ1126,0)</f>
        <v/>
      </c>
      <c r="AA1126" t="n">
        <v>78869116</v>
      </c>
      <c r="AB1126">
        <f>ROUND((AC1126+AD1126+AF1126),2)</f>
        <v/>
      </c>
      <c r="AC1126">
        <f>ROUND(((ES1126*ROUND(6,7))),2)</f>
        <v/>
      </c>
      <c r="AD1126">
        <f>ROUND(((((ET1126*ROUND(6,7)))-((EU1126*ROUND(6,7))))+AE1126),2)</f>
        <v/>
      </c>
      <c r="AE1126">
        <f>ROUND(((EU1126*ROUND(6,7))),2)</f>
        <v/>
      </c>
      <c r="AF1126">
        <f>ROUND(((EV1126*ROUND(6,7))),2)</f>
        <v/>
      </c>
      <c r="AG1126">
        <f>ROUND((AP1126),2)</f>
        <v/>
      </c>
      <c r="AH1126">
        <f>((EW1126*ROUND(6,7)))</f>
        <v/>
      </c>
      <c r="AI1126">
        <f>((EX1126*ROUND(6,7)))</f>
        <v/>
      </c>
      <c r="AJ1126">
        <f>(AS1126)</f>
        <v/>
      </c>
      <c r="AK1126" t="n">
        <v>107.11</v>
      </c>
      <c r="AL1126" t="n">
        <v>4.28</v>
      </c>
      <c r="AM1126" t="n">
        <v>44.51</v>
      </c>
      <c r="AN1126" t="n">
        <v>0</v>
      </c>
      <c r="AO1126" t="n">
        <v>58.32</v>
      </c>
      <c r="AP1126" t="n">
        <v>0</v>
      </c>
      <c r="AQ1126" t="n">
        <v>5.01</v>
      </c>
      <c r="AR1126" t="n">
        <v>0</v>
      </c>
      <c r="AS1126" t="n">
        <v>0</v>
      </c>
      <c r="AT1126" t="n">
        <v>121</v>
      </c>
      <c r="AU1126" t="n">
        <v>72</v>
      </c>
      <c r="AV1126" t="n">
        <v>1</v>
      </c>
      <c r="AW1126" t="n">
        <v>1</v>
      </c>
      <c r="AZ1126" t="n">
        <v>1</v>
      </c>
      <c r="BA1126" t="n">
        <v>52.25</v>
      </c>
      <c r="BB1126" t="n">
        <v>5.97</v>
      </c>
      <c r="BC1126" t="n">
        <v>11.38</v>
      </c>
      <c r="BD1126" t="inlineStr"/>
      <c r="BE1126" t="inlineStr"/>
      <c r="BF1126" t="inlineStr"/>
      <c r="BG1126" t="inlineStr"/>
      <c r="BH1126" t="n">
        <v>0</v>
      </c>
      <c r="BI1126" t="n">
        <v>1</v>
      </c>
      <c r="BJ1126" t="inlineStr">
        <is>
          <t>ТЕР Московской обл., 16-07-005-1, приказ Минстроя России №675/пр от 28.02.2017 № 260/пр</t>
        </is>
      </c>
      <c r="BM1126" t="n">
        <v>16001</v>
      </c>
      <c r="BN1126" t="n">
        <v>0</v>
      </c>
      <c r="BO1126" t="inlineStr">
        <is>
          <t>16-07-005-1</t>
        </is>
      </c>
      <c r="BP1126" t="n">
        <v>1</v>
      </c>
      <c r="BQ1126" t="n">
        <v>2</v>
      </c>
      <c r="BR1126" t="n">
        <v>0</v>
      </c>
      <c r="BS1126" t="n">
        <v>52.25</v>
      </c>
      <c r="BT1126" t="n">
        <v>1</v>
      </c>
      <c r="BU1126" t="n">
        <v>1</v>
      </c>
      <c r="BV1126" t="n">
        <v>1</v>
      </c>
      <c r="BW1126" t="n">
        <v>1</v>
      </c>
      <c r="BX1126" t="n">
        <v>1</v>
      </c>
      <c r="BY1126" t="inlineStr"/>
      <c r="BZ1126" t="n">
        <v>121</v>
      </c>
      <c r="CA1126" t="n">
        <v>72</v>
      </c>
      <c r="CB1126" t="inlineStr"/>
      <c r="CE1126" t="n">
        <v>12</v>
      </c>
      <c r="CF1126" t="n">
        <v>0</v>
      </c>
      <c r="CG1126" t="n">
        <v>0</v>
      </c>
      <c r="CM1126" t="n">
        <v>0</v>
      </c>
      <c r="CN1126" t="inlineStr"/>
      <c r="CO1126" t="n">
        <v>0</v>
      </c>
      <c r="CP1126">
        <f>(P1126+Q1126+S1126)</f>
        <v/>
      </c>
      <c r="CQ1126">
        <f>AC1126*BC1126</f>
        <v/>
      </c>
      <c r="CR1126">
        <f>(ROUND((ROUND((((ET1126*ROUND(6,7)))*1),0)*BB1126),0)+ROUND((ROUND(((AE1126-((EU1126*ROUND(6,7))))*1),0)*BS1126),0))</f>
        <v/>
      </c>
      <c r="CS1126">
        <f>(ROUND((ROUND((((EU1126*ROUND(6,7)))*1),0)*BS1126),0)+ROUND((ROUND(((AE1126-((EU1126*ROUND(6,7))))*1),0)*BS1126),0))</f>
        <v/>
      </c>
      <c r="CT1126">
        <f>AF1126*BA1126</f>
        <v/>
      </c>
      <c r="CU1126">
        <f>AG1126</f>
        <v/>
      </c>
      <c r="CV1126">
        <f>AH1126</f>
        <v/>
      </c>
      <c r="CW1126">
        <f>AI1126</f>
        <v/>
      </c>
      <c r="CX1126">
        <f>AJ1126</f>
        <v/>
      </c>
      <c r="CY1126">
        <f>(((S1126+R1126)*AT1126)/100)</f>
        <v/>
      </c>
      <c r="CZ1126">
        <f>(((S1126+R1126)*AU1126)/100)</f>
        <v/>
      </c>
      <c r="DC1126" t="inlineStr"/>
      <c r="DD1126" t="inlineStr">
        <is>
          <t>)*6</t>
        </is>
      </c>
      <c r="DE1126" t="inlineStr">
        <is>
          <t>)*6</t>
        </is>
      </c>
      <c r="DF1126" t="inlineStr">
        <is>
          <t>)*6</t>
        </is>
      </c>
      <c r="DG1126" t="inlineStr">
        <is>
          <t>)*6</t>
        </is>
      </c>
      <c r="DH1126" t="inlineStr"/>
      <c r="DI1126" t="inlineStr">
        <is>
          <t>)*6</t>
        </is>
      </c>
      <c r="DJ1126" t="inlineStr">
        <is>
          <t>)*6</t>
        </is>
      </c>
      <c r="DK1126" t="inlineStr"/>
      <c r="DL1126" t="inlineStr"/>
      <c r="DM1126" t="inlineStr"/>
      <c r="DN1126" t="n">
        <v>0</v>
      </c>
      <c r="DO1126" t="n">
        <v>0</v>
      </c>
      <c r="DP1126" t="n">
        <v>1</v>
      </c>
      <c r="DQ1126" t="n">
        <v>1</v>
      </c>
      <c r="DU1126" t="n">
        <v>1013</v>
      </c>
      <c r="DV1126" t="inlineStr">
        <is>
          <t>100 м трубопровода</t>
        </is>
      </c>
      <c r="DW1126" t="inlineStr">
        <is>
          <t>100 м трубопровода</t>
        </is>
      </c>
      <c r="DX1126" t="n">
        <v>1</v>
      </c>
      <c r="DZ1126" t="inlineStr"/>
      <c r="EA1126" t="inlineStr"/>
      <c r="EB1126" t="inlineStr"/>
      <c r="EC1126" t="inlineStr"/>
      <c r="EE1126" t="n">
        <v>78725882</v>
      </c>
      <c r="EF1126" t="n">
        <v>2</v>
      </c>
      <c r="EG1126" t="inlineStr">
        <is>
          <t>Общестроительные работы</t>
        </is>
      </c>
      <c r="EH1126" t="n">
        <v>16</v>
      </c>
      <c r="EI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26" t="n">
        <v>1</v>
      </c>
      <c r="EK1126" t="n">
        <v>16001</v>
      </c>
      <c r="EL1126" t="inlineStr">
        <is>
          <t>Трубопроводы внутренние</t>
        </is>
      </c>
      <c r="EM1126" t="inlineStr">
        <is>
          <t>ФЕР-16</t>
        </is>
      </c>
      <c r="EO1126" t="inlineStr"/>
      <c r="EQ1126" t="n">
        <v>0</v>
      </c>
      <c r="ER1126" t="n">
        <v>107.11</v>
      </c>
      <c r="ES1126" t="n">
        <v>4.28</v>
      </c>
      <c r="ET1126" t="n">
        <v>44.51</v>
      </c>
      <c r="EU1126" t="n">
        <v>0</v>
      </c>
      <c r="EV1126" t="n">
        <v>58.32</v>
      </c>
      <c r="EW1126" t="n">
        <v>5.01</v>
      </c>
      <c r="EX1126" t="n">
        <v>0</v>
      </c>
      <c r="EY1126" t="n">
        <v>0</v>
      </c>
      <c r="FQ1126" t="n">
        <v>0</v>
      </c>
      <c r="FR1126" t="n">
        <v>0</v>
      </c>
      <c r="FS1126" t="n">
        <v>0</v>
      </c>
      <c r="FX1126" t="n">
        <v>121</v>
      </c>
      <c r="FY1126" t="n">
        <v>72</v>
      </c>
      <c r="GA1126" t="inlineStr"/>
      <c r="GD1126" t="n">
        <v>1</v>
      </c>
      <c r="GF1126" t="n">
        <v>635989612</v>
      </c>
      <c r="GG1126" t="n">
        <v>2</v>
      </c>
      <c r="GH1126" t="n">
        <v>1</v>
      </c>
      <c r="GI1126" t="n">
        <v>2</v>
      </c>
      <c r="GJ1126" t="n">
        <v>0</v>
      </c>
      <c r="GK1126" t="n">
        <v>0</v>
      </c>
      <c r="GL1126">
        <f>ROUND(IF(AND(BH1126=3,BI1126=3,FS1126&lt;&gt;0),P1126,0),0)</f>
        <v/>
      </c>
      <c r="GM1126">
        <f>ROUND(O1126+X1126+Y1126,0)+GX1126</f>
        <v/>
      </c>
      <c r="GN1126">
        <f>IF(OR(BI1126=0,BI1126=1),GM1126-GX1126,0)</f>
        <v/>
      </c>
      <c r="GO1126">
        <f>IF(BI1126=2,GM1126-GX1126,0)</f>
        <v/>
      </c>
      <c r="GP1126">
        <f>IF(BI1126=4,GM1126-GX1126,0)</f>
        <v/>
      </c>
      <c r="GR1126" t="n">
        <v>0</v>
      </c>
      <c r="GS1126" t="n">
        <v>3</v>
      </c>
      <c r="GT1126" t="n">
        <v>0</v>
      </c>
      <c r="GU1126" t="inlineStr"/>
      <c r="GV1126">
        <f>ROUND((GT1126),2)</f>
        <v/>
      </c>
      <c r="GW1126" t="n">
        <v>1</v>
      </c>
      <c r="GX1126">
        <f>ROUND(HC1126*I1126,0)</f>
        <v/>
      </c>
      <c r="HA1126" t="n">
        <v>0</v>
      </c>
      <c r="HB1126" t="n">
        <v>0</v>
      </c>
      <c r="HC1126">
        <f>GV1126*GW1126</f>
        <v/>
      </c>
      <c r="HE1126" t="inlineStr"/>
      <c r="HF1126" t="inlineStr"/>
      <c r="HM1126" t="inlineStr"/>
      <c r="HN1126" t="inlineStr">
        <is>
          <t>Пр/812-016.0-1</t>
        </is>
      </c>
      <c r="HO1126" t="inlineStr">
        <is>
          <t>Пр/774-016.0</t>
        </is>
      </c>
      <c r="HP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26" t="n">
        <v>0</v>
      </c>
      <c r="IK1126" t="n">
        <v>0</v>
      </c>
    </row>
    <row r="1127">
      <c r="A1127" t="n">
        <v>17</v>
      </c>
      <c r="B1127" t="n">
        <v>0</v>
      </c>
      <c r="C1127">
        <f>ROW(SmtRes!A537)</f>
        <v/>
      </c>
      <c r="D1127">
        <f>ROW(EtalonRes!A492)</f>
        <v/>
      </c>
      <c r="E1127" t="inlineStr">
        <is>
          <t>3</t>
        </is>
      </c>
      <c r="F1127" t="inlineStr">
        <is>
          <t>67-5-2</t>
        </is>
      </c>
      <c r="G1127" t="inlineStr">
        <is>
          <t>Смена ламп люминесцентных</t>
        </is>
      </c>
      <c r="H1127" t="inlineStr">
        <is>
          <t>100 шт.</t>
        </is>
      </c>
      <c r="I1127">
        <f>ROUND(ROUND(3/100,4),7)</f>
        <v/>
      </c>
      <c r="J1127" t="n">
        <v>0</v>
      </c>
      <c r="K1127">
        <f>ROUND(ROUND(3/100,4),7)</f>
        <v/>
      </c>
      <c r="O1127">
        <f>ROUND(CP1127,0)</f>
        <v/>
      </c>
      <c r="P1127">
        <f>ROUND(CQ1127*I1127,0)</f>
        <v/>
      </c>
      <c r="Q1127">
        <f>(ROUND((ROUND(((ET1127)*I1127),0)*BB1127),0)+ROUND((ROUND(((AE1127-(EU1127))*I1127),0)*BS1127),0))</f>
        <v/>
      </c>
      <c r="R1127">
        <f>(ROUND((ROUND(((EU1127)*I1127),0)*BS1127),0)+ROUND((ROUND(((AE1127-(EU1127))*I1127),0)*BS1127),0))</f>
        <v/>
      </c>
      <c r="S1127">
        <f>ROUND(CT1127*I1127,0)</f>
        <v/>
      </c>
      <c r="T1127">
        <f>ROUND(CU1127*I1127,0)</f>
        <v/>
      </c>
      <c r="U1127">
        <f>ROUND(CV1127*I1127,7)</f>
        <v/>
      </c>
      <c r="V1127">
        <f>ROUND(CW1127*I1127,7)</f>
        <v/>
      </c>
      <c r="W1127">
        <f>ROUND(CX1127*I1127,0)</f>
        <v/>
      </c>
      <c r="X1127">
        <f>ROUND(CY1127,0)</f>
        <v/>
      </c>
      <c r="Y1127">
        <f>ROUND(CZ1127,0)</f>
        <v/>
      </c>
      <c r="AA1127" t="n">
        <v>78869116</v>
      </c>
      <c r="AB1127">
        <f>ROUND((AC1127+AD1127+AF1127),2)</f>
        <v/>
      </c>
      <c r="AC1127">
        <f>ROUND((ES1127),2)</f>
        <v/>
      </c>
      <c r="AD1127">
        <f>ROUND((((ET1127)-(EU1127))+AE1127),2)</f>
        <v/>
      </c>
      <c r="AE1127">
        <f>ROUND((EU1127),2)</f>
        <v/>
      </c>
      <c r="AF1127">
        <f>ROUND((EV1127),2)</f>
        <v/>
      </c>
      <c r="AG1127">
        <f>ROUND((AP1127),2)</f>
        <v/>
      </c>
      <c r="AH1127">
        <f>(EW1127)</f>
        <v/>
      </c>
      <c r="AI1127">
        <f>(EX1127)</f>
        <v/>
      </c>
      <c r="AJ1127">
        <f>(AS1127)</f>
        <v/>
      </c>
      <c r="AK1127" t="n">
        <v>970.5700000000001</v>
      </c>
      <c r="AL1127" t="n">
        <v>852</v>
      </c>
      <c r="AM1127" t="n">
        <v>0</v>
      </c>
      <c r="AN1127" t="n">
        <v>0</v>
      </c>
      <c r="AO1127" t="n">
        <v>118.57</v>
      </c>
      <c r="AP1127" t="n">
        <v>0</v>
      </c>
      <c r="AQ1127" t="n">
        <v>13.9</v>
      </c>
      <c r="AR1127" t="n">
        <v>0</v>
      </c>
      <c r="AS1127" t="n">
        <v>0</v>
      </c>
      <c r="AT1127" t="n">
        <v>91</v>
      </c>
      <c r="AU1127" t="n">
        <v>48</v>
      </c>
      <c r="AV1127" t="n">
        <v>1</v>
      </c>
      <c r="AW1127" t="n">
        <v>1</v>
      </c>
      <c r="AZ1127" t="n">
        <v>1</v>
      </c>
      <c r="BA1127" t="n">
        <v>52.25</v>
      </c>
      <c r="BB1127" t="n">
        <v>1</v>
      </c>
      <c r="BC1127" t="n">
        <v>4.14</v>
      </c>
      <c r="BD1127" t="inlineStr"/>
      <c r="BE1127" t="inlineStr"/>
      <c r="BF1127" t="inlineStr"/>
      <c r="BG1127" t="inlineStr"/>
      <c r="BH1127" t="n">
        <v>0</v>
      </c>
      <c r="BI1127" t="n">
        <v>1</v>
      </c>
      <c r="BJ1127" t="inlineStr">
        <is>
          <t>ТЕРр Московской обл., 67-5-2, приказ Минстроя России №675/пр от 28.02.2017 № 263/пр</t>
        </is>
      </c>
      <c r="BM1127" t="n">
        <v>67001</v>
      </c>
      <c r="BN1127" t="n">
        <v>0</v>
      </c>
      <c r="BO1127" t="inlineStr">
        <is>
          <t>67-5-2</t>
        </is>
      </c>
      <c r="BP1127" t="n">
        <v>1</v>
      </c>
      <c r="BQ1127" t="n">
        <v>6</v>
      </c>
      <c r="BR1127" t="n">
        <v>0</v>
      </c>
      <c r="BS1127" t="n">
        <v>52.25</v>
      </c>
      <c r="BT1127" t="n">
        <v>1</v>
      </c>
      <c r="BU1127" t="n">
        <v>1</v>
      </c>
      <c r="BV1127" t="n">
        <v>1</v>
      </c>
      <c r="BW1127" t="n">
        <v>1</v>
      </c>
      <c r="BX1127" t="n">
        <v>1</v>
      </c>
      <c r="BY1127" t="inlineStr"/>
      <c r="BZ1127" t="n">
        <v>91</v>
      </c>
      <c r="CA1127" t="n">
        <v>48</v>
      </c>
      <c r="CB1127" t="inlineStr"/>
      <c r="CE1127" t="n">
        <v>12</v>
      </c>
      <c r="CF1127" t="n">
        <v>0</v>
      </c>
      <c r="CG1127" t="n">
        <v>0</v>
      </c>
      <c r="CM1127" t="n">
        <v>0</v>
      </c>
      <c r="CN1127" t="inlineStr"/>
      <c r="CO1127" t="n">
        <v>0</v>
      </c>
      <c r="CP1127">
        <f>(P1127+Q1127+S1127)</f>
        <v/>
      </c>
      <c r="CQ1127">
        <f>AC1127*BC1127</f>
        <v/>
      </c>
      <c r="CR1127">
        <f>(ROUND((ROUND(((ET1127)*1),0)*BB1127),0)+ROUND((ROUND(((AE1127-(EU1127))*1),0)*BS1127),0))</f>
        <v/>
      </c>
      <c r="CS1127">
        <f>(ROUND((ROUND(((EU1127)*1),0)*BS1127),0)+ROUND((ROUND(((AE1127-(EU1127))*1),0)*BS1127),0))</f>
        <v/>
      </c>
      <c r="CT1127">
        <f>AF1127*BA1127</f>
        <v/>
      </c>
      <c r="CU1127">
        <f>AG1127</f>
        <v/>
      </c>
      <c r="CV1127">
        <f>AH1127</f>
        <v/>
      </c>
      <c r="CW1127">
        <f>AI1127</f>
        <v/>
      </c>
      <c r="CX1127">
        <f>AJ1127</f>
        <v/>
      </c>
      <c r="CY1127">
        <f>(((S1127+R1127)*AT1127)/100)</f>
        <v/>
      </c>
      <c r="CZ1127">
        <f>(((S1127+R1127)*AU1127)/100)</f>
        <v/>
      </c>
      <c r="DC1127" t="inlineStr"/>
      <c r="DD1127" t="inlineStr"/>
      <c r="DE1127" t="inlineStr"/>
      <c r="DF1127" t="inlineStr"/>
      <c r="DG1127" t="inlineStr"/>
      <c r="DH1127" t="inlineStr"/>
      <c r="DI1127" t="inlineStr"/>
      <c r="DJ1127" t="inlineStr"/>
      <c r="DK1127" t="inlineStr"/>
      <c r="DL1127" t="inlineStr"/>
      <c r="DM1127" t="inlineStr"/>
      <c r="DN1127" t="n">
        <v>0</v>
      </c>
      <c r="DO1127" t="n">
        <v>0</v>
      </c>
      <c r="DP1127" t="n">
        <v>1</v>
      </c>
      <c r="DQ1127" t="n">
        <v>1</v>
      </c>
      <c r="DU1127" t="n">
        <v>1010</v>
      </c>
      <c r="DV1127" t="inlineStr">
        <is>
          <t>100 шт.</t>
        </is>
      </c>
      <c r="DW1127" t="inlineStr">
        <is>
          <t>100 шт.</t>
        </is>
      </c>
      <c r="DX1127" t="n">
        <v>100</v>
      </c>
      <c r="DZ1127" t="inlineStr"/>
      <c r="EA1127" t="inlineStr"/>
      <c r="EB1127" t="inlineStr"/>
      <c r="EC1127" t="inlineStr"/>
      <c r="EE1127" t="n">
        <v>78726030</v>
      </c>
      <c r="EF1127" t="n">
        <v>6</v>
      </c>
      <c r="EG1127" t="inlineStr">
        <is>
          <t>Ремонтно-строительные работы</t>
        </is>
      </c>
      <c r="EH1127" t="n">
        <v>101</v>
      </c>
      <c r="EI1127" t="inlineStr">
        <is>
          <t>Электромонтажные работы</t>
        </is>
      </c>
      <c r="EJ1127" t="n">
        <v>1</v>
      </c>
      <c r="EK1127" t="n">
        <v>67001</v>
      </c>
      <c r="EL1127" t="inlineStr">
        <is>
          <t>Электромонтажные работы</t>
        </is>
      </c>
      <c r="EM1127" t="inlineStr">
        <is>
          <t>рФЕР-67</t>
        </is>
      </c>
      <c r="EO1127" t="inlineStr"/>
      <c r="EQ1127" t="n">
        <v>0</v>
      </c>
      <c r="ER1127" t="n">
        <v>970.5700000000001</v>
      </c>
      <c r="ES1127" t="n">
        <v>852</v>
      </c>
      <c r="ET1127" t="n">
        <v>0</v>
      </c>
      <c r="EU1127" t="n">
        <v>0</v>
      </c>
      <c r="EV1127" t="n">
        <v>118.57</v>
      </c>
      <c r="EW1127" t="n">
        <v>13.9</v>
      </c>
      <c r="EX1127" t="n">
        <v>0</v>
      </c>
      <c r="EY1127" t="n">
        <v>0</v>
      </c>
      <c r="FQ1127" t="n">
        <v>0</v>
      </c>
      <c r="FR1127" t="n">
        <v>0</v>
      </c>
      <c r="FS1127" t="n">
        <v>0</v>
      </c>
      <c r="FX1127" t="n">
        <v>91</v>
      </c>
      <c r="FY1127" t="n">
        <v>48</v>
      </c>
      <c r="GA1127" t="inlineStr"/>
      <c r="GD1127" t="n">
        <v>1</v>
      </c>
      <c r="GF1127" t="n">
        <v>1400342257</v>
      </c>
      <c r="GG1127" t="n">
        <v>2</v>
      </c>
      <c r="GH1127" t="n">
        <v>1</v>
      </c>
      <c r="GI1127" t="n">
        <v>2</v>
      </c>
      <c r="GJ1127" t="n">
        <v>0</v>
      </c>
      <c r="GK1127" t="n">
        <v>0</v>
      </c>
      <c r="GL1127">
        <f>ROUND(IF(AND(BH1127=3,BI1127=3,FS1127&lt;&gt;0),P1127,0),0)</f>
        <v/>
      </c>
      <c r="GM1127">
        <f>ROUND(O1127+X1127+Y1127,0)+GX1127</f>
        <v/>
      </c>
      <c r="GN1127">
        <f>IF(OR(BI1127=0,BI1127=1),GM1127-GX1127,0)</f>
        <v/>
      </c>
      <c r="GO1127">
        <f>IF(BI1127=2,GM1127-GX1127,0)</f>
        <v/>
      </c>
      <c r="GP1127">
        <f>IF(BI1127=4,GM1127-GX1127,0)</f>
        <v/>
      </c>
      <c r="GR1127" t="n">
        <v>0</v>
      </c>
      <c r="GS1127" t="n">
        <v>3</v>
      </c>
      <c r="GT1127" t="n">
        <v>0</v>
      </c>
      <c r="GU1127" t="inlineStr"/>
      <c r="GV1127">
        <f>ROUND((GT1127),2)</f>
        <v/>
      </c>
      <c r="GW1127" t="n">
        <v>1</v>
      </c>
      <c r="GX1127">
        <f>ROUND(HC1127*I1127,0)</f>
        <v/>
      </c>
      <c r="HA1127" t="n">
        <v>0</v>
      </c>
      <c r="HB1127" t="n">
        <v>0</v>
      </c>
      <c r="HC1127">
        <f>GV1127*GW1127</f>
        <v/>
      </c>
      <c r="HE1127" t="inlineStr"/>
      <c r="HF1127" t="inlineStr"/>
      <c r="HM1127" t="inlineStr"/>
      <c r="HN1127" t="inlineStr">
        <is>
          <t>Пр/812-101.0-1</t>
        </is>
      </c>
      <c r="HO1127" t="inlineStr">
        <is>
          <t>Пр/774-101.0</t>
        </is>
      </c>
      <c r="HP1127" t="inlineStr">
        <is>
          <t>Электромонтажные работы</t>
        </is>
      </c>
      <c r="HQ1127" t="inlineStr">
        <is>
          <t>Электромонтажные работы</t>
        </is>
      </c>
      <c r="HS1127" t="n">
        <v>0</v>
      </c>
      <c r="IK1127" t="n">
        <v>0</v>
      </c>
    </row>
    <row r="1128">
      <c r="A1128" t="n">
        <v>18</v>
      </c>
      <c r="B1128" t="n">
        <v>0</v>
      </c>
      <c r="C1128" t="n">
        <v>537</v>
      </c>
      <c r="E1128" t="inlineStr">
        <is>
          <t>3,1</t>
        </is>
      </c>
      <c r="F1128" t="inlineStr">
        <is>
          <t>509-6744</t>
        </is>
      </c>
      <c r="G1128" t="inlineStr">
        <is>
          <t>Лампы люминесцентные компактные энергосберегающие с цоколем Е27 мощностью 55 Вт</t>
        </is>
      </c>
      <c r="H1128" t="inlineStr">
        <is>
          <t>шт.</t>
        </is>
      </c>
      <c r="I1128">
        <f>I1127*J1128</f>
        <v/>
      </c>
      <c r="J1128" t="n">
        <v>100</v>
      </c>
      <c r="K1128" t="n">
        <v>100</v>
      </c>
      <c r="O1128">
        <f>ROUND(CP1128,0)</f>
        <v/>
      </c>
      <c r="P1128">
        <f>ROUND(CQ1128*I1128,0)</f>
        <v/>
      </c>
      <c r="Q1128">
        <f>(ROUND((ROUND(((ET1128)*I1128),0)*BB1128),0)+ROUND((ROUND(((AE1128-(EU1128))*I1128),0)*BS1128),0))</f>
        <v/>
      </c>
      <c r="R1128">
        <f>(ROUND((ROUND(((EU1128)*I1128),0)*BS1128),0)+ROUND((ROUND(((AE1128-(EU1128))*I1128),0)*BS1128),0))</f>
        <v/>
      </c>
      <c r="S1128">
        <f>ROUND(CT1128*I1128,0)</f>
        <v/>
      </c>
      <c r="T1128">
        <f>ROUND(CU1128*I1128,0)</f>
        <v/>
      </c>
      <c r="U1128">
        <f>ROUND(CV1128*I1128,7)</f>
        <v/>
      </c>
      <c r="V1128">
        <f>ROUND(CW1128*I1128,7)</f>
        <v/>
      </c>
      <c r="W1128">
        <f>ROUND(CX1128*I1128,0)</f>
        <v/>
      </c>
      <c r="X1128">
        <f>ROUND(CY1128,0)</f>
        <v/>
      </c>
      <c r="Y1128">
        <f>ROUND(CZ1128,0)</f>
        <v/>
      </c>
      <c r="AA1128" t="n">
        <v>78869116</v>
      </c>
      <c r="AB1128">
        <f>ROUND((AC1128+AD1128+AF1128),2)</f>
        <v/>
      </c>
      <c r="AC1128">
        <f>ROUND((ES1128),2)</f>
        <v/>
      </c>
      <c r="AD1128">
        <f>ROUND((((ET1128)-(EU1128))+AE1128),2)</f>
        <v/>
      </c>
      <c r="AE1128">
        <f>ROUND((EU1128),2)</f>
        <v/>
      </c>
      <c r="AF1128">
        <f>ROUND((EV1128),2)</f>
        <v/>
      </c>
      <c r="AG1128">
        <f>ROUND((AP1128),2)</f>
        <v/>
      </c>
      <c r="AH1128">
        <f>(EW1128)</f>
        <v/>
      </c>
      <c r="AI1128">
        <f>(EX1128)</f>
        <v/>
      </c>
      <c r="AJ1128">
        <f>(AS1128)</f>
        <v/>
      </c>
      <c r="AK1128" t="n">
        <v>140.69</v>
      </c>
      <c r="AL1128" t="n">
        <v>140.69</v>
      </c>
      <c r="AM1128" t="n">
        <v>0</v>
      </c>
      <c r="AN1128" t="n">
        <v>0</v>
      </c>
      <c r="AO1128" t="n">
        <v>0</v>
      </c>
      <c r="AP1128" t="n">
        <v>0</v>
      </c>
      <c r="AQ1128" t="n">
        <v>0</v>
      </c>
      <c r="AR1128" t="n">
        <v>0</v>
      </c>
      <c r="AS1128" t="n">
        <v>0.02</v>
      </c>
      <c r="AT1128" t="n">
        <v>91</v>
      </c>
      <c r="AU1128" t="n">
        <v>48</v>
      </c>
      <c r="AV1128" t="n">
        <v>1</v>
      </c>
      <c r="AW1128" t="n">
        <v>1</v>
      </c>
      <c r="AZ1128" t="n">
        <v>1</v>
      </c>
      <c r="BA1128" t="n">
        <v>1</v>
      </c>
      <c r="BB1128" t="n">
        <v>1</v>
      </c>
      <c r="BC1128" t="n">
        <v>1.69</v>
      </c>
      <c r="BD1128" t="inlineStr"/>
      <c r="BE1128" t="inlineStr"/>
      <c r="BF1128" t="inlineStr"/>
      <c r="BG1128" t="inlineStr"/>
      <c r="BH1128" t="n">
        <v>3</v>
      </c>
      <c r="BI1128" t="n">
        <v>1</v>
      </c>
      <c r="BJ1128" t="inlineStr">
        <is>
          <t>ТССЦ Московской обл., 509-6744, приказ Минстроя России №675/пр от 28.02.2017 № 258/пр</t>
        </is>
      </c>
      <c r="BM1128" t="n">
        <v>67001</v>
      </c>
      <c r="BN1128" t="n">
        <v>0</v>
      </c>
      <c r="BO1128" t="inlineStr">
        <is>
          <t>509-6744</t>
        </is>
      </c>
      <c r="BP1128" t="n">
        <v>1</v>
      </c>
      <c r="BQ1128" t="n">
        <v>6</v>
      </c>
      <c r="BR1128" t="n">
        <v>0</v>
      </c>
      <c r="BS1128" t="n">
        <v>1</v>
      </c>
      <c r="BT1128" t="n">
        <v>1</v>
      </c>
      <c r="BU1128" t="n">
        <v>1</v>
      </c>
      <c r="BV1128" t="n">
        <v>1</v>
      </c>
      <c r="BW1128" t="n">
        <v>1</v>
      </c>
      <c r="BX1128" t="n">
        <v>1</v>
      </c>
      <c r="BY1128" t="inlineStr"/>
      <c r="BZ1128" t="n">
        <v>91</v>
      </c>
      <c r="CA1128" t="n">
        <v>48</v>
      </c>
      <c r="CB1128" t="inlineStr"/>
      <c r="CE1128" t="n">
        <v>12</v>
      </c>
      <c r="CF1128" t="n">
        <v>0</v>
      </c>
      <c r="CG1128" t="n">
        <v>0</v>
      </c>
      <c r="CM1128" t="n">
        <v>0</v>
      </c>
      <c r="CN1128" t="inlineStr"/>
      <c r="CO1128" t="n">
        <v>0</v>
      </c>
      <c r="CP1128">
        <f>(P1128+Q1128+S1128)</f>
        <v/>
      </c>
      <c r="CQ1128">
        <f>AC1128*BC1128</f>
        <v/>
      </c>
      <c r="CR1128">
        <f>(ROUND((ROUND(((ET1128)*1),0)*BB1128),0)+ROUND((ROUND(((AE1128-(EU1128))*1),0)*BS1128),0))</f>
        <v/>
      </c>
      <c r="CS1128">
        <f>(ROUND((ROUND(((EU1128)*1),0)*BS1128),0)+ROUND((ROUND(((AE1128-(EU1128))*1),0)*BS1128),0))</f>
        <v/>
      </c>
      <c r="CT1128">
        <f>AF1128*BA1128</f>
        <v/>
      </c>
      <c r="CU1128">
        <f>AG1128</f>
        <v/>
      </c>
      <c r="CV1128">
        <f>AH1128</f>
        <v/>
      </c>
      <c r="CW1128">
        <f>AI1128</f>
        <v/>
      </c>
      <c r="CX1128">
        <f>AJ1128</f>
        <v/>
      </c>
      <c r="CY1128">
        <f>(((S1128+R1128)*AT1128)/100)</f>
        <v/>
      </c>
      <c r="CZ1128">
        <f>(((S1128+R1128)*AU1128)/100)</f>
        <v/>
      </c>
      <c r="DC1128" t="inlineStr"/>
      <c r="DD1128" t="inlineStr"/>
      <c r="DE1128" t="inlineStr"/>
      <c r="DF1128" t="inlineStr"/>
      <c r="DG1128" t="inlineStr"/>
      <c r="DH1128" t="inlineStr"/>
      <c r="DI1128" t="inlineStr"/>
      <c r="DJ1128" t="inlineStr"/>
      <c r="DK1128" t="inlineStr"/>
      <c r="DL1128" t="inlineStr"/>
      <c r="DM1128" t="inlineStr"/>
      <c r="DN1128" t="n">
        <v>0</v>
      </c>
      <c r="DO1128" t="n">
        <v>0</v>
      </c>
      <c r="DP1128" t="n">
        <v>1</v>
      </c>
      <c r="DQ1128" t="n">
        <v>1</v>
      </c>
      <c r="DU1128" t="n">
        <v>1010</v>
      </c>
      <c r="DV1128" t="inlineStr">
        <is>
          <t>шт.</t>
        </is>
      </c>
      <c r="DW1128" t="inlineStr">
        <is>
          <t>шт.</t>
        </is>
      </c>
      <c r="DX1128" t="n">
        <v>1</v>
      </c>
      <c r="DZ1128" t="inlineStr"/>
      <c r="EA1128" t="inlineStr"/>
      <c r="EB1128" t="inlineStr"/>
      <c r="EC1128" t="inlineStr"/>
      <c r="EE1128" t="n">
        <v>78726030</v>
      </c>
      <c r="EF1128" t="n">
        <v>6</v>
      </c>
      <c r="EG1128" t="inlineStr">
        <is>
          <t>Ремонтно-строительные работы</t>
        </is>
      </c>
      <c r="EH1128" t="n">
        <v>101</v>
      </c>
      <c r="EI1128" t="inlineStr">
        <is>
          <t>Электромонтажные работы</t>
        </is>
      </c>
      <c r="EJ1128" t="n">
        <v>1</v>
      </c>
      <c r="EK1128" t="n">
        <v>67001</v>
      </c>
      <c r="EL1128" t="inlineStr">
        <is>
          <t>Электромонтажные работы</t>
        </is>
      </c>
      <c r="EM1128" t="inlineStr">
        <is>
          <t>рФЕР-67</t>
        </is>
      </c>
      <c r="EO1128" t="inlineStr"/>
      <c r="EQ1128" t="n">
        <v>0</v>
      </c>
      <c r="ER1128" t="n">
        <v>140.69</v>
      </c>
      <c r="ES1128" t="n">
        <v>140.69</v>
      </c>
      <c r="ET1128" t="n">
        <v>0</v>
      </c>
      <c r="EU1128" t="n">
        <v>0</v>
      </c>
      <c r="EV1128" t="n">
        <v>0</v>
      </c>
      <c r="EW1128" t="n">
        <v>0</v>
      </c>
      <c r="EX1128" t="n">
        <v>0</v>
      </c>
      <c r="FQ1128" t="n">
        <v>0</v>
      </c>
      <c r="FR1128" t="n">
        <v>0</v>
      </c>
      <c r="FS1128" t="n">
        <v>0</v>
      </c>
      <c r="FX1128" t="n">
        <v>91</v>
      </c>
      <c r="FY1128" t="n">
        <v>48</v>
      </c>
      <c r="GA1128" t="inlineStr"/>
      <c r="GD1128" t="n">
        <v>1</v>
      </c>
      <c r="GF1128" t="n">
        <v>-228955380</v>
      </c>
      <c r="GG1128" t="n">
        <v>2</v>
      </c>
      <c r="GH1128" t="n">
        <v>1</v>
      </c>
      <c r="GI1128" t="n">
        <v>2</v>
      </c>
      <c r="GJ1128" t="n">
        <v>0</v>
      </c>
      <c r="GK1128" t="n">
        <v>0</v>
      </c>
      <c r="GL1128">
        <f>ROUND(IF(AND(BH1128=3,BI1128=3,FS1128&lt;&gt;0),P1128,0),0)</f>
        <v/>
      </c>
      <c r="GM1128">
        <f>ROUND(O1128+X1128+Y1128,0)+GX1128</f>
        <v/>
      </c>
      <c r="GN1128">
        <f>IF(OR(BI1128=0,BI1128=1),GM1128-GX1128,0)</f>
        <v/>
      </c>
      <c r="GO1128">
        <f>IF(BI1128=2,GM1128-GX1128,0)</f>
        <v/>
      </c>
      <c r="GP1128">
        <f>IF(BI1128=4,GM1128-GX1128,0)</f>
        <v/>
      </c>
      <c r="GR1128" t="n">
        <v>0</v>
      </c>
      <c r="GS1128" t="n">
        <v>3</v>
      </c>
      <c r="GT1128" t="n">
        <v>0</v>
      </c>
      <c r="GU1128" t="inlineStr"/>
      <c r="GV1128">
        <f>ROUND((GT1128),2)</f>
        <v/>
      </c>
      <c r="GW1128" t="n">
        <v>1</v>
      </c>
      <c r="GX1128">
        <f>ROUND(HC1128*I1128,0)</f>
        <v/>
      </c>
      <c r="HA1128" t="n">
        <v>0</v>
      </c>
      <c r="HB1128" t="n">
        <v>0</v>
      </c>
      <c r="HC1128">
        <f>GV1128*GW1128</f>
        <v/>
      </c>
      <c r="HE1128" t="inlineStr"/>
      <c r="HF1128" t="inlineStr"/>
      <c r="HM1128" t="inlineStr"/>
      <c r="HN1128" t="inlineStr">
        <is>
          <t>Пр/812-101.0-1</t>
        </is>
      </c>
      <c r="HO1128" t="inlineStr">
        <is>
          <t>Пр/774-101.0</t>
        </is>
      </c>
      <c r="HP1128" t="inlineStr">
        <is>
          <t>Электромонтажные работы</t>
        </is>
      </c>
      <c r="HQ1128" t="inlineStr">
        <is>
          <t>Электромонтажные работы</t>
        </is>
      </c>
      <c r="HS1128" t="n">
        <v>0</v>
      </c>
      <c r="IK1128" t="n">
        <v>0</v>
      </c>
    </row>
    <row r="1129"/>
    <row r="1130">
      <c r="A1130" s="402" t="n">
        <v>51</v>
      </c>
      <c r="B1130" s="402">
        <f>B1121</f>
        <v/>
      </c>
      <c r="C1130" s="402">
        <f>A1121</f>
        <v/>
      </c>
      <c r="D1130" s="402">
        <f>ROW(A1121)</f>
        <v/>
      </c>
      <c r="E1130" s="402" t="n"/>
      <c r="F1130" s="402">
        <f>IF(F1121&lt;&gt;"",F1121,"")</f>
        <v/>
      </c>
      <c r="G1130" s="402">
        <f>IF(G1121&lt;&gt;"",G1121,"")</f>
        <v/>
      </c>
      <c r="H1130" s="402" t="n">
        <v>0</v>
      </c>
      <c r="I1130" s="402" t="n"/>
      <c r="J1130" s="402" t="n"/>
      <c r="K1130" s="402" t="n"/>
      <c r="L1130" s="402" t="n"/>
      <c r="M1130" s="402" t="n"/>
      <c r="N1130" s="402" t="n"/>
      <c r="O1130" s="402" t="n">
        <v>0</v>
      </c>
      <c r="P1130" s="402" t="n">
        <v>0</v>
      </c>
      <c r="Q1130" s="402" t="n">
        <v>0</v>
      </c>
      <c r="R1130" s="402" t="n">
        <v>0</v>
      </c>
      <c r="S1130" s="402" t="n">
        <v>0</v>
      </c>
      <c r="T1130" s="402" t="n">
        <v>0</v>
      </c>
      <c r="U1130" s="402" t="n">
        <v>0</v>
      </c>
      <c r="V1130" s="402" t="n">
        <v>0</v>
      </c>
      <c r="W1130" s="402" t="n">
        <v>0</v>
      </c>
      <c r="X1130" s="402" t="n">
        <v>0</v>
      </c>
      <c r="Y1130" s="402" t="n">
        <v>0</v>
      </c>
      <c r="Z1130" s="402" t="n"/>
      <c r="AA1130" s="402" t="n"/>
      <c r="AB1130" s="402" t="n"/>
      <c r="AC1130" s="402" t="n"/>
      <c r="AD1130" s="402" t="n"/>
      <c r="AE1130" s="402" t="n"/>
      <c r="AF1130" s="402" t="n"/>
      <c r="AG1130" s="402" t="n"/>
      <c r="AH1130" s="402" t="n"/>
      <c r="AI1130" s="402" t="n"/>
      <c r="AJ1130" s="402" t="n"/>
      <c r="AK1130" s="402" t="n"/>
      <c r="AL1130" s="402" t="n"/>
      <c r="AM1130" s="402" t="n"/>
      <c r="AN1130" s="402" t="n"/>
      <c r="AO1130" s="402">
        <f>ROUND(BX1130,0)</f>
        <v/>
      </c>
      <c r="AP1130" s="402">
        <f>ROUND(BY1130,0)</f>
        <v/>
      </c>
      <c r="AQ1130" s="402">
        <f>ROUND(BZ1130,0)</f>
        <v/>
      </c>
      <c r="AR1130" s="402">
        <f>ROUND(CA1130,0)</f>
        <v/>
      </c>
      <c r="AS1130" s="402">
        <f>ROUND(CB1130,0)</f>
        <v/>
      </c>
      <c r="AT1130" s="402">
        <f>ROUND(CC1130,0)</f>
        <v/>
      </c>
      <c r="AU1130" s="402">
        <f>ROUND(CD1130,0)</f>
        <v/>
      </c>
      <c r="AV1130" s="402">
        <f>ROUND(CE1130,0)</f>
        <v/>
      </c>
      <c r="AW1130" s="402">
        <f>ROUND(CF1130,0)</f>
        <v/>
      </c>
      <c r="AX1130" s="402">
        <f>ROUND(CG1130,0)</f>
        <v/>
      </c>
      <c r="AY1130" s="402">
        <f>ROUND(CH1130,0)</f>
        <v/>
      </c>
      <c r="AZ1130" s="402">
        <f>ROUND(CI1130,0)</f>
        <v/>
      </c>
      <c r="BA1130" s="402">
        <f>ROUND(CJ1130,0)</f>
        <v/>
      </c>
      <c r="BB1130" s="402">
        <f>ROUND(CK1130,0)</f>
        <v/>
      </c>
      <c r="BC1130" s="402">
        <f>ROUND(CL1130,0)</f>
        <v/>
      </c>
      <c r="BD1130" s="402">
        <f>ROUND(CM1130,0)</f>
        <v/>
      </c>
      <c r="BE1130" s="402" t="n"/>
      <c r="BF1130" s="402" t="n"/>
      <c r="BG1130" s="402" t="n"/>
      <c r="BH1130" s="402" t="n"/>
      <c r="BI1130" s="402" t="n"/>
      <c r="BJ1130" s="402" t="n"/>
      <c r="BK1130" s="402" t="n"/>
      <c r="BL1130" s="402" t="n"/>
      <c r="BM1130" s="402" t="n"/>
      <c r="BN1130" s="402" t="n"/>
      <c r="BO1130" s="402" t="n"/>
      <c r="BP1130" s="402" t="n"/>
      <c r="BQ1130" s="402" t="n"/>
      <c r="BR1130" s="402" t="n"/>
      <c r="BS1130" s="402" t="n"/>
      <c r="BT1130" s="402" t="n"/>
      <c r="BU1130" s="402" t="n"/>
      <c r="BV1130" s="402" t="n"/>
      <c r="BW1130" s="402" t="n"/>
      <c r="BX1130" s="402" t="n"/>
      <c r="BY1130" s="402" t="n"/>
      <c r="BZ1130" s="402" t="n"/>
      <c r="CA1130" s="402" t="n"/>
      <c r="CB1130" s="402" t="n"/>
      <c r="CC1130" s="402" t="n"/>
      <c r="CD1130" s="402" t="n"/>
      <c r="CE1130" s="402" t="n"/>
      <c r="CF1130" s="402" t="n"/>
      <c r="CG1130" s="402" t="n"/>
      <c r="CH1130" s="402" t="n"/>
      <c r="CI1130" s="402" t="n"/>
      <c r="CJ1130" s="402" t="n"/>
      <c r="CK1130" s="402" t="n"/>
      <c r="CL1130" s="402" t="n"/>
      <c r="CM1130" s="402" t="n"/>
      <c r="CN1130" s="402" t="n"/>
      <c r="CO1130" s="402" t="n"/>
      <c r="CP1130" s="402" t="n"/>
      <c r="CQ1130" s="402" t="n"/>
      <c r="CR1130" s="402" t="n"/>
      <c r="CS1130" s="402" t="n"/>
      <c r="CT1130" s="402" t="n"/>
      <c r="CU1130" s="402" t="n"/>
      <c r="CV1130" s="402" t="n"/>
      <c r="CW1130" s="402" t="n"/>
      <c r="CX1130" s="402" t="n"/>
      <c r="CY1130" s="402" t="n"/>
      <c r="CZ1130" s="402" t="n"/>
      <c r="DA1130" s="402" t="n"/>
      <c r="DB1130" s="402" t="n"/>
      <c r="DC1130" s="402" t="n"/>
      <c r="DD1130" s="402" t="n"/>
      <c r="DE1130" s="402" t="n"/>
      <c r="DF1130" s="402" t="n"/>
      <c r="DG1130" s="403" t="n"/>
      <c r="DH1130" s="403" t="n"/>
      <c r="DI1130" s="403" t="n"/>
      <c r="DJ1130" s="403" t="n"/>
      <c r="DK1130" s="403" t="n"/>
      <c r="DL1130" s="403" t="n"/>
      <c r="DM1130" s="403" t="n"/>
      <c r="DN1130" s="403" t="n"/>
      <c r="DO1130" s="403" t="n"/>
      <c r="DP1130" s="403" t="n"/>
      <c r="DQ1130" s="403" t="n"/>
      <c r="DR1130" s="403" t="n"/>
      <c r="DS1130" s="403" t="n"/>
      <c r="DT1130" s="403" t="n"/>
      <c r="DU1130" s="403" t="n"/>
      <c r="DV1130" s="403" t="n"/>
      <c r="DW1130" s="403" t="n"/>
      <c r="DX1130" s="403" t="n"/>
      <c r="DY1130" s="403" t="n"/>
      <c r="DZ1130" s="403" t="n"/>
      <c r="EA1130" s="403" t="n"/>
      <c r="EB1130" s="403" t="n"/>
      <c r="EC1130" s="403" t="n"/>
      <c r="ED1130" s="403" t="n"/>
      <c r="EE1130" s="403" t="n"/>
      <c r="EF1130" s="403" t="n"/>
      <c r="EG1130" s="403" t="n"/>
      <c r="EH1130" s="403" t="n"/>
      <c r="EI1130" s="403" t="n"/>
      <c r="EJ1130" s="403" t="n"/>
      <c r="EK1130" s="403" t="n"/>
      <c r="EL1130" s="403" t="n"/>
      <c r="EM1130" s="403" t="n"/>
      <c r="EN1130" s="403" t="n"/>
      <c r="EO1130" s="403" t="n"/>
      <c r="EP1130" s="403" t="n"/>
      <c r="EQ1130" s="403" t="n"/>
      <c r="ER1130" s="403" t="n"/>
      <c r="ES1130" s="403" t="n"/>
      <c r="ET1130" s="403" t="n"/>
      <c r="EU1130" s="403" t="n"/>
      <c r="EV1130" s="403" t="n"/>
      <c r="EW1130" s="403" t="n"/>
      <c r="EX1130" s="403" t="n"/>
      <c r="EY1130" s="403" t="n"/>
      <c r="EZ1130" s="403" t="n"/>
      <c r="FA1130" s="403" t="n"/>
      <c r="FB1130" s="403" t="n"/>
      <c r="FC1130" s="403" t="n"/>
      <c r="FD1130" s="403" t="n"/>
      <c r="FE1130" s="403" t="n"/>
      <c r="FF1130" s="403" t="n"/>
      <c r="FG1130" s="403" t="n"/>
      <c r="FH1130" s="403" t="n"/>
      <c r="FI1130" s="403" t="n"/>
      <c r="FJ1130" s="403" t="n"/>
      <c r="FK1130" s="403" t="n"/>
      <c r="FL1130" s="403" t="n"/>
      <c r="FM1130" s="403" t="n"/>
      <c r="FN1130" s="403" t="n"/>
      <c r="FO1130" s="403" t="n"/>
      <c r="FP1130" s="403" t="n"/>
      <c r="FQ1130" s="403" t="n"/>
      <c r="FR1130" s="403" t="n"/>
      <c r="FS1130" s="403" t="n"/>
      <c r="FT1130" s="403" t="n"/>
      <c r="FU1130" s="403" t="n"/>
      <c r="FV1130" s="403" t="n"/>
      <c r="FW1130" s="403" t="n"/>
      <c r="FX1130" s="403" t="n"/>
      <c r="FY1130" s="403" t="n"/>
      <c r="FZ1130" s="403" t="n"/>
      <c r="GA1130" s="403" t="n"/>
      <c r="GB1130" s="403" t="n"/>
      <c r="GC1130" s="403" t="n"/>
      <c r="GD1130" s="403" t="n"/>
      <c r="GE1130" s="403" t="n"/>
      <c r="GF1130" s="403" t="n"/>
      <c r="GG1130" s="403" t="n"/>
      <c r="GH1130" s="403" t="n"/>
      <c r="GI1130" s="403" t="n"/>
      <c r="GJ1130" s="403" t="n"/>
      <c r="GK1130" s="403" t="n"/>
      <c r="GL1130" s="403" t="n"/>
      <c r="GM1130" s="403" t="n"/>
      <c r="GN1130" s="403" t="n"/>
      <c r="GO1130" s="403" t="n"/>
      <c r="GP1130" s="403" t="n"/>
      <c r="GQ1130" s="403" t="n"/>
      <c r="GR1130" s="403" t="n"/>
      <c r="GS1130" s="403" t="n"/>
      <c r="GT1130" s="403" t="n"/>
      <c r="GU1130" s="403" t="n"/>
      <c r="GV1130" s="403" t="n"/>
      <c r="GW1130" s="403" t="n"/>
      <c r="GX1130" s="403" t="n">
        <v>0</v>
      </c>
    </row>
    <row r="1131"/>
    <row r="1132">
      <c r="A1132" s="404" t="n">
        <v>50</v>
      </c>
      <c r="B1132" s="404" t="n">
        <v>0</v>
      </c>
      <c r="C1132" s="404" t="n">
        <v>0</v>
      </c>
      <c r="D1132" s="404" t="n">
        <v>1</v>
      </c>
      <c r="E1132" s="404" t="n">
        <v>201</v>
      </c>
      <c r="F1132" s="404">
        <f>ROUND(Source!O1130,O1132)</f>
        <v/>
      </c>
      <c r="G1132" s="404" t="inlineStr">
        <is>
          <t>ПЗ</t>
        </is>
      </c>
      <c r="H1132" s="404" t="inlineStr">
        <is>
          <t>Прямые затраты</t>
        </is>
      </c>
      <c r="I1132" s="404" t="n"/>
      <c r="J1132" s="404" t="n"/>
      <c r="K1132" s="404" t="n">
        <v>201</v>
      </c>
      <c r="L1132" s="404" t="n">
        <v>1</v>
      </c>
      <c r="M1132" s="404" t="n">
        <v>3</v>
      </c>
      <c r="N1132" s="404" t="inlineStr"/>
      <c r="O1132" s="404" t="n">
        <v>0</v>
      </c>
      <c r="P1132" s="404" t="n"/>
      <c r="Q1132" s="404" t="n"/>
      <c r="R1132" s="404" t="n"/>
      <c r="S1132" s="404" t="n"/>
      <c r="T1132" s="404" t="n"/>
      <c r="U1132" s="404" t="n"/>
      <c r="V1132" s="404" t="n"/>
      <c r="W1132" s="404" t="n">
        <v>0</v>
      </c>
      <c r="X1132" s="404" t="n">
        <v>1</v>
      </c>
      <c r="Y1132" s="404" t="n">
        <v>0</v>
      </c>
      <c r="Z1132" s="404" t="n"/>
      <c r="AA1132" s="404" t="n"/>
      <c r="AB1132" s="404" t="n"/>
    </row>
    <row r="1133">
      <c r="A1133" s="404" t="n">
        <v>50</v>
      </c>
      <c r="B1133" s="404" t="n">
        <v>0</v>
      </c>
      <c r="C1133" s="404" t="n">
        <v>0</v>
      </c>
      <c r="D1133" s="404" t="n">
        <v>1</v>
      </c>
      <c r="E1133" s="404" t="n">
        <v>202</v>
      </c>
      <c r="F1133" s="404">
        <f>ROUND(Source!P1130,O1133)</f>
        <v/>
      </c>
      <c r="G1133" s="404" t="inlineStr">
        <is>
          <t>СтМатОб</t>
        </is>
      </c>
      <c r="H1133" s="404" t="inlineStr">
        <is>
          <t>Стоимость материальных ресурсов (всего)</t>
        </is>
      </c>
      <c r="I1133" s="404" t="n"/>
      <c r="J1133" s="404" t="n"/>
      <c r="K1133" s="404" t="n">
        <v>202</v>
      </c>
      <c r="L1133" s="404" t="n">
        <v>2</v>
      </c>
      <c r="M1133" s="404" t="n">
        <v>3</v>
      </c>
      <c r="N1133" s="404" t="inlineStr"/>
      <c r="O1133" s="404" t="n">
        <v>0</v>
      </c>
      <c r="P1133" s="404" t="n"/>
      <c r="Q1133" s="404" t="n"/>
      <c r="R1133" s="404" t="n"/>
      <c r="S1133" s="404" t="n"/>
      <c r="T1133" s="404" t="n"/>
      <c r="U1133" s="404" t="n"/>
      <c r="V1133" s="404" t="n"/>
      <c r="W1133" s="404" t="n">
        <v>0</v>
      </c>
      <c r="X1133" s="404" t="n">
        <v>1</v>
      </c>
      <c r="Y1133" s="404" t="n">
        <v>0</v>
      </c>
      <c r="Z1133" s="404" t="n"/>
      <c r="AA1133" s="404" t="n"/>
      <c r="AB1133" s="404" t="n"/>
    </row>
    <row r="1134">
      <c r="A1134" s="404" t="n">
        <v>50</v>
      </c>
      <c r="B1134" s="404" t="n">
        <v>0</v>
      </c>
      <c r="C1134" s="404" t="n">
        <v>0</v>
      </c>
      <c r="D1134" s="404" t="n">
        <v>1</v>
      </c>
      <c r="E1134" s="404" t="n">
        <v>222</v>
      </c>
      <c r="F1134" s="404">
        <f>ROUND(Source!AO1130,O1134)</f>
        <v/>
      </c>
      <c r="G1134" s="404" t="inlineStr">
        <is>
          <t>СтМатОбЗак</t>
        </is>
      </c>
      <c r="H1134" s="404" t="inlineStr">
        <is>
          <t>Стоимость материалов и оборудования заказчика</t>
        </is>
      </c>
      <c r="I1134" s="404" t="n"/>
      <c r="J1134" s="404" t="n"/>
      <c r="K1134" s="404" t="n">
        <v>222</v>
      </c>
      <c r="L1134" s="404" t="n">
        <v>3</v>
      </c>
      <c r="M1134" s="404" t="n">
        <v>3</v>
      </c>
      <c r="N1134" s="404" t="inlineStr"/>
      <c r="O1134" s="404" t="n">
        <v>0</v>
      </c>
      <c r="P1134" s="404" t="n"/>
      <c r="Q1134" s="404" t="n"/>
      <c r="R1134" s="404" t="n"/>
      <c r="S1134" s="404" t="n"/>
      <c r="T1134" s="404" t="n"/>
      <c r="U1134" s="404" t="n"/>
      <c r="V1134" s="404" t="n"/>
      <c r="W1134" s="404" t="n">
        <v>0</v>
      </c>
      <c r="X1134" s="404" t="n">
        <v>1</v>
      </c>
      <c r="Y1134" s="404" t="n">
        <v>0</v>
      </c>
      <c r="Z1134" s="404" t="n"/>
      <c r="AA1134" s="404" t="n"/>
      <c r="AB1134" s="404" t="n"/>
    </row>
    <row r="1135">
      <c r="A1135" s="404" t="n">
        <v>50</v>
      </c>
      <c r="B1135" s="404" t="n">
        <v>0</v>
      </c>
      <c r="C1135" s="404" t="n">
        <v>0</v>
      </c>
      <c r="D1135" s="404" t="n">
        <v>1</v>
      </c>
      <c r="E1135" s="404" t="n">
        <v>225</v>
      </c>
      <c r="F1135" s="404">
        <f>ROUND(Source!AV1130,O1135)</f>
        <v/>
      </c>
      <c r="G1135" s="404" t="inlineStr">
        <is>
          <t>СтМатОбПод</t>
        </is>
      </c>
      <c r="H1135" s="404" t="inlineStr">
        <is>
          <t>Стоимость материалов и оборудования подрядчика</t>
        </is>
      </c>
      <c r="I1135" s="404" t="n"/>
      <c r="J1135" s="404" t="n"/>
      <c r="K1135" s="404" t="n">
        <v>225</v>
      </c>
      <c r="L1135" s="404" t="n">
        <v>4</v>
      </c>
      <c r="M1135" s="404" t="n">
        <v>3</v>
      </c>
      <c r="N1135" s="404" t="inlineStr"/>
      <c r="O1135" s="404" t="n">
        <v>0</v>
      </c>
      <c r="P1135" s="404" t="n"/>
      <c r="Q1135" s="404" t="n"/>
      <c r="R1135" s="404" t="n"/>
      <c r="S1135" s="404" t="n"/>
      <c r="T1135" s="404" t="n"/>
      <c r="U1135" s="404" t="n"/>
      <c r="V1135" s="404" t="n"/>
      <c r="W1135" s="404" t="n">
        <v>0</v>
      </c>
      <c r="X1135" s="404" t="n">
        <v>1</v>
      </c>
      <c r="Y1135" s="404" t="n">
        <v>0</v>
      </c>
      <c r="Z1135" s="404" t="n"/>
      <c r="AA1135" s="404" t="n"/>
      <c r="AB1135" s="404" t="n"/>
    </row>
    <row r="1136">
      <c r="A1136" s="404" t="n">
        <v>50</v>
      </c>
      <c r="B1136" s="404" t="n">
        <v>0</v>
      </c>
      <c r="C1136" s="404" t="n">
        <v>0</v>
      </c>
      <c r="D1136" s="404" t="n">
        <v>1</v>
      </c>
      <c r="E1136" s="404" t="n">
        <v>226</v>
      </c>
      <c r="F1136" s="404">
        <f>ROUND(Source!AW1130,O1136)</f>
        <v/>
      </c>
      <c r="G1136" s="404" t="inlineStr">
        <is>
          <t>СтМат</t>
        </is>
      </c>
      <c r="H1136" s="404" t="inlineStr">
        <is>
          <t>Стоимость материалов (всего)</t>
        </is>
      </c>
      <c r="I1136" s="404" t="n"/>
      <c r="J1136" s="404" t="n"/>
      <c r="K1136" s="404" t="n">
        <v>226</v>
      </c>
      <c r="L1136" s="404" t="n">
        <v>5</v>
      </c>
      <c r="M1136" s="404" t="n">
        <v>3</v>
      </c>
      <c r="N1136" s="404" t="inlineStr"/>
      <c r="O1136" s="404" t="n">
        <v>0</v>
      </c>
      <c r="P1136" s="404" t="n"/>
      <c r="Q1136" s="404" t="n"/>
      <c r="R1136" s="404" t="n"/>
      <c r="S1136" s="404" t="n"/>
      <c r="T1136" s="404" t="n"/>
      <c r="U1136" s="404" t="n"/>
      <c r="V1136" s="404" t="n"/>
      <c r="W1136" s="404" t="n">
        <v>0</v>
      </c>
      <c r="X1136" s="404" t="n">
        <v>1</v>
      </c>
      <c r="Y1136" s="404" t="n">
        <v>0</v>
      </c>
      <c r="Z1136" s="404" t="n"/>
      <c r="AA1136" s="404" t="n"/>
      <c r="AB1136" s="404" t="n"/>
    </row>
    <row r="1137">
      <c r="A1137" s="404" t="n">
        <v>50</v>
      </c>
      <c r="B1137" s="404" t="n">
        <v>0</v>
      </c>
      <c r="C1137" s="404" t="n">
        <v>0</v>
      </c>
      <c r="D1137" s="404" t="n">
        <v>1</v>
      </c>
      <c r="E1137" s="404" t="n">
        <v>227</v>
      </c>
      <c r="F1137" s="404">
        <f>ROUND(Source!AX1130,O1137)</f>
        <v/>
      </c>
      <c r="G1137" s="404" t="inlineStr">
        <is>
          <t>СтМатЗак</t>
        </is>
      </c>
      <c r="H1137" s="404" t="inlineStr">
        <is>
          <t>Стоимость материалов заказчика</t>
        </is>
      </c>
      <c r="I1137" s="404" t="n"/>
      <c r="J1137" s="404" t="n"/>
      <c r="K1137" s="404" t="n">
        <v>227</v>
      </c>
      <c r="L1137" s="404" t="n">
        <v>6</v>
      </c>
      <c r="M1137" s="404" t="n">
        <v>3</v>
      </c>
      <c r="N1137" s="404" t="inlineStr"/>
      <c r="O1137" s="404" t="n">
        <v>0</v>
      </c>
      <c r="P1137" s="404" t="n"/>
      <c r="Q1137" s="404" t="n"/>
      <c r="R1137" s="404" t="n"/>
      <c r="S1137" s="404" t="n"/>
      <c r="T1137" s="404" t="n"/>
      <c r="U1137" s="404" t="n"/>
      <c r="V1137" s="404" t="n"/>
      <c r="W1137" s="404" t="n">
        <v>0</v>
      </c>
      <c r="X1137" s="404" t="n">
        <v>1</v>
      </c>
      <c r="Y1137" s="404" t="n">
        <v>0</v>
      </c>
      <c r="Z1137" s="404" t="n"/>
      <c r="AA1137" s="404" t="n"/>
      <c r="AB1137" s="404" t="n"/>
    </row>
    <row r="1138">
      <c r="A1138" s="404" t="n">
        <v>50</v>
      </c>
      <c r="B1138" s="404" t="n">
        <v>0</v>
      </c>
      <c r="C1138" s="404" t="n">
        <v>0</v>
      </c>
      <c r="D1138" s="404" t="n">
        <v>1</v>
      </c>
      <c r="E1138" s="404" t="n">
        <v>228</v>
      </c>
      <c r="F1138" s="404">
        <f>ROUND(Source!AY1130,O1138)</f>
        <v/>
      </c>
      <c r="G1138" s="404" t="inlineStr">
        <is>
          <t>СтМатПод</t>
        </is>
      </c>
      <c r="H1138" s="404" t="inlineStr">
        <is>
          <t>Стоимость материалов подрядчика</t>
        </is>
      </c>
      <c r="I1138" s="404" t="n"/>
      <c r="J1138" s="404" t="n"/>
      <c r="K1138" s="404" t="n">
        <v>228</v>
      </c>
      <c r="L1138" s="404" t="n">
        <v>7</v>
      </c>
      <c r="M1138" s="404" t="n">
        <v>3</v>
      </c>
      <c r="N1138" s="404" t="inlineStr"/>
      <c r="O1138" s="404" t="n">
        <v>0</v>
      </c>
      <c r="P1138" s="404" t="n"/>
      <c r="Q1138" s="404" t="n"/>
      <c r="R1138" s="404" t="n"/>
      <c r="S1138" s="404" t="n"/>
      <c r="T1138" s="404" t="n"/>
      <c r="U1138" s="404" t="n"/>
      <c r="V1138" s="404" t="n"/>
      <c r="W1138" s="404" t="n">
        <v>0</v>
      </c>
      <c r="X1138" s="404" t="n">
        <v>1</v>
      </c>
      <c r="Y1138" s="404" t="n">
        <v>0</v>
      </c>
      <c r="Z1138" s="404" t="n"/>
      <c r="AA1138" s="404" t="n"/>
      <c r="AB1138" s="404" t="n"/>
    </row>
    <row r="1139">
      <c r="A1139" s="404" t="n">
        <v>50</v>
      </c>
      <c r="B1139" s="404" t="n">
        <v>0</v>
      </c>
      <c r="C1139" s="404" t="n">
        <v>0</v>
      </c>
      <c r="D1139" s="404" t="n">
        <v>1</v>
      </c>
      <c r="E1139" s="404" t="n">
        <v>216</v>
      </c>
      <c r="F1139" s="404">
        <f>ROUND(Source!AP1130,O1139)</f>
        <v/>
      </c>
      <c r="G1139" s="404" t="inlineStr">
        <is>
          <t>Оборуд</t>
        </is>
      </c>
      <c r="H1139" s="404" t="inlineStr">
        <is>
          <t>Стоимость оборудования (всего)</t>
        </is>
      </c>
      <c r="I1139" s="404" t="n"/>
      <c r="J1139" s="404" t="n"/>
      <c r="K1139" s="404" t="n">
        <v>216</v>
      </c>
      <c r="L1139" s="404" t="n">
        <v>8</v>
      </c>
      <c r="M1139" s="404" t="n">
        <v>3</v>
      </c>
      <c r="N1139" s="404" t="inlineStr"/>
      <c r="O1139" s="404" t="n">
        <v>0</v>
      </c>
      <c r="P1139" s="404" t="n"/>
      <c r="Q1139" s="404" t="n"/>
      <c r="R1139" s="404" t="n"/>
      <c r="S1139" s="404" t="n"/>
      <c r="T1139" s="404" t="n"/>
      <c r="U1139" s="404" t="n"/>
      <c r="V1139" s="404" t="n"/>
      <c r="W1139" s="404" t="n">
        <v>0</v>
      </c>
      <c r="X1139" s="404" t="n">
        <v>1</v>
      </c>
      <c r="Y1139" s="404" t="n">
        <v>0</v>
      </c>
      <c r="Z1139" s="404" t="n"/>
      <c r="AA1139" s="404" t="n"/>
      <c r="AB1139" s="404" t="n"/>
    </row>
    <row r="1140">
      <c r="A1140" s="404" t="n">
        <v>50</v>
      </c>
      <c r="B1140" s="404" t="n">
        <v>0</v>
      </c>
      <c r="C1140" s="404" t="n">
        <v>0</v>
      </c>
      <c r="D1140" s="404" t="n">
        <v>1</v>
      </c>
      <c r="E1140" s="404" t="n">
        <v>223</v>
      </c>
      <c r="F1140" s="404">
        <f>ROUND(Source!AQ1130,O1140)</f>
        <v/>
      </c>
      <c r="G1140" s="404" t="inlineStr">
        <is>
          <t>ОборудЗак</t>
        </is>
      </c>
      <c r="H1140" s="404" t="inlineStr">
        <is>
          <t>Стоимость оборудования заказчика</t>
        </is>
      </c>
      <c r="I1140" s="404" t="n"/>
      <c r="J1140" s="404" t="n"/>
      <c r="K1140" s="404" t="n">
        <v>223</v>
      </c>
      <c r="L1140" s="404" t="n">
        <v>9</v>
      </c>
      <c r="M1140" s="404" t="n">
        <v>3</v>
      </c>
      <c r="N1140" s="404" t="inlineStr"/>
      <c r="O1140" s="404" t="n">
        <v>0</v>
      </c>
      <c r="P1140" s="404" t="n"/>
      <c r="Q1140" s="404" t="n"/>
      <c r="R1140" s="404" t="n"/>
      <c r="S1140" s="404" t="n"/>
      <c r="T1140" s="404" t="n"/>
      <c r="U1140" s="404" t="n"/>
      <c r="V1140" s="404" t="n"/>
      <c r="W1140" s="404" t="n">
        <v>0</v>
      </c>
      <c r="X1140" s="404" t="n">
        <v>1</v>
      </c>
      <c r="Y1140" s="404" t="n">
        <v>0</v>
      </c>
      <c r="Z1140" s="404" t="n"/>
      <c r="AA1140" s="404" t="n"/>
      <c r="AB1140" s="404" t="n"/>
    </row>
    <row r="1141">
      <c r="A1141" s="404" t="n">
        <v>50</v>
      </c>
      <c r="B1141" s="404" t="n">
        <v>0</v>
      </c>
      <c r="C1141" s="404" t="n">
        <v>0</v>
      </c>
      <c r="D1141" s="404" t="n">
        <v>1</v>
      </c>
      <c r="E1141" s="404" t="n">
        <v>229</v>
      </c>
      <c r="F1141" s="404">
        <f>ROUND(Source!AZ1130,O1141)</f>
        <v/>
      </c>
      <c r="G1141" s="404" t="inlineStr">
        <is>
          <t>ОборудПод</t>
        </is>
      </c>
      <c r="H1141" s="404" t="inlineStr">
        <is>
          <t>Стоимость оборудования подрядчика</t>
        </is>
      </c>
      <c r="I1141" s="404" t="n"/>
      <c r="J1141" s="404" t="n"/>
      <c r="K1141" s="404" t="n">
        <v>229</v>
      </c>
      <c r="L1141" s="404" t="n">
        <v>10</v>
      </c>
      <c r="M1141" s="404" t="n">
        <v>3</v>
      </c>
      <c r="N1141" s="404" t="inlineStr"/>
      <c r="O1141" s="404" t="n">
        <v>0</v>
      </c>
      <c r="P1141" s="404" t="n"/>
      <c r="Q1141" s="404" t="n"/>
      <c r="R1141" s="404" t="n"/>
      <c r="S1141" s="404" t="n"/>
      <c r="T1141" s="404" t="n"/>
      <c r="U1141" s="404" t="n"/>
      <c r="V1141" s="404" t="n"/>
      <c r="W1141" s="404" t="n">
        <v>0</v>
      </c>
      <c r="X1141" s="404" t="n">
        <v>1</v>
      </c>
      <c r="Y1141" s="404" t="n">
        <v>0</v>
      </c>
      <c r="Z1141" s="404" t="n"/>
      <c r="AA1141" s="404" t="n"/>
      <c r="AB1141" s="404" t="n"/>
    </row>
    <row r="1142">
      <c r="A1142" s="404" t="n">
        <v>50</v>
      </c>
      <c r="B1142" s="404" t="n">
        <v>0</v>
      </c>
      <c r="C1142" s="404" t="n">
        <v>0</v>
      </c>
      <c r="D1142" s="404" t="n">
        <v>1</v>
      </c>
      <c r="E1142" s="404" t="n">
        <v>203</v>
      </c>
      <c r="F1142" s="404">
        <f>ROUND(Source!Q1130,O1142)</f>
        <v/>
      </c>
      <c r="G1142" s="404" t="inlineStr">
        <is>
          <t>ЭММ</t>
        </is>
      </c>
      <c r="H1142" s="404" t="inlineStr">
        <is>
          <t>Эксплуатация машин</t>
        </is>
      </c>
      <c r="I1142" s="404" t="n"/>
      <c r="J1142" s="404" t="n"/>
      <c r="K1142" s="404" t="n">
        <v>203</v>
      </c>
      <c r="L1142" s="404" t="n">
        <v>11</v>
      </c>
      <c r="M1142" s="404" t="n">
        <v>3</v>
      </c>
      <c r="N1142" s="404" t="inlineStr"/>
      <c r="O1142" s="404" t="n">
        <v>0</v>
      </c>
      <c r="P1142" s="404" t="n"/>
      <c r="Q1142" s="404" t="n"/>
      <c r="R1142" s="404" t="n"/>
      <c r="S1142" s="404" t="n"/>
      <c r="T1142" s="404" t="n"/>
      <c r="U1142" s="404" t="n"/>
      <c r="V1142" s="404" t="n"/>
      <c r="W1142" s="404" t="n">
        <v>0</v>
      </c>
      <c r="X1142" s="404" t="n">
        <v>1</v>
      </c>
      <c r="Y1142" s="404" t="n">
        <v>0</v>
      </c>
      <c r="Z1142" s="404" t="n"/>
      <c r="AA1142" s="404" t="n"/>
      <c r="AB1142" s="404" t="n"/>
    </row>
    <row r="1143">
      <c r="A1143" s="404" t="n">
        <v>50</v>
      </c>
      <c r="B1143" s="404" t="n">
        <v>0</v>
      </c>
      <c r="C1143" s="404" t="n">
        <v>0</v>
      </c>
      <c r="D1143" s="404" t="n">
        <v>1</v>
      </c>
      <c r="E1143" s="404" t="n">
        <v>231</v>
      </c>
      <c r="F1143" s="404">
        <f>ROUND(Source!BB1130,O1143)</f>
        <v/>
      </c>
      <c r="G1143" s="404" t="inlineStr">
        <is>
          <t>ЭММсНРиСП</t>
        </is>
      </c>
      <c r="H1143" s="404" t="inlineStr">
        <is>
          <t>Эксплуатация машин по ТСН-2001.16</t>
        </is>
      </c>
      <c r="I1143" s="404" t="n"/>
      <c r="J1143" s="404" t="n"/>
      <c r="K1143" s="404" t="n">
        <v>231</v>
      </c>
      <c r="L1143" s="404" t="n">
        <v>12</v>
      </c>
      <c r="M1143" s="404" t="n">
        <v>3</v>
      </c>
      <c r="N1143" s="404" t="inlineStr"/>
      <c r="O1143" s="404" t="n">
        <v>0</v>
      </c>
      <c r="P1143" s="404" t="n"/>
      <c r="Q1143" s="404" t="n"/>
      <c r="R1143" s="404" t="n"/>
      <c r="S1143" s="404" t="n"/>
      <c r="T1143" s="404" t="n"/>
      <c r="U1143" s="404" t="n"/>
      <c r="V1143" s="404" t="n"/>
      <c r="W1143" s="404" t="n">
        <v>0</v>
      </c>
      <c r="X1143" s="404" t="n">
        <v>1</v>
      </c>
      <c r="Y1143" s="404" t="n">
        <v>0</v>
      </c>
      <c r="Z1143" s="404" t="n"/>
      <c r="AA1143" s="404" t="n"/>
      <c r="AB1143" s="404" t="n"/>
    </row>
    <row r="1144">
      <c r="A1144" s="404" t="n">
        <v>50</v>
      </c>
      <c r="B1144" s="404" t="n">
        <v>0</v>
      </c>
      <c r="C1144" s="404" t="n">
        <v>0</v>
      </c>
      <c r="D1144" s="404" t="n">
        <v>1</v>
      </c>
      <c r="E1144" s="404" t="n">
        <v>204</v>
      </c>
      <c r="F1144" s="404">
        <f>ROUND(Source!R1130,O1144)</f>
        <v/>
      </c>
      <c r="G1144" s="404" t="inlineStr">
        <is>
          <t>ЗПМ</t>
        </is>
      </c>
      <c r="H1144" s="404" t="inlineStr">
        <is>
          <t>ЗП машинистов</t>
        </is>
      </c>
      <c r="I1144" s="404" t="n"/>
      <c r="J1144" s="404" t="n"/>
      <c r="K1144" s="404" t="n">
        <v>204</v>
      </c>
      <c r="L1144" s="404" t="n">
        <v>13</v>
      </c>
      <c r="M1144" s="404" t="n">
        <v>3</v>
      </c>
      <c r="N1144" s="404" t="inlineStr"/>
      <c r="O1144" s="404" t="n">
        <v>0</v>
      </c>
      <c r="P1144" s="404" t="n"/>
      <c r="Q1144" s="404" t="n"/>
      <c r="R1144" s="404" t="n"/>
      <c r="S1144" s="404" t="n"/>
      <c r="T1144" s="404" t="n"/>
      <c r="U1144" s="404" t="n"/>
      <c r="V1144" s="404" t="n"/>
      <c r="W1144" s="404" t="n">
        <v>0</v>
      </c>
      <c r="X1144" s="404" t="n">
        <v>1</v>
      </c>
      <c r="Y1144" s="404" t="n">
        <v>0</v>
      </c>
      <c r="Z1144" s="404" t="n"/>
      <c r="AA1144" s="404" t="n"/>
      <c r="AB1144" s="404" t="n"/>
    </row>
    <row r="1145">
      <c r="A1145" s="404" t="n">
        <v>50</v>
      </c>
      <c r="B1145" s="404" t="n">
        <v>0</v>
      </c>
      <c r="C1145" s="404" t="n">
        <v>0</v>
      </c>
      <c r="D1145" s="404" t="n">
        <v>1</v>
      </c>
      <c r="E1145" s="404" t="n">
        <v>205</v>
      </c>
      <c r="F1145" s="404">
        <f>ROUND(Source!S1130,O1145)</f>
        <v/>
      </c>
      <c r="G1145" s="404" t="inlineStr">
        <is>
          <t>ОЗП</t>
        </is>
      </c>
      <c r="H1145" s="404" t="inlineStr">
        <is>
          <t>Основная ЗП рабочих</t>
        </is>
      </c>
      <c r="I1145" s="404" t="n"/>
      <c r="J1145" s="404" t="n"/>
      <c r="K1145" s="404" t="n">
        <v>205</v>
      </c>
      <c r="L1145" s="404" t="n">
        <v>14</v>
      </c>
      <c r="M1145" s="404" t="n">
        <v>3</v>
      </c>
      <c r="N1145" s="404" t="inlineStr"/>
      <c r="O1145" s="404" t="n">
        <v>0</v>
      </c>
      <c r="P1145" s="404" t="n"/>
      <c r="Q1145" s="404" t="n"/>
      <c r="R1145" s="404" t="n"/>
      <c r="S1145" s="404" t="n"/>
      <c r="T1145" s="404" t="n"/>
      <c r="U1145" s="404" t="n"/>
      <c r="V1145" s="404" t="n"/>
      <c r="W1145" s="404" t="n">
        <v>0</v>
      </c>
      <c r="X1145" s="404" t="n">
        <v>1</v>
      </c>
      <c r="Y1145" s="404" t="n">
        <v>0</v>
      </c>
      <c r="Z1145" s="404" t="n"/>
      <c r="AA1145" s="404" t="n"/>
      <c r="AB1145" s="404" t="n"/>
    </row>
    <row r="1146">
      <c r="A1146" s="404" t="n">
        <v>50</v>
      </c>
      <c r="B1146" s="404" t="n">
        <v>0</v>
      </c>
      <c r="C1146" s="404" t="n">
        <v>0</v>
      </c>
      <c r="D1146" s="404" t="n">
        <v>1</v>
      </c>
      <c r="E1146" s="404" t="n">
        <v>232</v>
      </c>
      <c r="F1146" s="404">
        <f>ROUND(Source!BC1130,O1146)</f>
        <v/>
      </c>
      <c r="G1146" s="404" t="inlineStr">
        <is>
          <t>ОЗПсНРиСП</t>
        </is>
      </c>
      <c r="H1146" s="404" t="inlineStr">
        <is>
          <t>Основная ЗП рабочих по ТСН-2001.16</t>
        </is>
      </c>
      <c r="I1146" s="404" t="n"/>
      <c r="J1146" s="404" t="n"/>
      <c r="K1146" s="404" t="n">
        <v>232</v>
      </c>
      <c r="L1146" s="404" t="n">
        <v>15</v>
      </c>
      <c r="M1146" s="404" t="n">
        <v>3</v>
      </c>
      <c r="N1146" s="404" t="inlineStr"/>
      <c r="O1146" s="404" t="n">
        <v>0</v>
      </c>
      <c r="P1146" s="404" t="n"/>
      <c r="Q1146" s="404" t="n"/>
      <c r="R1146" s="404" t="n"/>
      <c r="S1146" s="404" t="n"/>
      <c r="T1146" s="404" t="n"/>
      <c r="U1146" s="404" t="n"/>
      <c r="V1146" s="404" t="n"/>
      <c r="W1146" s="404" t="n">
        <v>0</v>
      </c>
      <c r="X1146" s="404" t="n">
        <v>1</v>
      </c>
      <c r="Y1146" s="404" t="n">
        <v>0</v>
      </c>
      <c r="Z1146" s="404" t="n"/>
      <c r="AA1146" s="404" t="n"/>
      <c r="AB1146" s="404" t="n"/>
    </row>
    <row r="1147">
      <c r="A1147" s="404" t="n">
        <v>50</v>
      </c>
      <c r="B1147" s="404" t="n">
        <v>0</v>
      </c>
      <c r="C1147" s="404" t="n">
        <v>0</v>
      </c>
      <c r="D1147" s="404" t="n">
        <v>1</v>
      </c>
      <c r="E1147" s="404" t="n">
        <v>214</v>
      </c>
      <c r="F1147" s="404">
        <f>ROUND(Source!AS1130,O1147)</f>
        <v/>
      </c>
      <c r="G1147" s="404" t="inlineStr">
        <is>
          <t>Строит</t>
        </is>
      </c>
      <c r="H1147" s="404" t="inlineStr">
        <is>
          <t>Строительные работы с НР и СП</t>
        </is>
      </c>
      <c r="I1147" s="404" t="n"/>
      <c r="J1147" s="404" t="n"/>
      <c r="K1147" s="404" t="n">
        <v>214</v>
      </c>
      <c r="L1147" s="404" t="n">
        <v>16</v>
      </c>
      <c r="M1147" s="404" t="n">
        <v>3</v>
      </c>
      <c r="N1147" s="404" t="inlineStr"/>
      <c r="O1147" s="404" t="n">
        <v>0</v>
      </c>
      <c r="P1147" s="404" t="n"/>
      <c r="Q1147" s="404" t="n"/>
      <c r="R1147" s="404" t="n"/>
      <c r="S1147" s="404" t="n"/>
      <c r="T1147" s="404" t="n"/>
      <c r="U1147" s="404" t="n"/>
      <c r="V1147" s="404" t="n"/>
      <c r="W1147" s="404" t="n">
        <v>0</v>
      </c>
      <c r="X1147" s="404" t="n">
        <v>1</v>
      </c>
      <c r="Y1147" s="404" t="n">
        <v>0</v>
      </c>
      <c r="Z1147" s="404" t="n"/>
      <c r="AA1147" s="404" t="n"/>
      <c r="AB1147" s="404" t="n"/>
    </row>
    <row r="1148">
      <c r="A1148" s="404" t="n">
        <v>50</v>
      </c>
      <c r="B1148" s="404" t="n">
        <v>0</v>
      </c>
      <c r="C1148" s="404" t="n">
        <v>0</v>
      </c>
      <c r="D1148" s="404" t="n">
        <v>1</v>
      </c>
      <c r="E1148" s="404" t="n">
        <v>215</v>
      </c>
      <c r="F1148" s="404">
        <f>ROUND(Source!AT1130,O1148)</f>
        <v/>
      </c>
      <c r="G1148" s="404" t="inlineStr">
        <is>
          <t>Монтаж</t>
        </is>
      </c>
      <c r="H1148" s="404" t="inlineStr">
        <is>
          <t>Монтажные работы с НР и СП</t>
        </is>
      </c>
      <c r="I1148" s="404" t="n"/>
      <c r="J1148" s="404" t="n"/>
      <c r="K1148" s="404" t="n">
        <v>215</v>
      </c>
      <c r="L1148" s="404" t="n">
        <v>17</v>
      </c>
      <c r="M1148" s="404" t="n">
        <v>3</v>
      </c>
      <c r="N1148" s="404" t="inlineStr"/>
      <c r="O1148" s="404" t="n">
        <v>0</v>
      </c>
      <c r="P1148" s="404" t="n"/>
      <c r="Q1148" s="404" t="n"/>
      <c r="R1148" s="404" t="n"/>
      <c r="S1148" s="404" t="n"/>
      <c r="T1148" s="404" t="n"/>
      <c r="U1148" s="404" t="n"/>
      <c r="V1148" s="404" t="n"/>
      <c r="W1148" s="404" t="n">
        <v>0</v>
      </c>
      <c r="X1148" s="404" t="n">
        <v>1</v>
      </c>
      <c r="Y1148" s="404" t="n">
        <v>0</v>
      </c>
      <c r="Z1148" s="404" t="n"/>
      <c r="AA1148" s="404" t="n"/>
      <c r="AB1148" s="404" t="n"/>
    </row>
    <row r="1149">
      <c r="A1149" s="404" t="n">
        <v>50</v>
      </c>
      <c r="B1149" s="404" t="n">
        <v>0</v>
      </c>
      <c r="C1149" s="404" t="n">
        <v>0</v>
      </c>
      <c r="D1149" s="404" t="n">
        <v>1</v>
      </c>
      <c r="E1149" s="404" t="n">
        <v>217</v>
      </c>
      <c r="F1149" s="404">
        <f>ROUND(Source!AU1130,O1149)</f>
        <v/>
      </c>
      <c r="G1149" s="404" t="inlineStr">
        <is>
          <t>Прочие</t>
        </is>
      </c>
      <c r="H1149" s="404" t="inlineStr">
        <is>
          <t>Прочие работы с НР и СП</t>
        </is>
      </c>
      <c r="I1149" s="404" t="n"/>
      <c r="J1149" s="404" t="n"/>
      <c r="K1149" s="404" t="n">
        <v>217</v>
      </c>
      <c r="L1149" s="404" t="n">
        <v>18</v>
      </c>
      <c r="M1149" s="404" t="n">
        <v>3</v>
      </c>
      <c r="N1149" s="404" t="inlineStr"/>
      <c r="O1149" s="404" t="n">
        <v>0</v>
      </c>
      <c r="P1149" s="404" t="n"/>
      <c r="Q1149" s="404" t="n"/>
      <c r="R1149" s="404" t="n"/>
      <c r="S1149" s="404" t="n"/>
      <c r="T1149" s="404" t="n"/>
      <c r="U1149" s="404" t="n"/>
      <c r="V1149" s="404" t="n"/>
      <c r="W1149" s="404" t="n">
        <v>0</v>
      </c>
      <c r="X1149" s="404" t="n">
        <v>1</v>
      </c>
      <c r="Y1149" s="404" t="n">
        <v>0</v>
      </c>
      <c r="Z1149" s="404" t="n"/>
      <c r="AA1149" s="404" t="n"/>
      <c r="AB1149" s="404" t="n"/>
    </row>
    <row r="1150">
      <c r="A1150" s="404" t="n">
        <v>50</v>
      </c>
      <c r="B1150" s="404" t="n">
        <v>0</v>
      </c>
      <c r="C1150" s="404" t="n">
        <v>0</v>
      </c>
      <c r="D1150" s="404" t="n">
        <v>1</v>
      </c>
      <c r="E1150" s="404" t="n">
        <v>230</v>
      </c>
      <c r="F1150" s="404">
        <f>ROUND(Source!BA1130,O1150)</f>
        <v/>
      </c>
      <c r="G1150" s="404" t="inlineStr">
        <is>
          <t>ПрочиеЗатр</t>
        </is>
      </c>
      <c r="H1150" s="404" t="inlineStr">
        <is>
          <t>Прочие затраты по ТСН-2001.16</t>
        </is>
      </c>
      <c r="I1150" s="404" t="n"/>
      <c r="J1150" s="404" t="n"/>
      <c r="K1150" s="404" t="n">
        <v>230</v>
      </c>
      <c r="L1150" s="404" t="n">
        <v>19</v>
      </c>
      <c r="M1150" s="404" t="n">
        <v>3</v>
      </c>
      <c r="N1150" s="404" t="inlineStr"/>
      <c r="O1150" s="404" t="n">
        <v>0</v>
      </c>
      <c r="P1150" s="404" t="n"/>
      <c r="Q1150" s="404" t="n"/>
      <c r="R1150" s="404" t="n"/>
      <c r="S1150" s="404" t="n"/>
      <c r="T1150" s="404" t="n"/>
      <c r="U1150" s="404" t="n"/>
      <c r="V1150" s="404" t="n"/>
      <c r="W1150" s="404" t="n">
        <v>0</v>
      </c>
      <c r="X1150" s="404" t="n">
        <v>1</v>
      </c>
      <c r="Y1150" s="404" t="n">
        <v>0</v>
      </c>
      <c r="Z1150" s="404" t="n"/>
      <c r="AA1150" s="404" t="n"/>
      <c r="AB1150" s="404" t="n"/>
    </row>
    <row r="1151">
      <c r="A1151" s="404" t="n">
        <v>50</v>
      </c>
      <c r="B1151" s="404" t="n">
        <v>0</v>
      </c>
      <c r="C1151" s="404" t="n">
        <v>0</v>
      </c>
      <c r="D1151" s="404" t="n">
        <v>1</v>
      </c>
      <c r="E1151" s="404" t="n">
        <v>206</v>
      </c>
      <c r="F1151" s="404">
        <f>ROUND(Source!T1130,O1151)</f>
        <v/>
      </c>
      <c r="G1151" s="404" t="inlineStr">
        <is>
          <t>ВозврМат</t>
        </is>
      </c>
      <c r="H1151" s="404" t="inlineStr">
        <is>
          <t>Возврат материалов</t>
        </is>
      </c>
      <c r="I1151" s="404" t="n"/>
      <c r="J1151" s="404" t="n"/>
      <c r="K1151" s="404" t="n">
        <v>206</v>
      </c>
      <c r="L1151" s="404" t="n">
        <v>20</v>
      </c>
      <c r="M1151" s="404" t="n">
        <v>3</v>
      </c>
      <c r="N1151" s="404" t="inlineStr"/>
      <c r="O1151" s="404" t="n">
        <v>0</v>
      </c>
      <c r="P1151" s="404" t="n"/>
      <c r="Q1151" s="404" t="n"/>
      <c r="R1151" s="404" t="n"/>
      <c r="S1151" s="404" t="n"/>
      <c r="T1151" s="404" t="n"/>
      <c r="U1151" s="404" t="n"/>
      <c r="V1151" s="404" t="n"/>
      <c r="W1151" s="404" t="n">
        <v>0</v>
      </c>
      <c r="X1151" s="404" t="n">
        <v>1</v>
      </c>
      <c r="Y1151" s="404" t="n">
        <v>0</v>
      </c>
      <c r="Z1151" s="404" t="n"/>
      <c r="AA1151" s="404" t="n"/>
      <c r="AB1151" s="404" t="n"/>
    </row>
    <row r="1152">
      <c r="A1152" s="404" t="n">
        <v>50</v>
      </c>
      <c r="B1152" s="404" t="n">
        <v>0</v>
      </c>
      <c r="C1152" s="404" t="n">
        <v>0</v>
      </c>
      <c r="D1152" s="404" t="n">
        <v>1</v>
      </c>
      <c r="E1152" s="404" t="n">
        <v>207</v>
      </c>
      <c r="F1152" s="404">
        <f>ROUND(Source!U1130,O1152)</f>
        <v/>
      </c>
      <c r="G1152" s="404" t="inlineStr">
        <is>
          <t>ТрудСтр</t>
        </is>
      </c>
      <c r="H1152" s="404" t="inlineStr">
        <is>
          <t>Трудозатраты строителей</t>
        </is>
      </c>
      <c r="I1152" s="404" t="n"/>
      <c r="J1152" s="404" t="n"/>
      <c r="K1152" s="404" t="n">
        <v>207</v>
      </c>
      <c r="L1152" s="404" t="n">
        <v>21</v>
      </c>
      <c r="M1152" s="404" t="n">
        <v>3</v>
      </c>
      <c r="N1152" s="404" t="inlineStr"/>
      <c r="O1152" s="404" t="n">
        <v>7</v>
      </c>
      <c r="P1152" s="404" t="n"/>
      <c r="Q1152" s="404" t="n"/>
      <c r="R1152" s="404" t="n"/>
      <c r="S1152" s="404" t="n"/>
      <c r="T1152" s="404" t="n"/>
      <c r="U1152" s="404" t="n"/>
      <c r="V1152" s="404" t="n"/>
      <c r="W1152" s="404" t="n">
        <v>0</v>
      </c>
      <c r="X1152" s="404" t="n">
        <v>1</v>
      </c>
      <c r="Y1152" s="404" t="n">
        <v>0</v>
      </c>
      <c r="Z1152" s="404" t="n"/>
      <c r="AA1152" s="404" t="n"/>
      <c r="AB1152" s="404" t="n"/>
    </row>
    <row r="1153">
      <c r="A1153" s="404" t="n">
        <v>50</v>
      </c>
      <c r="B1153" s="404" t="n">
        <v>0</v>
      </c>
      <c r="C1153" s="404" t="n">
        <v>0</v>
      </c>
      <c r="D1153" s="404" t="n">
        <v>1</v>
      </c>
      <c r="E1153" s="404" t="n">
        <v>208</v>
      </c>
      <c r="F1153" s="404">
        <f>ROUND(Source!V1130,O1153)</f>
        <v/>
      </c>
      <c r="G1153" s="404" t="inlineStr">
        <is>
          <t>ТрудМаш</t>
        </is>
      </c>
      <c r="H1153" s="404" t="inlineStr">
        <is>
          <t>Трудозатраты машинистов</t>
        </is>
      </c>
      <c r="I1153" s="404" t="n"/>
      <c r="J1153" s="404" t="n"/>
      <c r="K1153" s="404" t="n">
        <v>208</v>
      </c>
      <c r="L1153" s="404" t="n">
        <v>22</v>
      </c>
      <c r="M1153" s="404" t="n">
        <v>3</v>
      </c>
      <c r="N1153" s="404" t="inlineStr"/>
      <c r="O1153" s="404" t="n">
        <v>7</v>
      </c>
      <c r="P1153" s="404" t="n"/>
      <c r="Q1153" s="404" t="n"/>
      <c r="R1153" s="404" t="n"/>
      <c r="S1153" s="404" t="n"/>
      <c r="T1153" s="404" t="n"/>
      <c r="U1153" s="404" t="n"/>
      <c r="V1153" s="404" t="n"/>
      <c r="W1153" s="404" t="n">
        <v>0</v>
      </c>
      <c r="X1153" s="404" t="n">
        <v>1</v>
      </c>
      <c r="Y1153" s="404" t="n">
        <v>0</v>
      </c>
      <c r="Z1153" s="404" t="n"/>
      <c r="AA1153" s="404" t="n"/>
      <c r="AB1153" s="404" t="n"/>
    </row>
    <row r="1154">
      <c r="A1154" s="404" t="n">
        <v>50</v>
      </c>
      <c r="B1154" s="404" t="n">
        <v>0</v>
      </c>
      <c r="C1154" s="404" t="n">
        <v>0</v>
      </c>
      <c r="D1154" s="404" t="n">
        <v>1</v>
      </c>
      <c r="E1154" s="404" t="n">
        <v>209</v>
      </c>
      <c r="F1154" s="404">
        <f>ROUND(Source!W1130,O1154)</f>
        <v/>
      </c>
      <c r="G1154" s="404" t="inlineStr">
        <is>
          <t>ТранспМат</t>
        </is>
      </c>
      <c r="H1154" s="404" t="inlineStr">
        <is>
          <t>Транспорт материалов</t>
        </is>
      </c>
      <c r="I1154" s="404" t="n"/>
      <c r="J1154" s="404" t="n"/>
      <c r="K1154" s="404" t="n">
        <v>209</v>
      </c>
      <c r="L1154" s="404" t="n">
        <v>23</v>
      </c>
      <c r="M1154" s="404" t="n">
        <v>3</v>
      </c>
      <c r="N1154" s="404" t="inlineStr"/>
      <c r="O1154" s="404" t="n">
        <v>0</v>
      </c>
      <c r="P1154" s="404" t="n"/>
      <c r="Q1154" s="404" t="n"/>
      <c r="R1154" s="404" t="n"/>
      <c r="S1154" s="404" t="n"/>
      <c r="T1154" s="404" t="n"/>
      <c r="U1154" s="404" t="n"/>
      <c r="V1154" s="404" t="n"/>
      <c r="W1154" s="404" t="n">
        <v>0</v>
      </c>
      <c r="X1154" s="404" t="n">
        <v>1</v>
      </c>
      <c r="Y1154" s="404" t="n">
        <v>0</v>
      </c>
      <c r="Z1154" s="404" t="n"/>
      <c r="AA1154" s="404" t="n"/>
      <c r="AB1154" s="404" t="n"/>
    </row>
    <row r="1155">
      <c r="A1155" s="404" t="n">
        <v>50</v>
      </c>
      <c r="B1155" s="404" t="n">
        <v>0</v>
      </c>
      <c r="C1155" s="404" t="n">
        <v>0</v>
      </c>
      <c r="D1155" s="404" t="n">
        <v>1</v>
      </c>
      <c r="E1155" s="404" t="n">
        <v>233</v>
      </c>
      <c r="F1155" s="404">
        <f>ROUND(Source!BD1130,O1155)</f>
        <v/>
      </c>
      <c r="G1155" s="404" t="inlineStr">
        <is>
          <t>Перевозка</t>
        </is>
      </c>
      <c r="H1155" s="404" t="inlineStr">
        <is>
          <t>Перевозка грузов</t>
        </is>
      </c>
      <c r="I1155" s="404" t="n"/>
      <c r="J1155" s="404" t="n"/>
      <c r="K1155" s="404" t="n">
        <v>233</v>
      </c>
      <c r="L1155" s="404" t="n">
        <v>24</v>
      </c>
      <c r="M1155" s="404" t="n">
        <v>3</v>
      </c>
      <c r="N1155" s="404" t="inlineStr"/>
      <c r="O1155" s="404" t="n">
        <v>0</v>
      </c>
      <c r="P1155" s="404" t="n"/>
      <c r="Q1155" s="404" t="n"/>
      <c r="R1155" s="404" t="n"/>
      <c r="S1155" s="404" t="n"/>
      <c r="T1155" s="404" t="n"/>
      <c r="U1155" s="404" t="n"/>
      <c r="V1155" s="404" t="n"/>
      <c r="W1155" s="404" t="n">
        <v>0</v>
      </c>
      <c r="X1155" s="404" t="n">
        <v>1</v>
      </c>
      <c r="Y1155" s="404" t="n">
        <v>0</v>
      </c>
      <c r="Z1155" s="404" t="n"/>
      <c r="AA1155" s="404" t="n"/>
      <c r="AB1155" s="404" t="n"/>
    </row>
    <row r="1156">
      <c r="A1156" s="404" t="n">
        <v>50</v>
      </c>
      <c r="B1156" s="404" t="n">
        <v>0</v>
      </c>
      <c r="C1156" s="404" t="n">
        <v>0</v>
      </c>
      <c r="D1156" s="404" t="n">
        <v>1</v>
      </c>
      <c r="E1156" s="404" t="n">
        <v>210</v>
      </c>
      <c r="F1156" s="404">
        <f>ROUND(Source!X1130,O1156)</f>
        <v/>
      </c>
      <c r="G1156" s="404" t="inlineStr">
        <is>
          <t>НР</t>
        </is>
      </c>
      <c r="H1156" s="404" t="inlineStr">
        <is>
          <t>Накладные расходы</t>
        </is>
      </c>
      <c r="I1156" s="404" t="n"/>
      <c r="J1156" s="404" t="n"/>
      <c r="K1156" s="404" t="n">
        <v>210</v>
      </c>
      <c r="L1156" s="404" t="n">
        <v>25</v>
      </c>
      <c r="M1156" s="404" t="n">
        <v>3</v>
      </c>
      <c r="N1156" s="404" t="inlineStr"/>
      <c r="O1156" s="404" t="n">
        <v>0</v>
      </c>
      <c r="P1156" s="404" t="n"/>
      <c r="Q1156" s="404" t="n"/>
      <c r="R1156" s="404" t="n"/>
      <c r="S1156" s="404" t="n"/>
      <c r="T1156" s="404" t="n"/>
      <c r="U1156" s="404" t="n"/>
      <c r="V1156" s="404" t="n"/>
      <c r="W1156" s="404" t="n">
        <v>0</v>
      </c>
      <c r="X1156" s="404" t="n">
        <v>1</v>
      </c>
      <c r="Y1156" s="404" t="n">
        <v>0</v>
      </c>
      <c r="Z1156" s="404" t="n"/>
      <c r="AA1156" s="404" t="n"/>
      <c r="AB1156" s="404" t="n"/>
    </row>
    <row r="1157">
      <c r="A1157" s="404" t="n">
        <v>50</v>
      </c>
      <c r="B1157" s="404" t="n">
        <v>0</v>
      </c>
      <c r="C1157" s="404" t="n">
        <v>0</v>
      </c>
      <c r="D1157" s="404" t="n">
        <v>1</v>
      </c>
      <c r="E1157" s="404" t="n">
        <v>211</v>
      </c>
      <c r="F1157" s="404">
        <f>ROUND(Source!Y1130,O1157)</f>
        <v/>
      </c>
      <c r="G1157" s="404" t="inlineStr">
        <is>
          <t>СмПриб</t>
        </is>
      </c>
      <c r="H1157" s="404" t="inlineStr">
        <is>
          <t>Сметная прибыль</t>
        </is>
      </c>
      <c r="I1157" s="404" t="n"/>
      <c r="J1157" s="404" t="n"/>
      <c r="K1157" s="404" t="n">
        <v>211</v>
      </c>
      <c r="L1157" s="404" t="n">
        <v>26</v>
      </c>
      <c r="M1157" s="404" t="n">
        <v>3</v>
      </c>
      <c r="N1157" s="404" t="inlineStr"/>
      <c r="O1157" s="404" t="n">
        <v>0</v>
      </c>
      <c r="P1157" s="404" t="n"/>
      <c r="Q1157" s="404" t="n"/>
      <c r="R1157" s="404" t="n"/>
      <c r="S1157" s="404" t="n"/>
      <c r="T1157" s="404" t="n"/>
      <c r="U1157" s="404" t="n"/>
      <c r="V1157" s="404" t="n"/>
      <c r="W1157" s="404" t="n">
        <v>0</v>
      </c>
      <c r="X1157" s="404" t="n">
        <v>1</v>
      </c>
      <c r="Y1157" s="404" t="n">
        <v>0</v>
      </c>
      <c r="Z1157" s="404" t="n"/>
      <c r="AA1157" s="404" t="n"/>
      <c r="AB1157" s="404" t="n"/>
    </row>
    <row r="1158">
      <c r="A1158" s="404" t="n">
        <v>50</v>
      </c>
      <c r="B1158" s="404" t="n">
        <v>0</v>
      </c>
      <c r="C1158" s="404" t="n">
        <v>0</v>
      </c>
      <c r="D1158" s="404" t="n">
        <v>1</v>
      </c>
      <c r="E1158" s="404" t="n">
        <v>224</v>
      </c>
      <c r="F1158" s="404">
        <f>ROUND(Source!AR1130,O1158)</f>
        <v/>
      </c>
      <c r="G1158" s="404" t="inlineStr">
        <is>
          <t>Всего</t>
        </is>
      </c>
      <c r="H1158" s="404" t="inlineStr">
        <is>
          <t>Всего с НР и СП</t>
        </is>
      </c>
      <c r="I1158" s="404" t="n"/>
      <c r="J1158" s="404" t="n"/>
      <c r="K1158" s="404" t="n">
        <v>224</v>
      </c>
      <c r="L1158" s="404" t="n">
        <v>27</v>
      </c>
      <c r="M1158" s="404" t="n">
        <v>3</v>
      </c>
      <c r="N1158" s="404" t="inlineStr"/>
      <c r="O1158" s="404" t="n">
        <v>0</v>
      </c>
      <c r="P1158" s="404" t="n"/>
      <c r="Q1158" s="404" t="n"/>
      <c r="R1158" s="404" t="n"/>
      <c r="S1158" s="404" t="n"/>
      <c r="T1158" s="404" t="n"/>
      <c r="U1158" s="404" t="n"/>
      <c r="V1158" s="404" t="n"/>
      <c r="W1158" s="404" t="n">
        <v>0</v>
      </c>
      <c r="X1158" s="404" t="n">
        <v>1</v>
      </c>
      <c r="Y1158" s="404" t="n">
        <v>0</v>
      </c>
      <c r="Z1158" s="404" t="n"/>
      <c r="AA1158" s="404" t="n"/>
      <c r="AB1158" s="404" t="n"/>
    </row>
    <row r="1159">
      <c r="A1159" s="404" t="n">
        <v>50</v>
      </c>
      <c r="B1159" s="404" t="n">
        <v>0</v>
      </c>
      <c r="C1159" s="404" t="n">
        <v>0</v>
      </c>
      <c r="D1159" s="404" t="n">
        <v>2</v>
      </c>
      <c r="E1159" s="404" t="n">
        <v>0</v>
      </c>
      <c r="F1159" s="404">
        <f>ROUND(F1158,O1159)</f>
        <v/>
      </c>
      <c r="G1159" s="404" t="inlineStr">
        <is>
          <t>и1</t>
        </is>
      </c>
      <c r="H1159" s="404" t="inlineStr">
        <is>
          <t>Итого</t>
        </is>
      </c>
      <c r="I1159" s="404" t="n"/>
      <c r="J1159" s="404" t="n"/>
      <c r="K1159" s="404" t="n">
        <v>212</v>
      </c>
      <c r="L1159" s="404" t="n">
        <v>28</v>
      </c>
      <c r="M1159" s="404" t="n">
        <v>0</v>
      </c>
      <c r="N1159" s="404" t="inlineStr"/>
      <c r="O1159" s="404" t="n">
        <v>0</v>
      </c>
      <c r="P1159" s="404" t="n"/>
      <c r="Q1159" s="404" t="n"/>
      <c r="R1159" s="404" t="n"/>
      <c r="S1159" s="404" t="n"/>
      <c r="T1159" s="404" t="n"/>
      <c r="U1159" s="404" t="n"/>
      <c r="V1159" s="404" t="n"/>
      <c r="W1159" s="404" t="n">
        <v>0</v>
      </c>
      <c r="X1159" s="404" t="n">
        <v>1</v>
      </c>
      <c r="Y1159" s="404" t="n">
        <v>0</v>
      </c>
      <c r="Z1159" s="404" t="n"/>
      <c r="AA1159" s="404" t="n"/>
      <c r="AB1159" s="404" t="n"/>
    </row>
    <row r="1160">
      <c r="A1160" s="404" t="n">
        <v>50</v>
      </c>
      <c r="B1160" s="404" t="n">
        <v>0</v>
      </c>
      <c r="C1160" s="404" t="n">
        <v>0</v>
      </c>
      <c r="D1160" s="404" t="n">
        <v>2</v>
      </c>
      <c r="E1160" s="404" t="n">
        <v>0</v>
      </c>
      <c r="F1160" s="404">
        <f>ROUND(F1159*0.22,O1160)</f>
        <v/>
      </c>
      <c r="G1160" s="404" t="inlineStr">
        <is>
          <t>и2</t>
        </is>
      </c>
      <c r="H1160" s="404" t="inlineStr">
        <is>
          <t>НДС 22%</t>
        </is>
      </c>
      <c r="I1160" s="404" t="n"/>
      <c r="J1160" s="404" t="n"/>
      <c r="K1160" s="404" t="n">
        <v>212</v>
      </c>
      <c r="L1160" s="404" t="n">
        <v>29</v>
      </c>
      <c r="M1160" s="404" t="n">
        <v>0</v>
      </c>
      <c r="N1160" s="404" t="inlineStr"/>
      <c r="O1160" s="404" t="n">
        <v>0</v>
      </c>
      <c r="P1160" s="404" t="n"/>
      <c r="Q1160" s="404" t="n"/>
      <c r="R1160" s="404" t="n"/>
      <c r="S1160" s="404" t="n"/>
      <c r="T1160" s="404" t="n"/>
      <c r="U1160" s="404" t="n"/>
      <c r="V1160" s="404" t="n"/>
      <c r="W1160" s="404" t="n">
        <v>0</v>
      </c>
      <c r="X1160" s="404" t="n">
        <v>1</v>
      </c>
      <c r="Y1160" s="404" t="n">
        <v>0</v>
      </c>
      <c r="Z1160" s="404" t="n"/>
      <c r="AA1160" s="404" t="n"/>
      <c r="AB1160" s="404" t="n"/>
    </row>
    <row r="1161">
      <c r="A1161" s="404" t="n">
        <v>50</v>
      </c>
      <c r="B1161" s="404" t="n">
        <v>0</v>
      </c>
      <c r="C1161" s="404" t="n">
        <v>0</v>
      </c>
      <c r="D1161" s="404" t="n">
        <v>2</v>
      </c>
      <c r="E1161" s="404" t="n">
        <v>213</v>
      </c>
      <c r="F1161" s="404">
        <f>ROUND(F1159+F1160,O1161)</f>
        <v/>
      </c>
      <c r="G1161" s="404" t="inlineStr">
        <is>
          <t>и3</t>
        </is>
      </c>
      <c r="H1161" s="404" t="inlineStr">
        <is>
          <t>Всего</t>
        </is>
      </c>
      <c r="I1161" s="404" t="n"/>
      <c r="J1161" s="404" t="n"/>
      <c r="K1161" s="404" t="n">
        <v>212</v>
      </c>
      <c r="L1161" s="404" t="n">
        <v>30</v>
      </c>
      <c r="M1161" s="404" t="n">
        <v>0</v>
      </c>
      <c r="N1161" s="404" t="inlineStr"/>
      <c r="O1161" s="404" t="n">
        <v>0</v>
      </c>
      <c r="P1161" s="404" t="n"/>
      <c r="Q1161" s="404" t="n"/>
      <c r="R1161" s="404" t="n"/>
      <c r="S1161" s="404" t="n"/>
      <c r="T1161" s="404" t="n"/>
      <c r="U1161" s="404" t="n"/>
      <c r="V1161" s="404" t="n"/>
      <c r="W1161" s="404" t="n">
        <v>0</v>
      </c>
      <c r="X1161" s="404" t="n">
        <v>1</v>
      </c>
      <c r="Y1161" s="404" t="n">
        <v>0</v>
      </c>
      <c r="Z1161" s="404" t="n"/>
      <c r="AA1161" s="404" t="n"/>
      <c r="AB1161" s="404" t="n"/>
    </row>
    <row r="1162"/>
    <row r="1163">
      <c r="A1163" s="401" t="n">
        <v>3</v>
      </c>
      <c r="B1163" s="401" t="n">
        <v>0</v>
      </c>
      <c r="C1163" s="401" t="n"/>
      <c r="D1163" s="401">
        <f>ROW(A1169)</f>
        <v/>
      </c>
      <c r="E1163" s="401" t="n"/>
      <c r="F1163" s="401" t="inlineStr">
        <is>
          <t>Новая локальная смета</t>
        </is>
      </c>
      <c r="G1163" s="401" t="inlineStr">
        <is>
          <t>Молодежная 2</t>
        </is>
      </c>
      <c r="H1163" s="401" t="inlineStr"/>
      <c r="I1163" s="401" t="n">
        <v>0</v>
      </c>
      <c r="J1163" s="401" t="inlineStr"/>
      <c r="K1163" s="401" t="n">
        <v>0</v>
      </c>
      <c r="L1163" s="401" t="inlineStr">
        <is>
          <t>Новая локальная смета</t>
        </is>
      </c>
      <c r="M1163" s="401" t="inlineStr"/>
      <c r="N1163" s="401" t="n"/>
      <c r="O1163" s="401" t="n"/>
      <c r="P1163" s="401" t="n"/>
      <c r="Q1163" s="401" t="n"/>
      <c r="R1163" s="401" t="n"/>
      <c r="S1163" s="401" t="n">
        <v>0</v>
      </c>
      <c r="T1163" s="401" t="n"/>
      <c r="U1163" s="401" t="inlineStr"/>
      <c r="V1163" s="401" t="n">
        <v>0</v>
      </c>
      <c r="W1163" s="401" t="n"/>
      <c r="X1163" s="401" t="n"/>
      <c r="Y1163" s="401" t="n"/>
      <c r="Z1163" s="401" t="n"/>
      <c r="AA1163" s="401" t="n"/>
      <c r="AB1163" s="401" t="inlineStr"/>
      <c r="AC1163" s="401" t="inlineStr"/>
      <c r="AD1163" s="401" t="inlineStr"/>
      <c r="AE1163" s="401" t="inlineStr"/>
      <c r="AF1163" s="401" t="inlineStr"/>
      <c r="AG1163" s="401" t="inlineStr"/>
      <c r="AH1163" s="401" t="n"/>
      <c r="AI1163" s="401" t="n"/>
      <c r="AJ1163" s="401" t="n"/>
      <c r="AK1163" s="401" t="n"/>
      <c r="AL1163" s="401" t="n"/>
      <c r="AM1163" s="401" t="n"/>
      <c r="AN1163" s="401" t="n"/>
      <c r="AO1163" s="401" t="n"/>
      <c r="AP1163" s="401" t="inlineStr"/>
      <c r="AQ1163" s="401" t="inlineStr"/>
      <c r="AR1163" s="401" t="inlineStr"/>
      <c r="AS1163" s="401" t="n"/>
      <c r="AT1163" s="401" t="n"/>
      <c r="AU1163" s="401" t="n"/>
      <c r="AV1163" s="401" t="n"/>
      <c r="AW1163" s="401" t="n"/>
      <c r="AX1163" s="401" t="n"/>
      <c r="AY1163" s="401" t="n"/>
      <c r="AZ1163" s="401" t="inlineStr"/>
      <c r="BA1163" s="401" t="n"/>
      <c r="BB1163" s="401" t="inlineStr"/>
      <c r="BC1163" s="401" t="inlineStr"/>
      <c r="BD1163" s="401" t="inlineStr"/>
      <c r="BE1163" s="401" t="inlineStr"/>
      <c r="BF1163" s="401" t="inlineStr"/>
      <c r="BG1163" s="401" t="inlineStr"/>
      <c r="BH1163" s="401" t="inlineStr"/>
      <c r="BI1163" s="401" t="inlineStr"/>
      <c r="BJ1163" s="401" t="inlineStr"/>
      <c r="BK1163" s="401" t="inlineStr"/>
      <c r="BL1163" s="401" t="inlineStr"/>
      <c r="BM1163" s="401" t="inlineStr"/>
      <c r="BN1163" s="401" t="inlineStr"/>
      <c r="BO1163" s="401" t="inlineStr"/>
      <c r="BP1163" s="401" t="inlineStr"/>
      <c r="BQ1163" s="401" t="n"/>
      <c r="BR1163" s="401" t="n"/>
      <c r="BS1163" s="401" t="n"/>
      <c r="BT1163" s="401" t="n"/>
      <c r="BU1163" s="401" t="n"/>
      <c r="BV1163" s="401" t="n"/>
      <c r="BW1163" s="401" t="n"/>
      <c r="BX1163" s="401" t="n">
        <v>0</v>
      </c>
      <c r="BY1163" s="401" t="n"/>
      <c r="BZ1163" s="401" t="n"/>
      <c r="CA1163" s="401" t="n"/>
      <c r="CB1163" s="401" t="n"/>
      <c r="CC1163" s="401" t="n"/>
      <c r="CD1163" s="401" t="n"/>
      <c r="CE1163" s="401" t="n"/>
      <c r="CF1163" s="401" t="n">
        <v>0</v>
      </c>
      <c r="CG1163" s="401" t="n">
        <v>0</v>
      </c>
      <c r="CH1163" s="401" t="n"/>
      <c r="CI1163" s="401" t="inlineStr"/>
      <c r="CJ1163" s="401" t="inlineStr"/>
      <c r="CK1163" t="inlineStr"/>
      <c r="CL1163" t="inlineStr"/>
      <c r="CM1163" t="inlineStr"/>
      <c r="CN1163" t="inlineStr"/>
      <c r="CO1163" t="inlineStr"/>
      <c r="CP1163" t="inlineStr"/>
      <c r="CQ1163" t="inlineStr"/>
    </row>
    <row r="1164"/>
    <row r="1165">
      <c r="A1165" s="402" t="n">
        <v>52</v>
      </c>
      <c r="B1165" s="402">
        <f>B1169</f>
        <v/>
      </c>
      <c r="C1165" s="402">
        <f>C1169</f>
        <v/>
      </c>
      <c r="D1165" s="402">
        <f>D1169</f>
        <v/>
      </c>
      <c r="E1165" s="402">
        <f>E1169</f>
        <v/>
      </c>
      <c r="F1165" s="402">
        <f>F1169</f>
        <v/>
      </c>
      <c r="G1165" s="402">
        <f>G1169</f>
        <v/>
      </c>
      <c r="H1165" s="402" t="n"/>
      <c r="I1165" s="402" t="n"/>
      <c r="J1165" s="402" t="n"/>
      <c r="K1165" s="402" t="n"/>
      <c r="L1165" s="402" t="n"/>
      <c r="M1165" s="402" t="n"/>
      <c r="N1165" s="402" t="n"/>
      <c r="O1165" s="402">
        <f>O1169</f>
        <v/>
      </c>
      <c r="P1165" s="402">
        <f>P1169</f>
        <v/>
      </c>
      <c r="Q1165" s="402">
        <f>Q1169</f>
        <v/>
      </c>
      <c r="R1165" s="402">
        <f>R1169</f>
        <v/>
      </c>
      <c r="S1165" s="402">
        <f>S1169</f>
        <v/>
      </c>
      <c r="T1165" s="402">
        <f>T1169</f>
        <v/>
      </c>
      <c r="U1165" s="402">
        <f>U1169</f>
        <v/>
      </c>
      <c r="V1165" s="402">
        <f>V1169</f>
        <v/>
      </c>
      <c r="W1165" s="402">
        <f>W1169</f>
        <v/>
      </c>
      <c r="X1165" s="402">
        <f>X1169</f>
        <v/>
      </c>
      <c r="Y1165" s="402">
        <f>Y1169</f>
        <v/>
      </c>
      <c r="Z1165" s="402">
        <f>Z1169</f>
        <v/>
      </c>
      <c r="AA1165" s="402">
        <f>AA1169</f>
        <v/>
      </c>
      <c r="AB1165" s="402">
        <f>AB1169</f>
        <v/>
      </c>
      <c r="AC1165" s="402">
        <f>AC1169</f>
        <v/>
      </c>
      <c r="AD1165" s="402">
        <f>AD1169</f>
        <v/>
      </c>
      <c r="AE1165" s="402">
        <f>AE1169</f>
        <v/>
      </c>
      <c r="AF1165" s="402">
        <f>AF1169</f>
        <v/>
      </c>
      <c r="AG1165" s="402">
        <f>AG1169</f>
        <v/>
      </c>
      <c r="AH1165" s="402">
        <f>AH1169</f>
        <v/>
      </c>
      <c r="AI1165" s="402">
        <f>AI1169</f>
        <v/>
      </c>
      <c r="AJ1165" s="402">
        <f>AJ1169</f>
        <v/>
      </c>
      <c r="AK1165" s="402">
        <f>AK1169</f>
        <v/>
      </c>
      <c r="AL1165" s="402">
        <f>AL1169</f>
        <v/>
      </c>
      <c r="AM1165" s="402">
        <f>AM1169</f>
        <v/>
      </c>
      <c r="AN1165" s="402">
        <f>AN1169</f>
        <v/>
      </c>
      <c r="AO1165" s="402">
        <f>AO1169</f>
        <v/>
      </c>
      <c r="AP1165" s="402">
        <f>AP1169</f>
        <v/>
      </c>
      <c r="AQ1165" s="402">
        <f>AQ1169</f>
        <v/>
      </c>
      <c r="AR1165" s="402">
        <f>AR1169</f>
        <v/>
      </c>
      <c r="AS1165" s="402">
        <f>AS1169</f>
        <v/>
      </c>
      <c r="AT1165" s="402">
        <f>AT1169</f>
        <v/>
      </c>
      <c r="AU1165" s="402">
        <f>AU1169</f>
        <v/>
      </c>
      <c r="AV1165" s="402">
        <f>AV1169</f>
        <v/>
      </c>
      <c r="AW1165" s="402">
        <f>AW1169</f>
        <v/>
      </c>
      <c r="AX1165" s="402">
        <f>AX1169</f>
        <v/>
      </c>
      <c r="AY1165" s="402">
        <f>AY1169</f>
        <v/>
      </c>
      <c r="AZ1165" s="402">
        <f>AZ1169</f>
        <v/>
      </c>
      <c r="BA1165" s="402">
        <f>BA1169</f>
        <v/>
      </c>
      <c r="BB1165" s="402">
        <f>BB1169</f>
        <v/>
      </c>
      <c r="BC1165" s="402">
        <f>BC1169</f>
        <v/>
      </c>
      <c r="BD1165" s="402">
        <f>BD1169</f>
        <v/>
      </c>
      <c r="BE1165" s="402">
        <f>BE1169</f>
        <v/>
      </c>
      <c r="BF1165" s="402">
        <f>BF1169</f>
        <v/>
      </c>
      <c r="BG1165" s="402">
        <f>BG1169</f>
        <v/>
      </c>
      <c r="BH1165" s="402">
        <f>BH1169</f>
        <v/>
      </c>
      <c r="BI1165" s="402">
        <f>BI1169</f>
        <v/>
      </c>
      <c r="BJ1165" s="402">
        <f>BJ1169</f>
        <v/>
      </c>
      <c r="BK1165" s="402">
        <f>BK1169</f>
        <v/>
      </c>
      <c r="BL1165" s="402">
        <f>BL1169</f>
        <v/>
      </c>
      <c r="BM1165" s="402">
        <f>BM1169</f>
        <v/>
      </c>
      <c r="BN1165" s="402">
        <f>BN1169</f>
        <v/>
      </c>
      <c r="BO1165" s="402">
        <f>BO1169</f>
        <v/>
      </c>
      <c r="BP1165" s="402">
        <f>BP1169</f>
        <v/>
      </c>
      <c r="BQ1165" s="402">
        <f>BQ1169</f>
        <v/>
      </c>
      <c r="BR1165" s="402">
        <f>BR1169</f>
        <v/>
      </c>
      <c r="BS1165" s="402">
        <f>BS1169</f>
        <v/>
      </c>
      <c r="BT1165" s="402">
        <f>BT1169</f>
        <v/>
      </c>
      <c r="BU1165" s="402">
        <f>BU1169</f>
        <v/>
      </c>
      <c r="BV1165" s="402">
        <f>BV1169</f>
        <v/>
      </c>
      <c r="BW1165" s="402">
        <f>BW1169</f>
        <v/>
      </c>
      <c r="BX1165" s="402">
        <f>BX1169</f>
        <v/>
      </c>
      <c r="BY1165" s="402">
        <f>BY1169</f>
        <v/>
      </c>
      <c r="BZ1165" s="402">
        <f>BZ1169</f>
        <v/>
      </c>
      <c r="CA1165" s="402">
        <f>CA1169</f>
        <v/>
      </c>
      <c r="CB1165" s="402">
        <f>CB1169</f>
        <v/>
      </c>
      <c r="CC1165" s="402">
        <f>CC1169</f>
        <v/>
      </c>
      <c r="CD1165" s="402">
        <f>CD1169</f>
        <v/>
      </c>
      <c r="CE1165" s="402">
        <f>CE1169</f>
        <v/>
      </c>
      <c r="CF1165" s="402">
        <f>CF1169</f>
        <v/>
      </c>
      <c r="CG1165" s="402">
        <f>CG1169</f>
        <v/>
      </c>
      <c r="CH1165" s="402">
        <f>CH1169</f>
        <v/>
      </c>
      <c r="CI1165" s="402">
        <f>CI1169</f>
        <v/>
      </c>
      <c r="CJ1165" s="402">
        <f>CJ1169</f>
        <v/>
      </c>
      <c r="CK1165" s="402">
        <f>CK1169</f>
        <v/>
      </c>
      <c r="CL1165" s="402">
        <f>CL1169</f>
        <v/>
      </c>
      <c r="CM1165" s="402">
        <f>CM1169</f>
        <v/>
      </c>
      <c r="CN1165" s="402">
        <f>CN1169</f>
        <v/>
      </c>
      <c r="CO1165" s="402">
        <f>CO1169</f>
        <v/>
      </c>
      <c r="CP1165" s="402">
        <f>CP1169</f>
        <v/>
      </c>
      <c r="CQ1165" s="402">
        <f>CQ1169</f>
        <v/>
      </c>
      <c r="CR1165" s="402">
        <f>CR1169</f>
        <v/>
      </c>
      <c r="CS1165" s="402">
        <f>CS1169</f>
        <v/>
      </c>
      <c r="CT1165" s="402">
        <f>CT1169</f>
        <v/>
      </c>
      <c r="CU1165" s="402">
        <f>CU1169</f>
        <v/>
      </c>
      <c r="CV1165" s="402">
        <f>CV1169</f>
        <v/>
      </c>
      <c r="CW1165" s="402">
        <f>CW1169</f>
        <v/>
      </c>
      <c r="CX1165" s="402">
        <f>CX1169</f>
        <v/>
      </c>
      <c r="CY1165" s="402">
        <f>CY1169</f>
        <v/>
      </c>
      <c r="CZ1165" s="402">
        <f>CZ1169</f>
        <v/>
      </c>
      <c r="DA1165" s="402">
        <f>DA1169</f>
        <v/>
      </c>
      <c r="DB1165" s="402">
        <f>DB1169</f>
        <v/>
      </c>
      <c r="DC1165" s="402">
        <f>DC1169</f>
        <v/>
      </c>
      <c r="DD1165" s="402">
        <f>DD1169</f>
        <v/>
      </c>
      <c r="DE1165" s="402">
        <f>DE1169</f>
        <v/>
      </c>
      <c r="DF1165" s="402">
        <f>DF1169</f>
        <v/>
      </c>
      <c r="DG1165" s="403">
        <f>DG1169</f>
        <v/>
      </c>
      <c r="DH1165" s="403">
        <f>DH1169</f>
        <v/>
      </c>
      <c r="DI1165" s="403">
        <f>DI1169</f>
        <v/>
      </c>
      <c r="DJ1165" s="403">
        <f>DJ1169</f>
        <v/>
      </c>
      <c r="DK1165" s="403">
        <f>DK1169</f>
        <v/>
      </c>
      <c r="DL1165" s="403">
        <f>DL1169</f>
        <v/>
      </c>
      <c r="DM1165" s="403">
        <f>DM1169</f>
        <v/>
      </c>
      <c r="DN1165" s="403">
        <f>DN1169</f>
        <v/>
      </c>
      <c r="DO1165" s="403">
        <f>DO1169</f>
        <v/>
      </c>
      <c r="DP1165" s="403">
        <f>DP1169</f>
        <v/>
      </c>
      <c r="DQ1165" s="403">
        <f>DQ1169</f>
        <v/>
      </c>
      <c r="DR1165" s="403">
        <f>DR1169</f>
        <v/>
      </c>
      <c r="DS1165" s="403">
        <f>DS1169</f>
        <v/>
      </c>
      <c r="DT1165" s="403">
        <f>DT1169</f>
        <v/>
      </c>
      <c r="DU1165" s="403">
        <f>DU1169</f>
        <v/>
      </c>
      <c r="DV1165" s="403">
        <f>DV1169</f>
        <v/>
      </c>
      <c r="DW1165" s="403">
        <f>DW1169</f>
        <v/>
      </c>
      <c r="DX1165" s="403">
        <f>DX1169</f>
        <v/>
      </c>
      <c r="DY1165" s="403">
        <f>DY1169</f>
        <v/>
      </c>
      <c r="DZ1165" s="403">
        <f>DZ1169</f>
        <v/>
      </c>
      <c r="EA1165" s="403">
        <f>EA1169</f>
        <v/>
      </c>
      <c r="EB1165" s="403">
        <f>EB1169</f>
        <v/>
      </c>
      <c r="EC1165" s="403">
        <f>EC1169</f>
        <v/>
      </c>
      <c r="ED1165" s="403">
        <f>ED1169</f>
        <v/>
      </c>
      <c r="EE1165" s="403">
        <f>EE1169</f>
        <v/>
      </c>
      <c r="EF1165" s="403">
        <f>EF1169</f>
        <v/>
      </c>
      <c r="EG1165" s="403">
        <f>EG1169</f>
        <v/>
      </c>
      <c r="EH1165" s="403">
        <f>EH1169</f>
        <v/>
      </c>
      <c r="EI1165" s="403">
        <f>EI1169</f>
        <v/>
      </c>
      <c r="EJ1165" s="403">
        <f>EJ1169</f>
        <v/>
      </c>
      <c r="EK1165" s="403">
        <f>EK1169</f>
        <v/>
      </c>
      <c r="EL1165" s="403">
        <f>EL1169</f>
        <v/>
      </c>
      <c r="EM1165" s="403">
        <f>EM1169</f>
        <v/>
      </c>
      <c r="EN1165" s="403">
        <f>EN1169</f>
        <v/>
      </c>
      <c r="EO1165" s="403">
        <f>EO1169</f>
        <v/>
      </c>
      <c r="EP1165" s="403">
        <f>EP1169</f>
        <v/>
      </c>
      <c r="EQ1165" s="403">
        <f>EQ1169</f>
        <v/>
      </c>
      <c r="ER1165" s="403">
        <f>ER1169</f>
        <v/>
      </c>
      <c r="ES1165" s="403">
        <f>ES1169</f>
        <v/>
      </c>
      <c r="ET1165" s="403">
        <f>ET1169</f>
        <v/>
      </c>
      <c r="EU1165" s="403">
        <f>EU1169</f>
        <v/>
      </c>
      <c r="EV1165" s="403">
        <f>EV1169</f>
        <v/>
      </c>
      <c r="EW1165" s="403">
        <f>EW1169</f>
        <v/>
      </c>
      <c r="EX1165" s="403">
        <f>EX1169</f>
        <v/>
      </c>
      <c r="EY1165" s="403">
        <f>EY1169</f>
        <v/>
      </c>
      <c r="EZ1165" s="403">
        <f>EZ1169</f>
        <v/>
      </c>
      <c r="FA1165" s="403">
        <f>FA1169</f>
        <v/>
      </c>
      <c r="FB1165" s="403">
        <f>FB1169</f>
        <v/>
      </c>
      <c r="FC1165" s="403">
        <f>FC1169</f>
        <v/>
      </c>
      <c r="FD1165" s="403">
        <f>FD1169</f>
        <v/>
      </c>
      <c r="FE1165" s="403">
        <f>FE1169</f>
        <v/>
      </c>
      <c r="FF1165" s="403">
        <f>FF1169</f>
        <v/>
      </c>
      <c r="FG1165" s="403">
        <f>FG1169</f>
        <v/>
      </c>
      <c r="FH1165" s="403">
        <f>FH1169</f>
        <v/>
      </c>
      <c r="FI1165" s="403">
        <f>FI1169</f>
        <v/>
      </c>
      <c r="FJ1165" s="403">
        <f>FJ1169</f>
        <v/>
      </c>
      <c r="FK1165" s="403">
        <f>FK1169</f>
        <v/>
      </c>
      <c r="FL1165" s="403">
        <f>FL1169</f>
        <v/>
      </c>
      <c r="FM1165" s="403">
        <f>FM1169</f>
        <v/>
      </c>
      <c r="FN1165" s="403">
        <f>FN1169</f>
        <v/>
      </c>
      <c r="FO1165" s="403">
        <f>FO1169</f>
        <v/>
      </c>
      <c r="FP1165" s="403">
        <f>FP1169</f>
        <v/>
      </c>
      <c r="FQ1165" s="403">
        <f>FQ1169</f>
        <v/>
      </c>
      <c r="FR1165" s="403">
        <f>FR1169</f>
        <v/>
      </c>
      <c r="FS1165" s="403">
        <f>FS1169</f>
        <v/>
      </c>
      <c r="FT1165" s="403">
        <f>FT1169</f>
        <v/>
      </c>
      <c r="FU1165" s="403">
        <f>FU1169</f>
        <v/>
      </c>
      <c r="FV1165" s="403">
        <f>FV1169</f>
        <v/>
      </c>
      <c r="FW1165" s="403">
        <f>FW1169</f>
        <v/>
      </c>
      <c r="FX1165" s="403">
        <f>FX1169</f>
        <v/>
      </c>
      <c r="FY1165" s="403">
        <f>FY1169</f>
        <v/>
      </c>
      <c r="FZ1165" s="403">
        <f>FZ1169</f>
        <v/>
      </c>
      <c r="GA1165" s="403">
        <f>GA1169</f>
        <v/>
      </c>
      <c r="GB1165" s="403">
        <f>GB1169</f>
        <v/>
      </c>
      <c r="GC1165" s="403">
        <f>GC1169</f>
        <v/>
      </c>
      <c r="GD1165" s="403">
        <f>GD1169</f>
        <v/>
      </c>
      <c r="GE1165" s="403">
        <f>GE1169</f>
        <v/>
      </c>
      <c r="GF1165" s="403">
        <f>GF1169</f>
        <v/>
      </c>
      <c r="GG1165" s="403">
        <f>GG1169</f>
        <v/>
      </c>
      <c r="GH1165" s="403">
        <f>GH1169</f>
        <v/>
      </c>
      <c r="GI1165" s="403">
        <f>GI1169</f>
        <v/>
      </c>
      <c r="GJ1165" s="403">
        <f>GJ1169</f>
        <v/>
      </c>
      <c r="GK1165" s="403">
        <f>GK1169</f>
        <v/>
      </c>
      <c r="GL1165" s="403">
        <f>GL1169</f>
        <v/>
      </c>
      <c r="GM1165" s="403">
        <f>GM1169</f>
        <v/>
      </c>
      <c r="GN1165" s="403">
        <f>GN1169</f>
        <v/>
      </c>
      <c r="GO1165" s="403">
        <f>GO1169</f>
        <v/>
      </c>
      <c r="GP1165" s="403">
        <f>GP1169</f>
        <v/>
      </c>
      <c r="GQ1165" s="403">
        <f>GQ1169</f>
        <v/>
      </c>
      <c r="GR1165" s="403">
        <f>GR1169</f>
        <v/>
      </c>
      <c r="GS1165" s="403">
        <f>GS1169</f>
        <v/>
      </c>
      <c r="GT1165" s="403">
        <f>GT1169</f>
        <v/>
      </c>
      <c r="GU1165" s="403">
        <f>GU1169</f>
        <v/>
      </c>
      <c r="GV1165" s="403">
        <f>GV1169</f>
        <v/>
      </c>
      <c r="GW1165" s="403">
        <f>GW1169</f>
        <v/>
      </c>
      <c r="GX1165" s="403">
        <f>GX1169</f>
        <v/>
      </c>
    </row>
    <row r="1166"/>
    <row r="1167">
      <c r="A1167" t="n">
        <v>17</v>
      </c>
      <c r="B1167" t="n">
        <v>0</v>
      </c>
      <c r="C1167">
        <f>ROW(SmtRes!A543)</f>
        <v/>
      </c>
      <c r="D1167">
        <f>ROW(EtalonRes!A498)</f>
        <v/>
      </c>
      <c r="E1167" t="inlineStr">
        <is>
          <t>1</t>
        </is>
      </c>
      <c r="F1167" t="inlineStr">
        <is>
          <t>16-07-005-1</t>
        </is>
      </c>
      <c r="G116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67" t="inlineStr">
        <is>
          <t>100 м трубопровода</t>
        </is>
      </c>
      <c r="I1167">
        <f>ROUND(ROUND(60/100,4),7)</f>
        <v/>
      </c>
      <c r="J1167" t="n">
        <v>0</v>
      </c>
      <c r="K1167">
        <f>ROUND(ROUND(60/100,4),7)</f>
        <v/>
      </c>
      <c r="O1167">
        <f>ROUND(CP1167,0)</f>
        <v/>
      </c>
      <c r="P1167">
        <f>ROUND(CQ1167*I1167,0)</f>
        <v/>
      </c>
      <c r="Q1167">
        <f>(ROUND((ROUND((((ET1167*ROUND(6,7)))*I1167),0)*BB1167),0)+ROUND((ROUND(((AE1167-((EU1167*ROUND(6,7))))*I1167),0)*BS1167),0))</f>
        <v/>
      </c>
      <c r="R1167">
        <f>(ROUND((ROUND((((EU1167*ROUND(6,7)))*I1167),0)*BS1167),0)+ROUND((ROUND(((AE1167-((EU1167*ROUND(6,7))))*I1167),0)*BS1167),0))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78869116</v>
      </c>
      <c r="AB1167">
        <f>ROUND((AC1167+AD1167+AF1167),2)</f>
        <v/>
      </c>
      <c r="AC1167">
        <f>ROUND(((ES1167*ROUND(6,7))),2)</f>
        <v/>
      </c>
      <c r="AD1167">
        <f>ROUND(((((ET1167*ROUND(6,7)))-((EU1167*ROUND(6,7))))+AE1167),2)</f>
        <v/>
      </c>
      <c r="AE1167">
        <f>ROUND(((EU1167*ROUND(6,7))),2)</f>
        <v/>
      </c>
      <c r="AF1167">
        <f>ROUND(((EV1167*ROUND(6,7))),2)</f>
        <v/>
      </c>
      <c r="AG1167">
        <f>ROUND((AP1167),2)</f>
        <v/>
      </c>
      <c r="AH1167">
        <f>((EW1167*ROUND(6,7)))</f>
        <v/>
      </c>
      <c r="AI1167">
        <f>((EX1167*ROUND(6,7)))</f>
        <v/>
      </c>
      <c r="AJ1167">
        <f>(AS1167)</f>
        <v/>
      </c>
      <c r="AK1167" t="n">
        <v>107.11</v>
      </c>
      <c r="AL1167" t="n">
        <v>4.28</v>
      </c>
      <c r="AM1167" t="n">
        <v>44.51</v>
      </c>
      <c r="AN1167" t="n">
        <v>0</v>
      </c>
      <c r="AO1167" t="n">
        <v>58.32</v>
      </c>
      <c r="AP1167" t="n">
        <v>0</v>
      </c>
      <c r="AQ1167" t="n">
        <v>5.01</v>
      </c>
      <c r="AR1167" t="n">
        <v>0</v>
      </c>
      <c r="AS1167" t="n">
        <v>0</v>
      </c>
      <c r="AT1167" t="n">
        <v>121</v>
      </c>
      <c r="AU1167" t="n">
        <v>72</v>
      </c>
      <c r="AV1167" t="n">
        <v>1</v>
      </c>
      <c r="AW1167" t="n">
        <v>1</v>
      </c>
      <c r="AZ1167" t="n">
        <v>1</v>
      </c>
      <c r="BA1167" t="n">
        <v>52.25</v>
      </c>
      <c r="BB1167" t="n">
        <v>5.97</v>
      </c>
      <c r="BC1167" t="n">
        <v>11.38</v>
      </c>
      <c r="BD1167" t="inlineStr"/>
      <c r="BE1167" t="inlineStr"/>
      <c r="BF1167" t="inlineStr"/>
      <c r="BG1167" t="inlineStr"/>
      <c r="BH1167" t="n">
        <v>0</v>
      </c>
      <c r="BI1167" t="n">
        <v>1</v>
      </c>
      <c r="BJ1167" t="inlineStr">
        <is>
          <t>ТЕР Московской обл., 16-07-005-1, приказ Минстроя России №675/пр от 28.02.2017 № 260/пр</t>
        </is>
      </c>
      <c r="BM1167" t="n">
        <v>16001</v>
      </c>
      <c r="BN1167" t="n">
        <v>0</v>
      </c>
      <c r="BO1167" t="inlineStr">
        <is>
          <t>16-07-005-1</t>
        </is>
      </c>
      <c r="BP1167" t="n">
        <v>1</v>
      </c>
      <c r="BQ1167" t="n">
        <v>2</v>
      </c>
      <c r="BR1167" t="n">
        <v>0</v>
      </c>
      <c r="BS1167" t="n">
        <v>52.25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121</v>
      </c>
      <c r="CA1167" t="n">
        <v>72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(ROUND((ROUND((((ET1167*ROUND(6,7)))*1),0)*BB1167),0)+ROUND((ROUND(((AE1167-((EU1167*ROUND(6,7))))*1),0)*BS1167),0))</f>
        <v/>
      </c>
      <c r="CS1167">
        <f>(ROUND((ROUND((((EU1167*ROUND(6,7)))*1),0)*BS1167),0)+ROUND((ROUND(((AE1167-((EU1167*ROUND(6,7))))*1),0)*BS1167),0))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>
        <is>
          <t>)*6</t>
        </is>
      </c>
      <c r="DE1167" t="inlineStr">
        <is>
          <t>)*6</t>
        </is>
      </c>
      <c r="DF1167" t="inlineStr">
        <is>
          <t>)*6</t>
        </is>
      </c>
      <c r="DG1167" t="inlineStr">
        <is>
          <t>)*6</t>
        </is>
      </c>
      <c r="DH1167" t="inlineStr"/>
      <c r="DI1167" t="inlineStr">
        <is>
          <t>)*6</t>
        </is>
      </c>
      <c r="DJ1167" t="inlineStr">
        <is>
          <t>)*6</t>
        </is>
      </c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1013</v>
      </c>
      <c r="DV1167" t="inlineStr">
        <is>
          <t>100 м трубопровода</t>
        </is>
      </c>
      <c r="DW1167" t="inlineStr">
        <is>
          <t>100 м трубопровода</t>
        </is>
      </c>
      <c r="DX1167" t="n">
        <v>1</v>
      </c>
      <c r="DZ1167" t="inlineStr"/>
      <c r="EA1167" t="inlineStr"/>
      <c r="EB1167" t="inlineStr"/>
      <c r="EC1167" t="inlineStr"/>
      <c r="EE1167" t="n">
        <v>78725882</v>
      </c>
      <c r="EF1167" t="n">
        <v>2</v>
      </c>
      <c r="EG1167" t="inlineStr">
        <is>
          <t>Общестроительные работы</t>
        </is>
      </c>
      <c r="EH1167" t="n">
        <v>16</v>
      </c>
      <c r="EI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7" t="n">
        <v>1</v>
      </c>
      <c r="EK1167" t="n">
        <v>16001</v>
      </c>
      <c r="EL1167" t="inlineStr">
        <is>
          <t>Трубопроводы внутренние</t>
        </is>
      </c>
      <c r="EM1167" t="inlineStr">
        <is>
          <t>ФЕР-16</t>
        </is>
      </c>
      <c r="EO1167" t="inlineStr"/>
      <c r="EQ1167" t="n">
        <v>0</v>
      </c>
      <c r="ER1167" t="n">
        <v>107.11</v>
      </c>
      <c r="ES1167" t="n">
        <v>4.28</v>
      </c>
      <c r="ET1167" t="n">
        <v>44.51</v>
      </c>
      <c r="EU1167" t="n">
        <v>0</v>
      </c>
      <c r="EV1167" t="n">
        <v>58.32</v>
      </c>
      <c r="EW1167" t="n">
        <v>5.01</v>
      </c>
      <c r="EX1167" t="n">
        <v>0</v>
      </c>
      <c r="EY1167" t="n">
        <v>0</v>
      </c>
      <c r="FQ1167" t="n">
        <v>0</v>
      </c>
      <c r="FR1167" t="n">
        <v>0</v>
      </c>
      <c r="FS1167" t="n">
        <v>0</v>
      </c>
      <c r="FX1167" t="n">
        <v>121</v>
      </c>
      <c r="FY1167" t="n">
        <v>72</v>
      </c>
      <c r="GA1167" t="inlineStr"/>
      <c r="GD1167" t="n">
        <v>1</v>
      </c>
      <c r="GF1167" t="n">
        <v>635989612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Пр/812-016.0-1</t>
        </is>
      </c>
      <c r="HO1167" t="inlineStr">
        <is>
          <t>Пр/774-016.0</t>
        </is>
      </c>
      <c r="HP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7" t="n">
        <v>0</v>
      </c>
      <c r="IK1167" t="n">
        <v>0</v>
      </c>
    </row>
    <row r="1168"/>
    <row r="1169">
      <c r="A1169" s="402" t="n">
        <v>51</v>
      </c>
      <c r="B1169" s="402">
        <f>B1163</f>
        <v/>
      </c>
      <c r="C1169" s="402">
        <f>A1163</f>
        <v/>
      </c>
      <c r="D1169" s="402">
        <f>ROW(A1163)</f>
        <v/>
      </c>
      <c r="E1169" s="402" t="n"/>
      <c r="F1169" s="402">
        <f>IF(F1163&lt;&gt;"",F1163,"")</f>
        <v/>
      </c>
      <c r="G1169" s="402">
        <f>IF(G1163&lt;&gt;"",G1163,"")</f>
        <v/>
      </c>
      <c r="H1169" s="402" t="n">
        <v>0</v>
      </c>
      <c r="I1169" s="402" t="n"/>
      <c r="J1169" s="402" t="n"/>
      <c r="K1169" s="402" t="n"/>
      <c r="L1169" s="402" t="n"/>
      <c r="M1169" s="402" t="n"/>
      <c r="N1169" s="402" t="n"/>
      <c r="O1169" s="402" t="n">
        <v>0</v>
      </c>
      <c r="P1169" s="402" t="n">
        <v>0</v>
      </c>
      <c r="Q1169" s="402" t="n">
        <v>0</v>
      </c>
      <c r="R1169" s="402" t="n">
        <v>0</v>
      </c>
      <c r="S1169" s="402" t="n">
        <v>0</v>
      </c>
      <c r="T1169" s="402" t="n">
        <v>0</v>
      </c>
      <c r="U1169" s="402" t="n">
        <v>0</v>
      </c>
      <c r="V1169" s="402" t="n">
        <v>0</v>
      </c>
      <c r="W1169" s="402" t="n">
        <v>0</v>
      </c>
      <c r="X1169" s="402" t="n">
        <v>0</v>
      </c>
      <c r="Y1169" s="402" t="n">
        <v>0</v>
      </c>
      <c r="Z1169" s="402" t="n"/>
      <c r="AA1169" s="402" t="n"/>
      <c r="AB1169" s="402" t="n"/>
      <c r="AC1169" s="402" t="n"/>
      <c r="AD1169" s="402" t="n"/>
      <c r="AE1169" s="402" t="n"/>
      <c r="AF1169" s="402" t="n"/>
      <c r="AG1169" s="402" t="n"/>
      <c r="AH1169" s="402" t="n"/>
      <c r="AI1169" s="402" t="n"/>
      <c r="AJ1169" s="402" t="n"/>
      <c r="AK1169" s="402" t="n"/>
      <c r="AL1169" s="402" t="n"/>
      <c r="AM1169" s="402" t="n"/>
      <c r="AN1169" s="402" t="n"/>
      <c r="AO1169" s="402">
        <f>ROUND(BX1169,0)</f>
        <v/>
      </c>
      <c r="AP1169" s="402">
        <f>ROUND(BY1169,0)</f>
        <v/>
      </c>
      <c r="AQ1169" s="402">
        <f>ROUND(BZ1169,0)</f>
        <v/>
      </c>
      <c r="AR1169" s="402">
        <f>ROUND(CA1169,0)</f>
        <v/>
      </c>
      <c r="AS1169" s="402">
        <f>ROUND(CB1169,0)</f>
        <v/>
      </c>
      <c r="AT1169" s="402">
        <f>ROUND(CC1169,0)</f>
        <v/>
      </c>
      <c r="AU1169" s="402">
        <f>ROUND(CD1169,0)</f>
        <v/>
      </c>
      <c r="AV1169" s="402">
        <f>ROUND(CE1169,0)</f>
        <v/>
      </c>
      <c r="AW1169" s="402">
        <f>ROUND(CF1169,0)</f>
        <v/>
      </c>
      <c r="AX1169" s="402">
        <f>ROUND(CG1169,0)</f>
        <v/>
      </c>
      <c r="AY1169" s="402">
        <f>ROUND(CH1169,0)</f>
        <v/>
      </c>
      <c r="AZ1169" s="402">
        <f>ROUND(CI1169,0)</f>
        <v/>
      </c>
      <c r="BA1169" s="402">
        <f>ROUND(CJ1169,0)</f>
        <v/>
      </c>
      <c r="BB1169" s="402">
        <f>ROUND(CK1169,0)</f>
        <v/>
      </c>
      <c r="BC1169" s="402">
        <f>ROUND(CL1169,0)</f>
        <v/>
      </c>
      <c r="BD1169" s="402">
        <f>ROUND(CM1169,0)</f>
        <v/>
      </c>
      <c r="BE1169" s="402" t="n"/>
      <c r="BF1169" s="402" t="n"/>
      <c r="BG1169" s="402" t="n"/>
      <c r="BH1169" s="402" t="n"/>
      <c r="BI1169" s="402" t="n"/>
      <c r="BJ1169" s="402" t="n"/>
      <c r="BK1169" s="402" t="n"/>
      <c r="BL1169" s="402" t="n"/>
      <c r="BM1169" s="402" t="n"/>
      <c r="BN1169" s="402" t="n"/>
      <c r="BO1169" s="402" t="n"/>
      <c r="BP1169" s="402" t="n"/>
      <c r="BQ1169" s="402" t="n"/>
      <c r="BR1169" s="402" t="n"/>
      <c r="BS1169" s="402" t="n"/>
      <c r="BT1169" s="402" t="n"/>
      <c r="BU1169" s="402" t="n"/>
      <c r="BV1169" s="402" t="n"/>
      <c r="BW1169" s="402" t="n"/>
      <c r="BX1169" s="402" t="n"/>
      <c r="BY1169" s="402" t="n"/>
      <c r="BZ1169" s="402" t="n"/>
      <c r="CA1169" s="402" t="n"/>
      <c r="CB1169" s="402" t="n"/>
      <c r="CC1169" s="402" t="n"/>
      <c r="CD1169" s="402" t="n"/>
      <c r="CE1169" s="402" t="n"/>
      <c r="CF1169" s="402" t="n"/>
      <c r="CG1169" s="402" t="n"/>
      <c r="CH1169" s="402" t="n"/>
      <c r="CI1169" s="402" t="n"/>
      <c r="CJ1169" s="402" t="n"/>
      <c r="CK1169" s="402" t="n"/>
      <c r="CL1169" s="402" t="n"/>
      <c r="CM1169" s="402" t="n"/>
      <c r="CN1169" s="402" t="n"/>
      <c r="CO1169" s="402" t="n"/>
      <c r="CP1169" s="402" t="n"/>
      <c r="CQ1169" s="402" t="n"/>
      <c r="CR1169" s="402" t="n"/>
      <c r="CS1169" s="402" t="n"/>
      <c r="CT1169" s="402" t="n"/>
      <c r="CU1169" s="402" t="n"/>
      <c r="CV1169" s="402" t="n"/>
      <c r="CW1169" s="402" t="n"/>
      <c r="CX1169" s="402" t="n"/>
      <c r="CY1169" s="402" t="n"/>
      <c r="CZ1169" s="402" t="n"/>
      <c r="DA1169" s="402" t="n"/>
      <c r="DB1169" s="402" t="n"/>
      <c r="DC1169" s="402" t="n"/>
      <c r="DD1169" s="402" t="n"/>
      <c r="DE1169" s="402" t="n"/>
      <c r="DF1169" s="402" t="n"/>
      <c r="DG1169" s="403" t="n"/>
      <c r="DH1169" s="403" t="n"/>
      <c r="DI1169" s="403" t="n"/>
      <c r="DJ1169" s="403" t="n"/>
      <c r="DK1169" s="403" t="n"/>
      <c r="DL1169" s="403" t="n"/>
      <c r="DM1169" s="403" t="n"/>
      <c r="DN1169" s="403" t="n"/>
      <c r="DO1169" s="403" t="n"/>
      <c r="DP1169" s="403" t="n"/>
      <c r="DQ1169" s="403" t="n"/>
      <c r="DR1169" s="403" t="n"/>
      <c r="DS1169" s="403" t="n"/>
      <c r="DT1169" s="403" t="n"/>
      <c r="DU1169" s="403" t="n"/>
      <c r="DV1169" s="403" t="n"/>
      <c r="DW1169" s="403" t="n"/>
      <c r="DX1169" s="403" t="n"/>
      <c r="DY1169" s="403" t="n"/>
      <c r="DZ1169" s="403" t="n"/>
      <c r="EA1169" s="403" t="n"/>
      <c r="EB1169" s="403" t="n"/>
      <c r="EC1169" s="403" t="n"/>
      <c r="ED1169" s="403" t="n"/>
      <c r="EE1169" s="403" t="n"/>
      <c r="EF1169" s="403" t="n"/>
      <c r="EG1169" s="403" t="n"/>
      <c r="EH1169" s="403" t="n"/>
      <c r="EI1169" s="403" t="n"/>
      <c r="EJ1169" s="403" t="n"/>
      <c r="EK1169" s="403" t="n"/>
      <c r="EL1169" s="403" t="n"/>
      <c r="EM1169" s="403" t="n"/>
      <c r="EN1169" s="403" t="n"/>
      <c r="EO1169" s="403" t="n"/>
      <c r="EP1169" s="403" t="n"/>
      <c r="EQ1169" s="403" t="n"/>
      <c r="ER1169" s="403" t="n"/>
      <c r="ES1169" s="403" t="n"/>
      <c r="ET1169" s="403" t="n"/>
      <c r="EU1169" s="403" t="n"/>
      <c r="EV1169" s="403" t="n"/>
      <c r="EW1169" s="403" t="n"/>
      <c r="EX1169" s="403" t="n"/>
      <c r="EY1169" s="403" t="n"/>
      <c r="EZ1169" s="403" t="n"/>
      <c r="FA1169" s="403" t="n"/>
      <c r="FB1169" s="403" t="n"/>
      <c r="FC1169" s="403" t="n"/>
      <c r="FD1169" s="403" t="n"/>
      <c r="FE1169" s="403" t="n"/>
      <c r="FF1169" s="403" t="n"/>
      <c r="FG1169" s="403" t="n"/>
      <c r="FH1169" s="403" t="n"/>
      <c r="FI1169" s="403" t="n"/>
      <c r="FJ1169" s="403" t="n"/>
      <c r="FK1169" s="403" t="n"/>
      <c r="FL1169" s="403" t="n"/>
      <c r="FM1169" s="403" t="n"/>
      <c r="FN1169" s="403" t="n"/>
      <c r="FO1169" s="403" t="n"/>
      <c r="FP1169" s="403" t="n"/>
      <c r="FQ1169" s="403" t="n"/>
      <c r="FR1169" s="403" t="n"/>
      <c r="FS1169" s="403" t="n"/>
      <c r="FT1169" s="403" t="n"/>
      <c r="FU1169" s="403" t="n"/>
      <c r="FV1169" s="403" t="n"/>
      <c r="FW1169" s="403" t="n"/>
      <c r="FX1169" s="403" t="n"/>
      <c r="FY1169" s="403" t="n"/>
      <c r="FZ1169" s="403" t="n"/>
      <c r="GA1169" s="403" t="n"/>
      <c r="GB1169" s="403" t="n"/>
      <c r="GC1169" s="403" t="n"/>
      <c r="GD1169" s="403" t="n"/>
      <c r="GE1169" s="403" t="n"/>
      <c r="GF1169" s="403" t="n"/>
      <c r="GG1169" s="403" t="n"/>
      <c r="GH1169" s="403" t="n"/>
      <c r="GI1169" s="403" t="n"/>
      <c r="GJ1169" s="403" t="n"/>
      <c r="GK1169" s="403" t="n"/>
      <c r="GL1169" s="403" t="n"/>
      <c r="GM1169" s="403" t="n"/>
      <c r="GN1169" s="403" t="n"/>
      <c r="GO1169" s="403" t="n"/>
      <c r="GP1169" s="403" t="n"/>
      <c r="GQ1169" s="403" t="n"/>
      <c r="GR1169" s="403" t="n"/>
      <c r="GS1169" s="403" t="n"/>
      <c r="GT1169" s="403" t="n"/>
      <c r="GU1169" s="403" t="n"/>
      <c r="GV1169" s="403" t="n"/>
      <c r="GW1169" s="403" t="n"/>
      <c r="GX1169" s="403" t="n">
        <v>0</v>
      </c>
    </row>
    <row r="1170"/>
    <row r="1171">
      <c r="A1171" s="404" t="n">
        <v>50</v>
      </c>
      <c r="B1171" s="404" t="n">
        <v>0</v>
      </c>
      <c r="C1171" s="404" t="n">
        <v>0</v>
      </c>
      <c r="D1171" s="404" t="n">
        <v>1</v>
      </c>
      <c r="E1171" s="404" t="n">
        <v>201</v>
      </c>
      <c r="F1171" s="404">
        <f>ROUND(Source!O1169,O1171)</f>
        <v/>
      </c>
      <c r="G1171" s="404" t="inlineStr">
        <is>
          <t>ПЗ</t>
        </is>
      </c>
      <c r="H1171" s="404" t="inlineStr">
        <is>
          <t>Прямые затраты</t>
        </is>
      </c>
      <c r="I1171" s="404" t="n"/>
      <c r="J1171" s="404" t="n"/>
      <c r="K1171" s="404" t="n">
        <v>201</v>
      </c>
      <c r="L1171" s="404" t="n">
        <v>1</v>
      </c>
      <c r="M1171" s="404" t="n">
        <v>3</v>
      </c>
      <c r="N1171" s="404" t="inlineStr"/>
      <c r="O1171" s="404" t="n">
        <v>0</v>
      </c>
      <c r="P1171" s="404" t="n"/>
      <c r="Q1171" s="404" t="n"/>
      <c r="R1171" s="404" t="n"/>
      <c r="S1171" s="404" t="n"/>
      <c r="T1171" s="404" t="n"/>
      <c r="U1171" s="404" t="n"/>
      <c r="V1171" s="404" t="n"/>
      <c r="W1171" s="404" t="n">
        <v>0</v>
      </c>
      <c r="X1171" s="404" t="n">
        <v>1</v>
      </c>
      <c r="Y1171" s="404" t="n">
        <v>0</v>
      </c>
      <c r="Z1171" s="404" t="n"/>
      <c r="AA1171" s="404" t="n"/>
      <c r="AB1171" s="404" t="n"/>
    </row>
    <row r="1172">
      <c r="A1172" s="404" t="n">
        <v>50</v>
      </c>
      <c r="B1172" s="404" t="n">
        <v>0</v>
      </c>
      <c r="C1172" s="404" t="n">
        <v>0</v>
      </c>
      <c r="D1172" s="404" t="n">
        <v>1</v>
      </c>
      <c r="E1172" s="404" t="n">
        <v>202</v>
      </c>
      <c r="F1172" s="404">
        <f>ROUND(Source!P1169,O1172)</f>
        <v/>
      </c>
      <c r="G1172" s="404" t="inlineStr">
        <is>
          <t>СтМатОб</t>
        </is>
      </c>
      <c r="H1172" s="404" t="inlineStr">
        <is>
          <t>Стоимость материальных ресурсов (всего)</t>
        </is>
      </c>
      <c r="I1172" s="404" t="n"/>
      <c r="J1172" s="404" t="n"/>
      <c r="K1172" s="404" t="n">
        <v>202</v>
      </c>
      <c r="L1172" s="404" t="n">
        <v>2</v>
      </c>
      <c r="M1172" s="404" t="n">
        <v>3</v>
      </c>
      <c r="N1172" s="404" t="inlineStr"/>
      <c r="O1172" s="404" t="n">
        <v>0</v>
      </c>
      <c r="P1172" s="404" t="n"/>
      <c r="Q1172" s="404" t="n"/>
      <c r="R1172" s="404" t="n"/>
      <c r="S1172" s="404" t="n"/>
      <c r="T1172" s="404" t="n"/>
      <c r="U1172" s="404" t="n"/>
      <c r="V1172" s="404" t="n"/>
      <c r="W1172" s="404" t="n">
        <v>0</v>
      </c>
      <c r="X1172" s="404" t="n">
        <v>1</v>
      </c>
      <c r="Y1172" s="404" t="n">
        <v>0</v>
      </c>
      <c r="Z1172" s="404" t="n"/>
      <c r="AA1172" s="404" t="n"/>
      <c r="AB1172" s="404" t="n"/>
    </row>
    <row r="1173">
      <c r="A1173" s="404" t="n">
        <v>50</v>
      </c>
      <c r="B1173" s="404" t="n">
        <v>0</v>
      </c>
      <c r="C1173" s="404" t="n">
        <v>0</v>
      </c>
      <c r="D1173" s="404" t="n">
        <v>1</v>
      </c>
      <c r="E1173" s="404" t="n">
        <v>222</v>
      </c>
      <c r="F1173" s="404">
        <f>ROUND(Source!AO1169,O1173)</f>
        <v/>
      </c>
      <c r="G1173" s="404" t="inlineStr">
        <is>
          <t>СтМатОбЗак</t>
        </is>
      </c>
      <c r="H1173" s="404" t="inlineStr">
        <is>
          <t>Стоимость материалов и оборудования заказчика</t>
        </is>
      </c>
      <c r="I1173" s="404" t="n"/>
      <c r="J1173" s="404" t="n"/>
      <c r="K1173" s="404" t="n">
        <v>222</v>
      </c>
      <c r="L1173" s="404" t="n">
        <v>3</v>
      </c>
      <c r="M1173" s="404" t="n">
        <v>3</v>
      </c>
      <c r="N1173" s="404" t="inlineStr"/>
      <c r="O1173" s="404" t="n">
        <v>0</v>
      </c>
      <c r="P1173" s="404" t="n"/>
      <c r="Q1173" s="404" t="n"/>
      <c r="R1173" s="404" t="n"/>
      <c r="S1173" s="404" t="n"/>
      <c r="T1173" s="404" t="n"/>
      <c r="U1173" s="404" t="n"/>
      <c r="V1173" s="404" t="n"/>
      <c r="W1173" s="404" t="n">
        <v>0</v>
      </c>
      <c r="X1173" s="404" t="n">
        <v>1</v>
      </c>
      <c r="Y1173" s="404" t="n">
        <v>0</v>
      </c>
      <c r="Z1173" s="404" t="n"/>
      <c r="AA1173" s="404" t="n"/>
      <c r="AB1173" s="404" t="n"/>
    </row>
    <row r="1174">
      <c r="A1174" s="404" t="n">
        <v>50</v>
      </c>
      <c r="B1174" s="404" t="n">
        <v>0</v>
      </c>
      <c r="C1174" s="404" t="n">
        <v>0</v>
      </c>
      <c r="D1174" s="404" t="n">
        <v>1</v>
      </c>
      <c r="E1174" s="404" t="n">
        <v>225</v>
      </c>
      <c r="F1174" s="404">
        <f>ROUND(Source!AV1169,O1174)</f>
        <v/>
      </c>
      <c r="G1174" s="404" t="inlineStr">
        <is>
          <t>СтМатОбПод</t>
        </is>
      </c>
      <c r="H1174" s="404" t="inlineStr">
        <is>
          <t>Стоимость материалов и оборудования подрядчика</t>
        </is>
      </c>
      <c r="I1174" s="404" t="n"/>
      <c r="J1174" s="404" t="n"/>
      <c r="K1174" s="404" t="n">
        <v>225</v>
      </c>
      <c r="L1174" s="404" t="n">
        <v>4</v>
      </c>
      <c r="M1174" s="404" t="n">
        <v>3</v>
      </c>
      <c r="N1174" s="404" t="inlineStr"/>
      <c r="O1174" s="404" t="n">
        <v>0</v>
      </c>
      <c r="P1174" s="404" t="n"/>
      <c r="Q1174" s="404" t="n"/>
      <c r="R1174" s="404" t="n"/>
      <c r="S1174" s="404" t="n"/>
      <c r="T1174" s="404" t="n"/>
      <c r="U1174" s="404" t="n"/>
      <c r="V1174" s="404" t="n"/>
      <c r="W1174" s="404" t="n">
        <v>0</v>
      </c>
      <c r="X1174" s="404" t="n">
        <v>1</v>
      </c>
      <c r="Y1174" s="404" t="n">
        <v>0</v>
      </c>
      <c r="Z1174" s="404" t="n"/>
      <c r="AA1174" s="404" t="n"/>
      <c r="AB1174" s="404" t="n"/>
    </row>
    <row r="1175">
      <c r="A1175" s="404" t="n">
        <v>50</v>
      </c>
      <c r="B1175" s="404" t="n">
        <v>0</v>
      </c>
      <c r="C1175" s="404" t="n">
        <v>0</v>
      </c>
      <c r="D1175" s="404" t="n">
        <v>1</v>
      </c>
      <c r="E1175" s="404" t="n">
        <v>226</v>
      </c>
      <c r="F1175" s="404">
        <f>ROUND(Source!AW1169,O1175)</f>
        <v/>
      </c>
      <c r="G1175" s="404" t="inlineStr">
        <is>
          <t>СтМат</t>
        </is>
      </c>
      <c r="H1175" s="404" t="inlineStr">
        <is>
          <t>Стоимость материалов (всего)</t>
        </is>
      </c>
      <c r="I1175" s="404" t="n"/>
      <c r="J1175" s="404" t="n"/>
      <c r="K1175" s="404" t="n">
        <v>226</v>
      </c>
      <c r="L1175" s="404" t="n">
        <v>5</v>
      </c>
      <c r="M1175" s="404" t="n">
        <v>3</v>
      </c>
      <c r="N1175" s="404" t="inlineStr"/>
      <c r="O1175" s="404" t="n">
        <v>0</v>
      </c>
      <c r="P1175" s="404" t="n"/>
      <c r="Q1175" s="404" t="n"/>
      <c r="R1175" s="404" t="n"/>
      <c r="S1175" s="404" t="n"/>
      <c r="T1175" s="404" t="n"/>
      <c r="U1175" s="404" t="n"/>
      <c r="V1175" s="404" t="n"/>
      <c r="W1175" s="404" t="n">
        <v>0</v>
      </c>
      <c r="X1175" s="404" t="n">
        <v>1</v>
      </c>
      <c r="Y1175" s="404" t="n">
        <v>0</v>
      </c>
      <c r="Z1175" s="404" t="n"/>
      <c r="AA1175" s="404" t="n"/>
      <c r="AB1175" s="404" t="n"/>
    </row>
    <row r="1176">
      <c r="A1176" s="404" t="n">
        <v>50</v>
      </c>
      <c r="B1176" s="404" t="n">
        <v>0</v>
      </c>
      <c r="C1176" s="404" t="n">
        <v>0</v>
      </c>
      <c r="D1176" s="404" t="n">
        <v>1</v>
      </c>
      <c r="E1176" s="404" t="n">
        <v>227</v>
      </c>
      <c r="F1176" s="404">
        <f>ROUND(Source!AX1169,O1176)</f>
        <v/>
      </c>
      <c r="G1176" s="404" t="inlineStr">
        <is>
          <t>СтМатЗак</t>
        </is>
      </c>
      <c r="H1176" s="404" t="inlineStr">
        <is>
          <t>Стоимость материалов заказчика</t>
        </is>
      </c>
      <c r="I1176" s="404" t="n"/>
      <c r="J1176" s="404" t="n"/>
      <c r="K1176" s="404" t="n">
        <v>227</v>
      </c>
      <c r="L1176" s="404" t="n">
        <v>6</v>
      </c>
      <c r="M1176" s="404" t="n">
        <v>3</v>
      </c>
      <c r="N1176" s="404" t="inlineStr"/>
      <c r="O1176" s="404" t="n">
        <v>0</v>
      </c>
      <c r="P1176" s="404" t="n"/>
      <c r="Q1176" s="404" t="n"/>
      <c r="R1176" s="404" t="n"/>
      <c r="S1176" s="404" t="n"/>
      <c r="T1176" s="404" t="n"/>
      <c r="U1176" s="404" t="n"/>
      <c r="V1176" s="404" t="n"/>
      <c r="W1176" s="404" t="n">
        <v>0</v>
      </c>
      <c r="X1176" s="404" t="n">
        <v>1</v>
      </c>
      <c r="Y1176" s="404" t="n">
        <v>0</v>
      </c>
      <c r="Z1176" s="404" t="n"/>
      <c r="AA1176" s="404" t="n"/>
      <c r="AB1176" s="404" t="n"/>
    </row>
    <row r="1177">
      <c r="A1177" s="404" t="n">
        <v>50</v>
      </c>
      <c r="B1177" s="404" t="n">
        <v>0</v>
      </c>
      <c r="C1177" s="404" t="n">
        <v>0</v>
      </c>
      <c r="D1177" s="404" t="n">
        <v>1</v>
      </c>
      <c r="E1177" s="404" t="n">
        <v>228</v>
      </c>
      <c r="F1177" s="404">
        <f>ROUND(Source!AY1169,O1177)</f>
        <v/>
      </c>
      <c r="G1177" s="404" t="inlineStr">
        <is>
          <t>СтМатПод</t>
        </is>
      </c>
      <c r="H1177" s="404" t="inlineStr">
        <is>
          <t>Стоимость материалов подрядчика</t>
        </is>
      </c>
      <c r="I1177" s="404" t="n"/>
      <c r="J1177" s="404" t="n"/>
      <c r="K1177" s="404" t="n">
        <v>228</v>
      </c>
      <c r="L1177" s="404" t="n">
        <v>7</v>
      </c>
      <c r="M1177" s="404" t="n">
        <v>3</v>
      </c>
      <c r="N1177" s="404" t="inlineStr"/>
      <c r="O1177" s="404" t="n">
        <v>0</v>
      </c>
      <c r="P1177" s="404" t="n"/>
      <c r="Q1177" s="404" t="n"/>
      <c r="R1177" s="404" t="n"/>
      <c r="S1177" s="404" t="n"/>
      <c r="T1177" s="404" t="n"/>
      <c r="U1177" s="404" t="n"/>
      <c r="V1177" s="404" t="n"/>
      <c r="W1177" s="404" t="n">
        <v>0</v>
      </c>
      <c r="X1177" s="404" t="n">
        <v>1</v>
      </c>
      <c r="Y1177" s="404" t="n">
        <v>0</v>
      </c>
      <c r="Z1177" s="404" t="n"/>
      <c r="AA1177" s="404" t="n"/>
      <c r="AB1177" s="404" t="n"/>
    </row>
    <row r="1178">
      <c r="A1178" s="404" t="n">
        <v>50</v>
      </c>
      <c r="B1178" s="404" t="n">
        <v>0</v>
      </c>
      <c r="C1178" s="404" t="n">
        <v>0</v>
      </c>
      <c r="D1178" s="404" t="n">
        <v>1</v>
      </c>
      <c r="E1178" s="404" t="n">
        <v>216</v>
      </c>
      <c r="F1178" s="404">
        <f>ROUND(Source!AP1169,O1178)</f>
        <v/>
      </c>
      <c r="G1178" s="404" t="inlineStr">
        <is>
          <t>Оборуд</t>
        </is>
      </c>
      <c r="H1178" s="404" t="inlineStr">
        <is>
          <t>Стоимость оборудования (всего)</t>
        </is>
      </c>
      <c r="I1178" s="404" t="n"/>
      <c r="J1178" s="404" t="n"/>
      <c r="K1178" s="404" t="n">
        <v>216</v>
      </c>
      <c r="L1178" s="404" t="n">
        <v>8</v>
      </c>
      <c r="M1178" s="404" t="n">
        <v>3</v>
      </c>
      <c r="N1178" s="404" t="inlineStr"/>
      <c r="O1178" s="404" t="n">
        <v>0</v>
      </c>
      <c r="P1178" s="404" t="n"/>
      <c r="Q1178" s="404" t="n"/>
      <c r="R1178" s="404" t="n"/>
      <c r="S1178" s="404" t="n"/>
      <c r="T1178" s="404" t="n"/>
      <c r="U1178" s="404" t="n"/>
      <c r="V1178" s="404" t="n"/>
      <c r="W1178" s="404" t="n">
        <v>0</v>
      </c>
      <c r="X1178" s="404" t="n">
        <v>1</v>
      </c>
      <c r="Y1178" s="404" t="n">
        <v>0</v>
      </c>
      <c r="Z1178" s="404" t="n"/>
      <c r="AA1178" s="404" t="n"/>
      <c r="AB1178" s="404" t="n"/>
    </row>
    <row r="1179">
      <c r="A1179" s="404" t="n">
        <v>50</v>
      </c>
      <c r="B1179" s="404" t="n">
        <v>0</v>
      </c>
      <c r="C1179" s="404" t="n">
        <v>0</v>
      </c>
      <c r="D1179" s="404" t="n">
        <v>1</v>
      </c>
      <c r="E1179" s="404" t="n">
        <v>223</v>
      </c>
      <c r="F1179" s="404">
        <f>ROUND(Source!AQ1169,O1179)</f>
        <v/>
      </c>
      <c r="G1179" s="404" t="inlineStr">
        <is>
          <t>ОборудЗак</t>
        </is>
      </c>
      <c r="H1179" s="404" t="inlineStr">
        <is>
          <t>Стоимость оборудования заказчика</t>
        </is>
      </c>
      <c r="I1179" s="404" t="n"/>
      <c r="J1179" s="404" t="n"/>
      <c r="K1179" s="404" t="n">
        <v>223</v>
      </c>
      <c r="L1179" s="404" t="n">
        <v>9</v>
      </c>
      <c r="M1179" s="404" t="n">
        <v>3</v>
      </c>
      <c r="N1179" s="404" t="inlineStr"/>
      <c r="O1179" s="404" t="n">
        <v>0</v>
      </c>
      <c r="P1179" s="404" t="n"/>
      <c r="Q1179" s="404" t="n"/>
      <c r="R1179" s="404" t="n"/>
      <c r="S1179" s="404" t="n"/>
      <c r="T1179" s="404" t="n"/>
      <c r="U1179" s="404" t="n"/>
      <c r="V1179" s="404" t="n"/>
      <c r="W1179" s="404" t="n">
        <v>0</v>
      </c>
      <c r="X1179" s="404" t="n">
        <v>1</v>
      </c>
      <c r="Y1179" s="404" t="n">
        <v>0</v>
      </c>
      <c r="Z1179" s="404" t="n"/>
      <c r="AA1179" s="404" t="n"/>
      <c r="AB1179" s="404" t="n"/>
    </row>
    <row r="1180">
      <c r="A1180" s="404" t="n">
        <v>50</v>
      </c>
      <c r="B1180" s="404" t="n">
        <v>0</v>
      </c>
      <c r="C1180" s="404" t="n">
        <v>0</v>
      </c>
      <c r="D1180" s="404" t="n">
        <v>1</v>
      </c>
      <c r="E1180" s="404" t="n">
        <v>229</v>
      </c>
      <c r="F1180" s="404">
        <f>ROUND(Source!AZ1169,O1180)</f>
        <v/>
      </c>
      <c r="G1180" s="404" t="inlineStr">
        <is>
          <t>ОборудПод</t>
        </is>
      </c>
      <c r="H1180" s="404" t="inlineStr">
        <is>
          <t>Стоимость оборудования подрядчика</t>
        </is>
      </c>
      <c r="I1180" s="404" t="n"/>
      <c r="J1180" s="404" t="n"/>
      <c r="K1180" s="404" t="n">
        <v>229</v>
      </c>
      <c r="L1180" s="404" t="n">
        <v>10</v>
      </c>
      <c r="M1180" s="404" t="n">
        <v>3</v>
      </c>
      <c r="N1180" s="404" t="inlineStr"/>
      <c r="O1180" s="404" t="n">
        <v>0</v>
      </c>
      <c r="P1180" s="404" t="n"/>
      <c r="Q1180" s="404" t="n"/>
      <c r="R1180" s="404" t="n"/>
      <c r="S1180" s="404" t="n"/>
      <c r="T1180" s="404" t="n"/>
      <c r="U1180" s="404" t="n"/>
      <c r="V1180" s="404" t="n"/>
      <c r="W1180" s="404" t="n">
        <v>0</v>
      </c>
      <c r="X1180" s="404" t="n">
        <v>1</v>
      </c>
      <c r="Y1180" s="404" t="n">
        <v>0</v>
      </c>
      <c r="Z1180" s="404" t="n"/>
      <c r="AA1180" s="404" t="n"/>
      <c r="AB1180" s="404" t="n"/>
    </row>
    <row r="1181">
      <c r="A1181" s="404" t="n">
        <v>50</v>
      </c>
      <c r="B1181" s="404" t="n">
        <v>0</v>
      </c>
      <c r="C1181" s="404" t="n">
        <v>0</v>
      </c>
      <c r="D1181" s="404" t="n">
        <v>1</v>
      </c>
      <c r="E1181" s="404" t="n">
        <v>203</v>
      </c>
      <c r="F1181" s="404">
        <f>ROUND(Source!Q1169,O1181)</f>
        <v/>
      </c>
      <c r="G1181" s="404" t="inlineStr">
        <is>
          <t>ЭММ</t>
        </is>
      </c>
      <c r="H1181" s="404" t="inlineStr">
        <is>
          <t>Эксплуатация машин</t>
        </is>
      </c>
      <c r="I1181" s="404" t="n"/>
      <c r="J1181" s="404" t="n"/>
      <c r="K1181" s="404" t="n">
        <v>203</v>
      </c>
      <c r="L1181" s="404" t="n">
        <v>11</v>
      </c>
      <c r="M1181" s="404" t="n">
        <v>3</v>
      </c>
      <c r="N1181" s="404" t="inlineStr"/>
      <c r="O1181" s="404" t="n">
        <v>0</v>
      </c>
      <c r="P1181" s="404" t="n"/>
      <c r="Q1181" s="404" t="n"/>
      <c r="R1181" s="404" t="n"/>
      <c r="S1181" s="404" t="n"/>
      <c r="T1181" s="404" t="n"/>
      <c r="U1181" s="404" t="n"/>
      <c r="V1181" s="404" t="n"/>
      <c r="W1181" s="404" t="n">
        <v>0</v>
      </c>
      <c r="X1181" s="404" t="n">
        <v>1</v>
      </c>
      <c r="Y1181" s="404" t="n">
        <v>0</v>
      </c>
      <c r="Z1181" s="404" t="n"/>
      <c r="AA1181" s="404" t="n"/>
      <c r="AB1181" s="404" t="n"/>
    </row>
    <row r="1182">
      <c r="A1182" s="404" t="n">
        <v>50</v>
      </c>
      <c r="B1182" s="404" t="n">
        <v>0</v>
      </c>
      <c r="C1182" s="404" t="n">
        <v>0</v>
      </c>
      <c r="D1182" s="404" t="n">
        <v>1</v>
      </c>
      <c r="E1182" s="404" t="n">
        <v>231</v>
      </c>
      <c r="F1182" s="404">
        <f>ROUND(Source!BB1169,O1182)</f>
        <v/>
      </c>
      <c r="G1182" s="404" t="inlineStr">
        <is>
          <t>ЭММсНРиСП</t>
        </is>
      </c>
      <c r="H1182" s="404" t="inlineStr">
        <is>
          <t>Эксплуатация машин по ТСН-2001.16</t>
        </is>
      </c>
      <c r="I1182" s="404" t="n"/>
      <c r="J1182" s="404" t="n"/>
      <c r="K1182" s="404" t="n">
        <v>231</v>
      </c>
      <c r="L1182" s="404" t="n">
        <v>12</v>
      </c>
      <c r="M1182" s="404" t="n">
        <v>3</v>
      </c>
      <c r="N1182" s="404" t="inlineStr"/>
      <c r="O1182" s="404" t="n">
        <v>0</v>
      </c>
      <c r="P1182" s="404" t="n"/>
      <c r="Q1182" s="404" t="n"/>
      <c r="R1182" s="404" t="n"/>
      <c r="S1182" s="404" t="n"/>
      <c r="T1182" s="404" t="n"/>
      <c r="U1182" s="404" t="n"/>
      <c r="V1182" s="404" t="n"/>
      <c r="W1182" s="404" t="n">
        <v>0</v>
      </c>
      <c r="X1182" s="404" t="n">
        <v>1</v>
      </c>
      <c r="Y1182" s="404" t="n">
        <v>0</v>
      </c>
      <c r="Z1182" s="404" t="n"/>
      <c r="AA1182" s="404" t="n"/>
      <c r="AB1182" s="404" t="n"/>
    </row>
    <row r="1183">
      <c r="A1183" s="404" t="n">
        <v>50</v>
      </c>
      <c r="B1183" s="404" t="n">
        <v>0</v>
      </c>
      <c r="C1183" s="404" t="n">
        <v>0</v>
      </c>
      <c r="D1183" s="404" t="n">
        <v>1</v>
      </c>
      <c r="E1183" s="404" t="n">
        <v>204</v>
      </c>
      <c r="F1183" s="404">
        <f>ROUND(Source!R1169,O1183)</f>
        <v/>
      </c>
      <c r="G1183" s="404" t="inlineStr">
        <is>
          <t>ЗПМ</t>
        </is>
      </c>
      <c r="H1183" s="404" t="inlineStr">
        <is>
          <t>ЗП машинистов</t>
        </is>
      </c>
      <c r="I1183" s="404" t="n"/>
      <c r="J1183" s="404" t="n"/>
      <c r="K1183" s="404" t="n">
        <v>204</v>
      </c>
      <c r="L1183" s="404" t="n">
        <v>13</v>
      </c>
      <c r="M1183" s="404" t="n">
        <v>3</v>
      </c>
      <c r="N1183" s="404" t="inlineStr"/>
      <c r="O1183" s="404" t="n">
        <v>0</v>
      </c>
      <c r="P1183" s="404" t="n"/>
      <c r="Q1183" s="404" t="n"/>
      <c r="R1183" s="404" t="n"/>
      <c r="S1183" s="404" t="n"/>
      <c r="T1183" s="404" t="n"/>
      <c r="U1183" s="404" t="n"/>
      <c r="V1183" s="404" t="n"/>
      <c r="W1183" s="404" t="n">
        <v>0</v>
      </c>
      <c r="X1183" s="404" t="n">
        <v>1</v>
      </c>
      <c r="Y1183" s="404" t="n">
        <v>0</v>
      </c>
      <c r="Z1183" s="404" t="n"/>
      <c r="AA1183" s="404" t="n"/>
      <c r="AB1183" s="404" t="n"/>
    </row>
    <row r="1184">
      <c r="A1184" s="404" t="n">
        <v>50</v>
      </c>
      <c r="B1184" s="404" t="n">
        <v>0</v>
      </c>
      <c r="C1184" s="404" t="n">
        <v>0</v>
      </c>
      <c r="D1184" s="404" t="n">
        <v>1</v>
      </c>
      <c r="E1184" s="404" t="n">
        <v>205</v>
      </c>
      <c r="F1184" s="404">
        <f>ROUND(Source!S1169,O1184)</f>
        <v/>
      </c>
      <c r="G1184" s="404" t="inlineStr">
        <is>
          <t>ОЗП</t>
        </is>
      </c>
      <c r="H1184" s="404" t="inlineStr">
        <is>
          <t>Основная ЗП рабочих</t>
        </is>
      </c>
      <c r="I1184" s="404" t="n"/>
      <c r="J1184" s="404" t="n"/>
      <c r="K1184" s="404" t="n">
        <v>205</v>
      </c>
      <c r="L1184" s="404" t="n">
        <v>14</v>
      </c>
      <c r="M1184" s="404" t="n">
        <v>3</v>
      </c>
      <c r="N1184" s="404" t="inlineStr"/>
      <c r="O1184" s="404" t="n">
        <v>0</v>
      </c>
      <c r="P1184" s="404" t="n"/>
      <c r="Q1184" s="404" t="n"/>
      <c r="R1184" s="404" t="n"/>
      <c r="S1184" s="404" t="n"/>
      <c r="T1184" s="404" t="n"/>
      <c r="U1184" s="404" t="n"/>
      <c r="V1184" s="404" t="n"/>
      <c r="W1184" s="404" t="n">
        <v>0</v>
      </c>
      <c r="X1184" s="404" t="n">
        <v>1</v>
      </c>
      <c r="Y1184" s="404" t="n">
        <v>0</v>
      </c>
      <c r="Z1184" s="404" t="n"/>
      <c r="AA1184" s="404" t="n"/>
      <c r="AB1184" s="404" t="n"/>
    </row>
    <row r="1185">
      <c r="A1185" s="404" t="n">
        <v>50</v>
      </c>
      <c r="B1185" s="404" t="n">
        <v>0</v>
      </c>
      <c r="C1185" s="404" t="n">
        <v>0</v>
      </c>
      <c r="D1185" s="404" t="n">
        <v>1</v>
      </c>
      <c r="E1185" s="404" t="n">
        <v>232</v>
      </c>
      <c r="F1185" s="404">
        <f>ROUND(Source!BC1169,O1185)</f>
        <v/>
      </c>
      <c r="G1185" s="404" t="inlineStr">
        <is>
          <t>ОЗПсНРиСП</t>
        </is>
      </c>
      <c r="H1185" s="404" t="inlineStr">
        <is>
          <t>Основная ЗП рабочих по ТСН-2001.16</t>
        </is>
      </c>
      <c r="I1185" s="404" t="n"/>
      <c r="J1185" s="404" t="n"/>
      <c r="K1185" s="404" t="n">
        <v>232</v>
      </c>
      <c r="L1185" s="404" t="n">
        <v>15</v>
      </c>
      <c r="M1185" s="404" t="n">
        <v>3</v>
      </c>
      <c r="N1185" s="404" t="inlineStr"/>
      <c r="O1185" s="404" t="n">
        <v>0</v>
      </c>
      <c r="P1185" s="404" t="n"/>
      <c r="Q1185" s="404" t="n"/>
      <c r="R1185" s="404" t="n"/>
      <c r="S1185" s="404" t="n"/>
      <c r="T1185" s="404" t="n"/>
      <c r="U1185" s="404" t="n"/>
      <c r="V1185" s="404" t="n"/>
      <c r="W1185" s="404" t="n">
        <v>0</v>
      </c>
      <c r="X1185" s="404" t="n">
        <v>1</v>
      </c>
      <c r="Y1185" s="404" t="n">
        <v>0</v>
      </c>
      <c r="Z1185" s="404" t="n"/>
      <c r="AA1185" s="404" t="n"/>
      <c r="AB1185" s="404" t="n"/>
    </row>
    <row r="1186">
      <c r="A1186" s="404" t="n">
        <v>50</v>
      </c>
      <c r="B1186" s="404" t="n">
        <v>0</v>
      </c>
      <c r="C1186" s="404" t="n">
        <v>0</v>
      </c>
      <c r="D1186" s="404" t="n">
        <v>1</v>
      </c>
      <c r="E1186" s="404" t="n">
        <v>214</v>
      </c>
      <c r="F1186" s="404">
        <f>ROUND(Source!AS1169,O1186)</f>
        <v/>
      </c>
      <c r="G1186" s="404" t="inlineStr">
        <is>
          <t>Строит</t>
        </is>
      </c>
      <c r="H1186" s="404" t="inlineStr">
        <is>
          <t>Строительные работы с НР и СП</t>
        </is>
      </c>
      <c r="I1186" s="404" t="n"/>
      <c r="J1186" s="404" t="n"/>
      <c r="K1186" s="404" t="n">
        <v>214</v>
      </c>
      <c r="L1186" s="404" t="n">
        <v>16</v>
      </c>
      <c r="M1186" s="404" t="n">
        <v>3</v>
      </c>
      <c r="N1186" s="404" t="inlineStr"/>
      <c r="O1186" s="404" t="n">
        <v>0</v>
      </c>
      <c r="P1186" s="404" t="n"/>
      <c r="Q1186" s="404" t="n"/>
      <c r="R1186" s="404" t="n"/>
      <c r="S1186" s="404" t="n"/>
      <c r="T1186" s="404" t="n"/>
      <c r="U1186" s="404" t="n"/>
      <c r="V1186" s="404" t="n"/>
      <c r="W1186" s="404" t="n">
        <v>0</v>
      </c>
      <c r="X1186" s="404" t="n">
        <v>1</v>
      </c>
      <c r="Y1186" s="404" t="n">
        <v>0</v>
      </c>
      <c r="Z1186" s="404" t="n"/>
      <c r="AA1186" s="404" t="n"/>
      <c r="AB1186" s="404" t="n"/>
    </row>
    <row r="1187">
      <c r="A1187" s="404" t="n">
        <v>50</v>
      </c>
      <c r="B1187" s="404" t="n">
        <v>0</v>
      </c>
      <c r="C1187" s="404" t="n">
        <v>0</v>
      </c>
      <c r="D1187" s="404" t="n">
        <v>1</v>
      </c>
      <c r="E1187" s="404" t="n">
        <v>215</v>
      </c>
      <c r="F1187" s="404">
        <f>ROUND(Source!AT1169,O1187)</f>
        <v/>
      </c>
      <c r="G1187" s="404" t="inlineStr">
        <is>
          <t>Монтаж</t>
        </is>
      </c>
      <c r="H1187" s="404" t="inlineStr">
        <is>
          <t>Монтажные работы с НР и СП</t>
        </is>
      </c>
      <c r="I1187" s="404" t="n"/>
      <c r="J1187" s="404" t="n"/>
      <c r="K1187" s="404" t="n">
        <v>215</v>
      </c>
      <c r="L1187" s="404" t="n">
        <v>17</v>
      </c>
      <c r="M1187" s="404" t="n">
        <v>3</v>
      </c>
      <c r="N1187" s="404" t="inlineStr"/>
      <c r="O1187" s="404" t="n">
        <v>0</v>
      </c>
      <c r="P1187" s="404" t="n"/>
      <c r="Q1187" s="404" t="n"/>
      <c r="R1187" s="404" t="n"/>
      <c r="S1187" s="404" t="n"/>
      <c r="T1187" s="404" t="n"/>
      <c r="U1187" s="404" t="n"/>
      <c r="V1187" s="404" t="n"/>
      <c r="W1187" s="404" t="n">
        <v>0</v>
      </c>
      <c r="X1187" s="404" t="n">
        <v>1</v>
      </c>
      <c r="Y1187" s="404" t="n">
        <v>0</v>
      </c>
      <c r="Z1187" s="404" t="n"/>
      <c r="AA1187" s="404" t="n"/>
      <c r="AB1187" s="404" t="n"/>
    </row>
    <row r="1188">
      <c r="A1188" s="404" t="n">
        <v>50</v>
      </c>
      <c r="B1188" s="404" t="n">
        <v>0</v>
      </c>
      <c r="C1188" s="404" t="n">
        <v>0</v>
      </c>
      <c r="D1188" s="404" t="n">
        <v>1</v>
      </c>
      <c r="E1188" s="404" t="n">
        <v>217</v>
      </c>
      <c r="F1188" s="404">
        <f>ROUND(Source!AU1169,O1188)</f>
        <v/>
      </c>
      <c r="G1188" s="404" t="inlineStr">
        <is>
          <t>Прочие</t>
        </is>
      </c>
      <c r="H1188" s="404" t="inlineStr">
        <is>
          <t>Прочие работы с НР и СП</t>
        </is>
      </c>
      <c r="I1188" s="404" t="n"/>
      <c r="J1188" s="404" t="n"/>
      <c r="K1188" s="404" t="n">
        <v>217</v>
      </c>
      <c r="L1188" s="404" t="n">
        <v>18</v>
      </c>
      <c r="M1188" s="404" t="n">
        <v>3</v>
      </c>
      <c r="N1188" s="404" t="inlineStr"/>
      <c r="O1188" s="404" t="n">
        <v>0</v>
      </c>
      <c r="P1188" s="404" t="n"/>
      <c r="Q1188" s="404" t="n"/>
      <c r="R1188" s="404" t="n"/>
      <c r="S1188" s="404" t="n"/>
      <c r="T1188" s="404" t="n"/>
      <c r="U1188" s="404" t="n"/>
      <c r="V1188" s="404" t="n"/>
      <c r="W1188" s="404" t="n">
        <v>0</v>
      </c>
      <c r="X1188" s="404" t="n">
        <v>1</v>
      </c>
      <c r="Y1188" s="404" t="n">
        <v>0</v>
      </c>
      <c r="Z1188" s="404" t="n"/>
      <c r="AA1188" s="404" t="n"/>
      <c r="AB1188" s="404" t="n"/>
    </row>
    <row r="1189">
      <c r="A1189" s="404" t="n">
        <v>50</v>
      </c>
      <c r="B1189" s="404" t="n">
        <v>0</v>
      </c>
      <c r="C1189" s="404" t="n">
        <v>0</v>
      </c>
      <c r="D1189" s="404" t="n">
        <v>1</v>
      </c>
      <c r="E1189" s="404" t="n">
        <v>230</v>
      </c>
      <c r="F1189" s="404">
        <f>ROUND(Source!BA1169,O1189)</f>
        <v/>
      </c>
      <c r="G1189" s="404" t="inlineStr">
        <is>
          <t>ПрочиеЗатр</t>
        </is>
      </c>
      <c r="H1189" s="404" t="inlineStr">
        <is>
          <t>Прочие затраты по ТСН-2001.16</t>
        </is>
      </c>
      <c r="I1189" s="404" t="n"/>
      <c r="J1189" s="404" t="n"/>
      <c r="K1189" s="404" t="n">
        <v>230</v>
      </c>
      <c r="L1189" s="404" t="n">
        <v>19</v>
      </c>
      <c r="M1189" s="404" t="n">
        <v>3</v>
      </c>
      <c r="N1189" s="404" t="inlineStr"/>
      <c r="O1189" s="404" t="n">
        <v>0</v>
      </c>
      <c r="P1189" s="404" t="n"/>
      <c r="Q1189" s="404" t="n"/>
      <c r="R1189" s="404" t="n"/>
      <c r="S1189" s="404" t="n"/>
      <c r="T1189" s="404" t="n"/>
      <c r="U1189" s="404" t="n"/>
      <c r="V1189" s="404" t="n"/>
      <c r="W1189" s="404" t="n">
        <v>0</v>
      </c>
      <c r="X1189" s="404" t="n">
        <v>1</v>
      </c>
      <c r="Y1189" s="404" t="n">
        <v>0</v>
      </c>
      <c r="Z1189" s="404" t="n"/>
      <c r="AA1189" s="404" t="n"/>
      <c r="AB1189" s="404" t="n"/>
    </row>
    <row r="1190">
      <c r="A1190" s="404" t="n">
        <v>50</v>
      </c>
      <c r="B1190" s="404" t="n">
        <v>0</v>
      </c>
      <c r="C1190" s="404" t="n">
        <v>0</v>
      </c>
      <c r="D1190" s="404" t="n">
        <v>1</v>
      </c>
      <c r="E1190" s="404" t="n">
        <v>206</v>
      </c>
      <c r="F1190" s="404">
        <f>ROUND(Source!T1169,O1190)</f>
        <v/>
      </c>
      <c r="G1190" s="404" t="inlineStr">
        <is>
          <t>ВозврМат</t>
        </is>
      </c>
      <c r="H1190" s="404" t="inlineStr">
        <is>
          <t>Возврат материалов</t>
        </is>
      </c>
      <c r="I1190" s="404" t="n"/>
      <c r="J1190" s="404" t="n"/>
      <c r="K1190" s="404" t="n">
        <v>206</v>
      </c>
      <c r="L1190" s="404" t="n">
        <v>20</v>
      </c>
      <c r="M1190" s="404" t="n">
        <v>3</v>
      </c>
      <c r="N1190" s="404" t="inlineStr"/>
      <c r="O1190" s="404" t="n">
        <v>0</v>
      </c>
      <c r="P1190" s="404" t="n"/>
      <c r="Q1190" s="404" t="n"/>
      <c r="R1190" s="404" t="n"/>
      <c r="S1190" s="404" t="n"/>
      <c r="T1190" s="404" t="n"/>
      <c r="U1190" s="404" t="n"/>
      <c r="V1190" s="404" t="n"/>
      <c r="W1190" s="404" t="n">
        <v>0</v>
      </c>
      <c r="X1190" s="404" t="n">
        <v>1</v>
      </c>
      <c r="Y1190" s="404" t="n">
        <v>0</v>
      </c>
      <c r="Z1190" s="404" t="n"/>
      <c r="AA1190" s="404" t="n"/>
      <c r="AB1190" s="404" t="n"/>
    </row>
    <row r="1191">
      <c r="A1191" s="404" t="n">
        <v>50</v>
      </c>
      <c r="B1191" s="404" t="n">
        <v>0</v>
      </c>
      <c r="C1191" s="404" t="n">
        <v>0</v>
      </c>
      <c r="D1191" s="404" t="n">
        <v>1</v>
      </c>
      <c r="E1191" s="404" t="n">
        <v>207</v>
      </c>
      <c r="F1191" s="404">
        <f>ROUND(Source!U1169,O1191)</f>
        <v/>
      </c>
      <c r="G1191" s="404" t="inlineStr">
        <is>
          <t>ТрудСтр</t>
        </is>
      </c>
      <c r="H1191" s="404" t="inlineStr">
        <is>
          <t>Трудозатраты строителей</t>
        </is>
      </c>
      <c r="I1191" s="404" t="n"/>
      <c r="J1191" s="404" t="n"/>
      <c r="K1191" s="404" t="n">
        <v>207</v>
      </c>
      <c r="L1191" s="404" t="n">
        <v>21</v>
      </c>
      <c r="M1191" s="404" t="n">
        <v>3</v>
      </c>
      <c r="N1191" s="404" t="inlineStr"/>
      <c r="O1191" s="404" t="n">
        <v>7</v>
      </c>
      <c r="P1191" s="404" t="n"/>
      <c r="Q1191" s="404" t="n"/>
      <c r="R1191" s="404" t="n"/>
      <c r="S1191" s="404" t="n"/>
      <c r="T1191" s="404" t="n"/>
      <c r="U1191" s="404" t="n"/>
      <c r="V1191" s="404" t="n"/>
      <c r="W1191" s="404" t="n">
        <v>0</v>
      </c>
      <c r="X1191" s="404" t="n">
        <v>1</v>
      </c>
      <c r="Y1191" s="404" t="n">
        <v>0</v>
      </c>
      <c r="Z1191" s="404" t="n"/>
      <c r="AA1191" s="404" t="n"/>
      <c r="AB1191" s="404" t="n"/>
    </row>
    <row r="1192">
      <c r="A1192" s="404" t="n">
        <v>50</v>
      </c>
      <c r="B1192" s="404" t="n">
        <v>0</v>
      </c>
      <c r="C1192" s="404" t="n">
        <v>0</v>
      </c>
      <c r="D1192" s="404" t="n">
        <v>1</v>
      </c>
      <c r="E1192" s="404" t="n">
        <v>208</v>
      </c>
      <c r="F1192" s="404">
        <f>ROUND(Source!V1169,O1192)</f>
        <v/>
      </c>
      <c r="G1192" s="404" t="inlineStr">
        <is>
          <t>ТрудМаш</t>
        </is>
      </c>
      <c r="H1192" s="404" t="inlineStr">
        <is>
          <t>Трудозатраты машинистов</t>
        </is>
      </c>
      <c r="I1192" s="404" t="n"/>
      <c r="J1192" s="404" t="n"/>
      <c r="K1192" s="404" t="n">
        <v>208</v>
      </c>
      <c r="L1192" s="404" t="n">
        <v>22</v>
      </c>
      <c r="M1192" s="404" t="n">
        <v>3</v>
      </c>
      <c r="N1192" s="404" t="inlineStr"/>
      <c r="O1192" s="404" t="n">
        <v>7</v>
      </c>
      <c r="P1192" s="404" t="n"/>
      <c r="Q1192" s="404" t="n"/>
      <c r="R1192" s="404" t="n"/>
      <c r="S1192" s="404" t="n"/>
      <c r="T1192" s="404" t="n"/>
      <c r="U1192" s="404" t="n"/>
      <c r="V1192" s="404" t="n"/>
      <c r="W1192" s="404" t="n">
        <v>0</v>
      </c>
      <c r="X1192" s="404" t="n">
        <v>1</v>
      </c>
      <c r="Y1192" s="404" t="n">
        <v>0</v>
      </c>
      <c r="Z1192" s="404" t="n"/>
      <c r="AA1192" s="404" t="n"/>
      <c r="AB1192" s="404" t="n"/>
    </row>
    <row r="1193">
      <c r="A1193" s="404" t="n">
        <v>50</v>
      </c>
      <c r="B1193" s="404" t="n">
        <v>0</v>
      </c>
      <c r="C1193" s="404" t="n">
        <v>0</v>
      </c>
      <c r="D1193" s="404" t="n">
        <v>1</v>
      </c>
      <c r="E1193" s="404" t="n">
        <v>209</v>
      </c>
      <c r="F1193" s="404">
        <f>ROUND(Source!W1169,O1193)</f>
        <v/>
      </c>
      <c r="G1193" s="404" t="inlineStr">
        <is>
          <t>ТранспМат</t>
        </is>
      </c>
      <c r="H1193" s="404" t="inlineStr">
        <is>
          <t>Транспорт материалов</t>
        </is>
      </c>
      <c r="I1193" s="404" t="n"/>
      <c r="J1193" s="404" t="n"/>
      <c r="K1193" s="404" t="n">
        <v>209</v>
      </c>
      <c r="L1193" s="404" t="n">
        <v>23</v>
      </c>
      <c r="M1193" s="404" t="n">
        <v>3</v>
      </c>
      <c r="N1193" s="404" t="inlineStr"/>
      <c r="O1193" s="404" t="n">
        <v>0</v>
      </c>
      <c r="P1193" s="404" t="n"/>
      <c r="Q1193" s="404" t="n"/>
      <c r="R1193" s="404" t="n"/>
      <c r="S1193" s="404" t="n"/>
      <c r="T1193" s="404" t="n"/>
      <c r="U1193" s="404" t="n"/>
      <c r="V1193" s="404" t="n"/>
      <c r="W1193" s="404" t="n">
        <v>0</v>
      </c>
      <c r="X1193" s="404" t="n">
        <v>1</v>
      </c>
      <c r="Y1193" s="404" t="n">
        <v>0</v>
      </c>
      <c r="Z1193" s="404" t="n"/>
      <c r="AA1193" s="404" t="n"/>
      <c r="AB1193" s="404" t="n"/>
    </row>
    <row r="1194">
      <c r="A1194" s="404" t="n">
        <v>50</v>
      </c>
      <c r="B1194" s="404" t="n">
        <v>0</v>
      </c>
      <c r="C1194" s="404" t="n">
        <v>0</v>
      </c>
      <c r="D1194" s="404" t="n">
        <v>1</v>
      </c>
      <c r="E1194" s="404" t="n">
        <v>233</v>
      </c>
      <c r="F1194" s="404">
        <f>ROUND(Source!BD1169,O1194)</f>
        <v/>
      </c>
      <c r="G1194" s="404" t="inlineStr">
        <is>
          <t>Перевозка</t>
        </is>
      </c>
      <c r="H1194" s="404" t="inlineStr">
        <is>
          <t>Перевозка грузов</t>
        </is>
      </c>
      <c r="I1194" s="404" t="n"/>
      <c r="J1194" s="404" t="n"/>
      <c r="K1194" s="404" t="n">
        <v>233</v>
      </c>
      <c r="L1194" s="404" t="n">
        <v>24</v>
      </c>
      <c r="M1194" s="404" t="n">
        <v>3</v>
      </c>
      <c r="N1194" s="404" t="inlineStr"/>
      <c r="O1194" s="404" t="n">
        <v>0</v>
      </c>
      <c r="P1194" s="404" t="n"/>
      <c r="Q1194" s="404" t="n"/>
      <c r="R1194" s="404" t="n"/>
      <c r="S1194" s="404" t="n"/>
      <c r="T1194" s="404" t="n"/>
      <c r="U1194" s="404" t="n"/>
      <c r="V1194" s="404" t="n"/>
      <c r="W1194" s="404" t="n">
        <v>0</v>
      </c>
      <c r="X1194" s="404" t="n">
        <v>1</v>
      </c>
      <c r="Y1194" s="404" t="n">
        <v>0</v>
      </c>
      <c r="Z1194" s="404" t="n"/>
      <c r="AA1194" s="404" t="n"/>
      <c r="AB1194" s="404" t="n"/>
    </row>
    <row r="1195">
      <c r="A1195" s="404" t="n">
        <v>50</v>
      </c>
      <c r="B1195" s="404" t="n">
        <v>0</v>
      </c>
      <c r="C1195" s="404" t="n">
        <v>0</v>
      </c>
      <c r="D1195" s="404" t="n">
        <v>1</v>
      </c>
      <c r="E1195" s="404" t="n">
        <v>210</v>
      </c>
      <c r="F1195" s="404">
        <f>ROUND(Source!X1169,O1195)</f>
        <v/>
      </c>
      <c r="G1195" s="404" t="inlineStr">
        <is>
          <t>НР</t>
        </is>
      </c>
      <c r="H1195" s="404" t="inlineStr">
        <is>
          <t>Накладные расходы</t>
        </is>
      </c>
      <c r="I1195" s="404" t="n"/>
      <c r="J1195" s="404" t="n"/>
      <c r="K1195" s="404" t="n">
        <v>210</v>
      </c>
      <c r="L1195" s="404" t="n">
        <v>25</v>
      </c>
      <c r="M1195" s="404" t="n">
        <v>3</v>
      </c>
      <c r="N1195" s="404" t="inlineStr"/>
      <c r="O1195" s="404" t="n">
        <v>0</v>
      </c>
      <c r="P1195" s="404" t="n"/>
      <c r="Q1195" s="404" t="n"/>
      <c r="R1195" s="404" t="n"/>
      <c r="S1195" s="404" t="n"/>
      <c r="T1195" s="404" t="n"/>
      <c r="U1195" s="404" t="n"/>
      <c r="V1195" s="404" t="n"/>
      <c r="W1195" s="404" t="n">
        <v>0</v>
      </c>
      <c r="X1195" s="404" t="n">
        <v>1</v>
      </c>
      <c r="Y1195" s="404" t="n">
        <v>0</v>
      </c>
      <c r="Z1195" s="404" t="n"/>
      <c r="AA1195" s="404" t="n"/>
      <c r="AB1195" s="404" t="n"/>
    </row>
    <row r="1196">
      <c r="A1196" s="404" t="n">
        <v>50</v>
      </c>
      <c r="B1196" s="404" t="n">
        <v>0</v>
      </c>
      <c r="C1196" s="404" t="n">
        <v>0</v>
      </c>
      <c r="D1196" s="404" t="n">
        <v>1</v>
      </c>
      <c r="E1196" s="404" t="n">
        <v>211</v>
      </c>
      <c r="F1196" s="404">
        <f>ROUND(Source!Y1169,O1196)</f>
        <v/>
      </c>
      <c r="G1196" s="404" t="inlineStr">
        <is>
          <t>СмПриб</t>
        </is>
      </c>
      <c r="H1196" s="404" t="inlineStr">
        <is>
          <t>Сметная прибыль</t>
        </is>
      </c>
      <c r="I1196" s="404" t="n"/>
      <c r="J1196" s="404" t="n"/>
      <c r="K1196" s="404" t="n">
        <v>211</v>
      </c>
      <c r="L1196" s="404" t="n">
        <v>26</v>
      </c>
      <c r="M1196" s="404" t="n">
        <v>3</v>
      </c>
      <c r="N1196" s="404" t="inlineStr"/>
      <c r="O1196" s="404" t="n">
        <v>0</v>
      </c>
      <c r="P1196" s="404" t="n"/>
      <c r="Q1196" s="404" t="n"/>
      <c r="R1196" s="404" t="n"/>
      <c r="S1196" s="404" t="n"/>
      <c r="T1196" s="404" t="n"/>
      <c r="U1196" s="404" t="n"/>
      <c r="V1196" s="404" t="n"/>
      <c r="W1196" s="404" t="n">
        <v>0</v>
      </c>
      <c r="X1196" s="404" t="n">
        <v>1</v>
      </c>
      <c r="Y1196" s="404" t="n">
        <v>0</v>
      </c>
      <c r="Z1196" s="404" t="n"/>
      <c r="AA1196" s="404" t="n"/>
      <c r="AB1196" s="404" t="n"/>
    </row>
    <row r="1197">
      <c r="A1197" s="404" t="n">
        <v>50</v>
      </c>
      <c r="B1197" s="404" t="n">
        <v>0</v>
      </c>
      <c r="C1197" s="404" t="n">
        <v>0</v>
      </c>
      <c r="D1197" s="404" t="n">
        <v>1</v>
      </c>
      <c r="E1197" s="404" t="n">
        <v>224</v>
      </c>
      <c r="F1197" s="404">
        <f>ROUND(Source!AR1169,O1197)</f>
        <v/>
      </c>
      <c r="G1197" s="404" t="inlineStr">
        <is>
          <t>Всего</t>
        </is>
      </c>
      <c r="H1197" s="404" t="inlineStr">
        <is>
          <t>Всего с НР и СП</t>
        </is>
      </c>
      <c r="I1197" s="404" t="n"/>
      <c r="J1197" s="404" t="n"/>
      <c r="K1197" s="404" t="n">
        <v>224</v>
      </c>
      <c r="L1197" s="404" t="n">
        <v>27</v>
      </c>
      <c r="M1197" s="404" t="n">
        <v>3</v>
      </c>
      <c r="N1197" s="404" t="inlineStr"/>
      <c r="O1197" s="404" t="n">
        <v>0</v>
      </c>
      <c r="P1197" s="404" t="n"/>
      <c r="Q1197" s="404" t="n"/>
      <c r="R1197" s="404" t="n"/>
      <c r="S1197" s="404" t="n"/>
      <c r="T1197" s="404" t="n"/>
      <c r="U1197" s="404" t="n"/>
      <c r="V1197" s="404" t="n"/>
      <c r="W1197" s="404" t="n">
        <v>0</v>
      </c>
      <c r="X1197" s="404" t="n">
        <v>1</v>
      </c>
      <c r="Y1197" s="404" t="n">
        <v>0</v>
      </c>
      <c r="Z1197" s="404" t="n"/>
      <c r="AA1197" s="404" t="n"/>
      <c r="AB1197" s="404" t="n"/>
    </row>
    <row r="1198">
      <c r="A1198" s="404" t="n">
        <v>50</v>
      </c>
      <c r="B1198" s="404" t="n">
        <v>0</v>
      </c>
      <c r="C1198" s="404" t="n">
        <v>0</v>
      </c>
      <c r="D1198" s="404" t="n">
        <v>2</v>
      </c>
      <c r="E1198" s="404" t="n">
        <v>0</v>
      </c>
      <c r="F1198" s="404">
        <f>ROUND(F1197,O1198)</f>
        <v/>
      </c>
      <c r="G1198" s="404" t="inlineStr">
        <is>
          <t>и1</t>
        </is>
      </c>
      <c r="H1198" s="404" t="inlineStr">
        <is>
          <t>Итого</t>
        </is>
      </c>
      <c r="I1198" s="404" t="n"/>
      <c r="J1198" s="404" t="n"/>
      <c r="K1198" s="404" t="n">
        <v>212</v>
      </c>
      <c r="L1198" s="404" t="n">
        <v>28</v>
      </c>
      <c r="M1198" s="404" t="n">
        <v>0</v>
      </c>
      <c r="N1198" s="404" t="inlineStr"/>
      <c r="O1198" s="404" t="n">
        <v>0</v>
      </c>
      <c r="P1198" s="404" t="n"/>
      <c r="Q1198" s="404" t="n"/>
      <c r="R1198" s="404" t="n"/>
      <c r="S1198" s="404" t="n"/>
      <c r="T1198" s="404" t="n"/>
      <c r="U1198" s="404" t="n"/>
      <c r="V1198" s="404" t="n"/>
      <c r="W1198" s="404" t="n">
        <v>0</v>
      </c>
      <c r="X1198" s="404" t="n">
        <v>1</v>
      </c>
      <c r="Y1198" s="404" t="n">
        <v>0</v>
      </c>
      <c r="Z1198" s="404" t="n"/>
      <c r="AA1198" s="404" t="n"/>
      <c r="AB1198" s="404" t="n"/>
    </row>
    <row r="1199">
      <c r="A1199" s="404" t="n">
        <v>50</v>
      </c>
      <c r="B1199" s="404" t="n">
        <v>0</v>
      </c>
      <c r="C1199" s="404" t="n">
        <v>0</v>
      </c>
      <c r="D1199" s="404" t="n">
        <v>2</v>
      </c>
      <c r="E1199" s="404" t="n">
        <v>0</v>
      </c>
      <c r="F1199" s="404">
        <f>ROUND(F1198*0.22,O1199)</f>
        <v/>
      </c>
      <c r="G1199" s="404" t="inlineStr">
        <is>
          <t>и2</t>
        </is>
      </c>
      <c r="H1199" s="404" t="inlineStr">
        <is>
          <t>НДС 22%</t>
        </is>
      </c>
      <c r="I1199" s="404" t="n"/>
      <c r="J1199" s="404" t="n"/>
      <c r="K1199" s="404" t="n">
        <v>212</v>
      </c>
      <c r="L1199" s="404" t="n">
        <v>29</v>
      </c>
      <c r="M1199" s="404" t="n">
        <v>0</v>
      </c>
      <c r="N1199" s="404" t="inlineStr"/>
      <c r="O1199" s="404" t="n">
        <v>0</v>
      </c>
      <c r="P1199" s="404" t="n"/>
      <c r="Q1199" s="404" t="n"/>
      <c r="R1199" s="404" t="n"/>
      <c r="S1199" s="404" t="n"/>
      <c r="T1199" s="404" t="n"/>
      <c r="U1199" s="404" t="n"/>
      <c r="V1199" s="404" t="n"/>
      <c r="W1199" s="404" t="n">
        <v>0</v>
      </c>
      <c r="X1199" s="404" t="n">
        <v>1</v>
      </c>
      <c r="Y1199" s="404" t="n">
        <v>0</v>
      </c>
      <c r="Z1199" s="404" t="n"/>
      <c r="AA1199" s="404" t="n"/>
      <c r="AB1199" s="404" t="n"/>
    </row>
    <row r="1200">
      <c r="A1200" s="404" t="n">
        <v>50</v>
      </c>
      <c r="B1200" s="404" t="n">
        <v>0</v>
      </c>
      <c r="C1200" s="404" t="n">
        <v>0</v>
      </c>
      <c r="D1200" s="404" t="n">
        <v>2</v>
      </c>
      <c r="E1200" s="404" t="n">
        <v>213</v>
      </c>
      <c r="F1200" s="404">
        <f>ROUND(F1198+F1199,O1200)</f>
        <v/>
      </c>
      <c r="G1200" s="404" t="inlineStr">
        <is>
          <t>и3</t>
        </is>
      </c>
      <c r="H1200" s="404" t="inlineStr">
        <is>
          <t>Всего</t>
        </is>
      </c>
      <c r="I1200" s="404" t="n"/>
      <c r="J1200" s="404" t="n"/>
      <c r="K1200" s="404" t="n">
        <v>212</v>
      </c>
      <c r="L1200" s="404" t="n">
        <v>30</v>
      </c>
      <c r="M1200" s="404" t="n">
        <v>0</v>
      </c>
      <c r="N1200" s="404" t="inlineStr"/>
      <c r="O1200" s="404" t="n">
        <v>0</v>
      </c>
      <c r="P1200" s="404" t="n"/>
      <c r="Q1200" s="404" t="n"/>
      <c r="R1200" s="404" t="n"/>
      <c r="S1200" s="404" t="n"/>
      <c r="T1200" s="404" t="n"/>
      <c r="U1200" s="404" t="n"/>
      <c r="V1200" s="404" t="n"/>
      <c r="W1200" s="404" t="n">
        <v>0</v>
      </c>
      <c r="X1200" s="404" t="n">
        <v>1</v>
      </c>
      <c r="Y1200" s="404" t="n">
        <v>0</v>
      </c>
      <c r="Z1200" s="404" t="n"/>
      <c r="AA1200" s="404" t="n"/>
      <c r="AB1200" s="404" t="n"/>
    </row>
    <row r="1201"/>
    <row r="1202">
      <c r="A1202" s="401" t="n">
        <v>3</v>
      </c>
      <c r="B1202" s="401" t="n">
        <v>0</v>
      </c>
      <c r="C1202" s="401" t="n"/>
      <c r="D1202" s="401">
        <f>ROW(A1221)</f>
        <v/>
      </c>
      <c r="E1202" s="401" t="n"/>
      <c r="F1202" s="401" t="inlineStr">
        <is>
          <t>Новая локальная смета</t>
        </is>
      </c>
      <c r="G1202" s="401" t="inlineStr">
        <is>
          <t>Молодежная 3</t>
        </is>
      </c>
      <c r="H1202" s="401" t="inlineStr"/>
      <c r="I1202" s="401" t="n">
        <v>0</v>
      </c>
      <c r="J1202" s="401" t="inlineStr"/>
      <c r="K1202" s="401" t="n">
        <v>0</v>
      </c>
      <c r="L1202" s="401" t="inlineStr">
        <is>
          <t>Новая локальная смета</t>
        </is>
      </c>
      <c r="M1202" s="401" t="inlineStr"/>
      <c r="N1202" s="401" t="n"/>
      <c r="O1202" s="401" t="n"/>
      <c r="P1202" s="401" t="n"/>
      <c r="Q1202" s="401" t="n"/>
      <c r="R1202" s="401" t="n"/>
      <c r="S1202" s="401" t="n">
        <v>0</v>
      </c>
      <c r="T1202" s="401" t="n"/>
      <c r="U1202" s="401" t="inlineStr"/>
      <c r="V1202" s="401" t="n">
        <v>0</v>
      </c>
      <c r="W1202" s="401" t="n"/>
      <c r="X1202" s="401" t="n"/>
      <c r="Y1202" s="401" t="n"/>
      <c r="Z1202" s="401" t="n"/>
      <c r="AA1202" s="401" t="n"/>
      <c r="AB1202" s="401" t="inlineStr"/>
      <c r="AC1202" s="401" t="inlineStr"/>
      <c r="AD1202" s="401" t="inlineStr"/>
      <c r="AE1202" s="401" t="inlineStr"/>
      <c r="AF1202" s="401" t="inlineStr"/>
      <c r="AG1202" s="401" t="inlineStr"/>
      <c r="AH1202" s="401" t="n"/>
      <c r="AI1202" s="401" t="n"/>
      <c r="AJ1202" s="401" t="n"/>
      <c r="AK1202" s="401" t="n"/>
      <c r="AL1202" s="401" t="n"/>
      <c r="AM1202" s="401" t="n"/>
      <c r="AN1202" s="401" t="n"/>
      <c r="AO1202" s="401" t="n"/>
      <c r="AP1202" s="401" t="inlineStr"/>
      <c r="AQ1202" s="401" t="inlineStr"/>
      <c r="AR1202" s="401" t="inlineStr"/>
      <c r="AS1202" s="401" t="n"/>
      <c r="AT1202" s="401" t="n"/>
      <c r="AU1202" s="401" t="n"/>
      <c r="AV1202" s="401" t="n"/>
      <c r="AW1202" s="401" t="n"/>
      <c r="AX1202" s="401" t="n"/>
      <c r="AY1202" s="401" t="n"/>
      <c r="AZ1202" s="401" t="inlineStr"/>
      <c r="BA1202" s="401" t="n"/>
      <c r="BB1202" s="401" t="inlineStr"/>
      <c r="BC1202" s="401" t="inlineStr"/>
      <c r="BD1202" s="401" t="inlineStr"/>
      <c r="BE1202" s="401" t="inlineStr"/>
      <c r="BF1202" s="401" t="inlineStr"/>
      <c r="BG1202" s="401" t="inlineStr"/>
      <c r="BH1202" s="401" t="inlineStr"/>
      <c r="BI1202" s="401" t="inlineStr"/>
      <c r="BJ1202" s="401" t="inlineStr"/>
      <c r="BK1202" s="401" t="inlineStr"/>
      <c r="BL1202" s="401" t="inlineStr"/>
      <c r="BM1202" s="401" t="inlineStr"/>
      <c r="BN1202" s="401" t="inlineStr"/>
      <c r="BO1202" s="401" t="inlineStr"/>
      <c r="BP1202" s="401" t="inlineStr"/>
      <c r="BQ1202" s="401" t="n"/>
      <c r="BR1202" s="401" t="n"/>
      <c r="BS1202" s="401" t="n"/>
      <c r="BT1202" s="401" t="n"/>
      <c r="BU1202" s="401" t="n"/>
      <c r="BV1202" s="401" t="n"/>
      <c r="BW1202" s="401" t="n"/>
      <c r="BX1202" s="401" t="n">
        <v>0</v>
      </c>
      <c r="BY1202" s="401" t="n"/>
      <c r="BZ1202" s="401" t="n"/>
      <c r="CA1202" s="401" t="n"/>
      <c r="CB1202" s="401" t="n"/>
      <c r="CC1202" s="401" t="n"/>
      <c r="CD1202" s="401" t="n"/>
      <c r="CE1202" s="401" t="n"/>
      <c r="CF1202" s="401" t="n">
        <v>0</v>
      </c>
      <c r="CG1202" s="401" t="n">
        <v>0</v>
      </c>
      <c r="CH1202" s="401" t="n"/>
      <c r="CI1202" s="401" t="inlineStr"/>
      <c r="CJ1202" s="401" t="inlineStr"/>
      <c r="CK1202" t="inlineStr"/>
      <c r="CL1202" t="inlineStr"/>
      <c r="CM1202" t="inlineStr"/>
      <c r="CN1202" t="inlineStr"/>
      <c r="CO1202" t="inlineStr"/>
      <c r="CP1202" t="inlineStr"/>
      <c r="CQ1202" t="inlineStr"/>
    </row>
    <row r="1203"/>
    <row r="1204">
      <c r="A1204" s="402" t="n">
        <v>52</v>
      </c>
      <c r="B1204" s="402">
        <f>B1221</f>
        <v/>
      </c>
      <c r="C1204" s="402">
        <f>C1221</f>
        <v/>
      </c>
      <c r="D1204" s="402">
        <f>D1221</f>
        <v/>
      </c>
      <c r="E1204" s="402">
        <f>E1221</f>
        <v/>
      </c>
      <c r="F1204" s="402">
        <f>F1221</f>
        <v/>
      </c>
      <c r="G1204" s="402">
        <f>G1221</f>
        <v/>
      </c>
      <c r="H1204" s="402" t="n"/>
      <c r="I1204" s="402" t="n"/>
      <c r="J1204" s="402" t="n"/>
      <c r="K1204" s="402" t="n"/>
      <c r="L1204" s="402" t="n"/>
      <c r="M1204" s="402" t="n"/>
      <c r="N1204" s="402" t="n"/>
      <c r="O1204" s="402">
        <f>O1221</f>
        <v/>
      </c>
      <c r="P1204" s="402">
        <f>P1221</f>
        <v/>
      </c>
      <c r="Q1204" s="402">
        <f>Q1221</f>
        <v/>
      </c>
      <c r="R1204" s="402">
        <f>R1221</f>
        <v/>
      </c>
      <c r="S1204" s="402">
        <f>S1221</f>
        <v/>
      </c>
      <c r="T1204" s="402">
        <f>T1221</f>
        <v/>
      </c>
      <c r="U1204" s="402">
        <f>U1221</f>
        <v/>
      </c>
      <c r="V1204" s="402">
        <f>V1221</f>
        <v/>
      </c>
      <c r="W1204" s="402">
        <f>W1221</f>
        <v/>
      </c>
      <c r="X1204" s="402">
        <f>X1221</f>
        <v/>
      </c>
      <c r="Y1204" s="402">
        <f>Y1221</f>
        <v/>
      </c>
      <c r="Z1204" s="402">
        <f>Z1221</f>
        <v/>
      </c>
      <c r="AA1204" s="402">
        <f>AA1221</f>
        <v/>
      </c>
      <c r="AB1204" s="402">
        <f>AB1221</f>
        <v/>
      </c>
      <c r="AC1204" s="402">
        <f>AC1221</f>
        <v/>
      </c>
      <c r="AD1204" s="402">
        <f>AD1221</f>
        <v/>
      </c>
      <c r="AE1204" s="402">
        <f>AE1221</f>
        <v/>
      </c>
      <c r="AF1204" s="402">
        <f>AF1221</f>
        <v/>
      </c>
      <c r="AG1204" s="402">
        <f>AG1221</f>
        <v/>
      </c>
      <c r="AH1204" s="402">
        <f>AH1221</f>
        <v/>
      </c>
      <c r="AI1204" s="402">
        <f>AI1221</f>
        <v/>
      </c>
      <c r="AJ1204" s="402">
        <f>AJ1221</f>
        <v/>
      </c>
      <c r="AK1204" s="402">
        <f>AK1221</f>
        <v/>
      </c>
      <c r="AL1204" s="402">
        <f>AL1221</f>
        <v/>
      </c>
      <c r="AM1204" s="402">
        <f>AM1221</f>
        <v/>
      </c>
      <c r="AN1204" s="402">
        <f>AN1221</f>
        <v/>
      </c>
      <c r="AO1204" s="402">
        <f>AO1221</f>
        <v/>
      </c>
      <c r="AP1204" s="402">
        <f>AP1221</f>
        <v/>
      </c>
      <c r="AQ1204" s="402">
        <f>AQ1221</f>
        <v/>
      </c>
      <c r="AR1204" s="402">
        <f>AR1221</f>
        <v/>
      </c>
      <c r="AS1204" s="402">
        <f>AS1221</f>
        <v/>
      </c>
      <c r="AT1204" s="402">
        <f>AT1221</f>
        <v/>
      </c>
      <c r="AU1204" s="402">
        <f>AU1221</f>
        <v/>
      </c>
      <c r="AV1204" s="402">
        <f>AV1221</f>
        <v/>
      </c>
      <c r="AW1204" s="402">
        <f>AW1221</f>
        <v/>
      </c>
      <c r="AX1204" s="402">
        <f>AX1221</f>
        <v/>
      </c>
      <c r="AY1204" s="402">
        <f>AY1221</f>
        <v/>
      </c>
      <c r="AZ1204" s="402">
        <f>AZ1221</f>
        <v/>
      </c>
      <c r="BA1204" s="402">
        <f>BA1221</f>
        <v/>
      </c>
      <c r="BB1204" s="402">
        <f>BB1221</f>
        <v/>
      </c>
      <c r="BC1204" s="402">
        <f>BC1221</f>
        <v/>
      </c>
      <c r="BD1204" s="402">
        <f>BD1221</f>
        <v/>
      </c>
      <c r="BE1204" s="402">
        <f>BE1221</f>
        <v/>
      </c>
      <c r="BF1204" s="402">
        <f>BF1221</f>
        <v/>
      </c>
      <c r="BG1204" s="402">
        <f>BG1221</f>
        <v/>
      </c>
      <c r="BH1204" s="402">
        <f>BH1221</f>
        <v/>
      </c>
      <c r="BI1204" s="402">
        <f>BI1221</f>
        <v/>
      </c>
      <c r="BJ1204" s="402">
        <f>BJ1221</f>
        <v/>
      </c>
      <c r="BK1204" s="402">
        <f>BK1221</f>
        <v/>
      </c>
      <c r="BL1204" s="402">
        <f>BL1221</f>
        <v/>
      </c>
      <c r="BM1204" s="402">
        <f>BM1221</f>
        <v/>
      </c>
      <c r="BN1204" s="402">
        <f>BN1221</f>
        <v/>
      </c>
      <c r="BO1204" s="402">
        <f>BO1221</f>
        <v/>
      </c>
      <c r="BP1204" s="402">
        <f>BP1221</f>
        <v/>
      </c>
      <c r="BQ1204" s="402">
        <f>BQ1221</f>
        <v/>
      </c>
      <c r="BR1204" s="402">
        <f>BR1221</f>
        <v/>
      </c>
      <c r="BS1204" s="402">
        <f>BS1221</f>
        <v/>
      </c>
      <c r="BT1204" s="402">
        <f>BT1221</f>
        <v/>
      </c>
      <c r="BU1204" s="402">
        <f>BU1221</f>
        <v/>
      </c>
      <c r="BV1204" s="402">
        <f>BV1221</f>
        <v/>
      </c>
      <c r="BW1204" s="402">
        <f>BW1221</f>
        <v/>
      </c>
      <c r="BX1204" s="402">
        <f>BX1221</f>
        <v/>
      </c>
      <c r="BY1204" s="402">
        <f>BY1221</f>
        <v/>
      </c>
      <c r="BZ1204" s="402">
        <f>BZ1221</f>
        <v/>
      </c>
      <c r="CA1204" s="402">
        <f>CA1221</f>
        <v/>
      </c>
      <c r="CB1204" s="402">
        <f>CB1221</f>
        <v/>
      </c>
      <c r="CC1204" s="402">
        <f>CC1221</f>
        <v/>
      </c>
      <c r="CD1204" s="402">
        <f>CD1221</f>
        <v/>
      </c>
      <c r="CE1204" s="402">
        <f>CE1221</f>
        <v/>
      </c>
      <c r="CF1204" s="402">
        <f>CF1221</f>
        <v/>
      </c>
      <c r="CG1204" s="402">
        <f>CG1221</f>
        <v/>
      </c>
      <c r="CH1204" s="402">
        <f>CH1221</f>
        <v/>
      </c>
      <c r="CI1204" s="402">
        <f>CI1221</f>
        <v/>
      </c>
      <c r="CJ1204" s="402">
        <f>CJ1221</f>
        <v/>
      </c>
      <c r="CK1204" s="402">
        <f>CK1221</f>
        <v/>
      </c>
      <c r="CL1204" s="402">
        <f>CL1221</f>
        <v/>
      </c>
      <c r="CM1204" s="402">
        <f>CM1221</f>
        <v/>
      </c>
      <c r="CN1204" s="402">
        <f>CN1221</f>
        <v/>
      </c>
      <c r="CO1204" s="402">
        <f>CO1221</f>
        <v/>
      </c>
      <c r="CP1204" s="402">
        <f>CP1221</f>
        <v/>
      </c>
      <c r="CQ1204" s="402">
        <f>CQ1221</f>
        <v/>
      </c>
      <c r="CR1204" s="402">
        <f>CR1221</f>
        <v/>
      </c>
      <c r="CS1204" s="402">
        <f>CS1221</f>
        <v/>
      </c>
      <c r="CT1204" s="402">
        <f>CT1221</f>
        <v/>
      </c>
      <c r="CU1204" s="402">
        <f>CU1221</f>
        <v/>
      </c>
      <c r="CV1204" s="402">
        <f>CV1221</f>
        <v/>
      </c>
      <c r="CW1204" s="402">
        <f>CW1221</f>
        <v/>
      </c>
      <c r="CX1204" s="402">
        <f>CX1221</f>
        <v/>
      </c>
      <c r="CY1204" s="402">
        <f>CY1221</f>
        <v/>
      </c>
      <c r="CZ1204" s="402">
        <f>CZ1221</f>
        <v/>
      </c>
      <c r="DA1204" s="402">
        <f>DA1221</f>
        <v/>
      </c>
      <c r="DB1204" s="402">
        <f>DB1221</f>
        <v/>
      </c>
      <c r="DC1204" s="402">
        <f>DC1221</f>
        <v/>
      </c>
      <c r="DD1204" s="402">
        <f>DD1221</f>
        <v/>
      </c>
      <c r="DE1204" s="402">
        <f>DE1221</f>
        <v/>
      </c>
      <c r="DF1204" s="402">
        <f>DF1221</f>
        <v/>
      </c>
      <c r="DG1204" s="403">
        <f>DG1221</f>
        <v/>
      </c>
      <c r="DH1204" s="403">
        <f>DH1221</f>
        <v/>
      </c>
      <c r="DI1204" s="403">
        <f>DI1221</f>
        <v/>
      </c>
      <c r="DJ1204" s="403">
        <f>DJ1221</f>
        <v/>
      </c>
      <c r="DK1204" s="403">
        <f>DK1221</f>
        <v/>
      </c>
      <c r="DL1204" s="403">
        <f>DL1221</f>
        <v/>
      </c>
      <c r="DM1204" s="403">
        <f>DM1221</f>
        <v/>
      </c>
      <c r="DN1204" s="403">
        <f>DN1221</f>
        <v/>
      </c>
      <c r="DO1204" s="403">
        <f>DO1221</f>
        <v/>
      </c>
      <c r="DP1204" s="403">
        <f>DP1221</f>
        <v/>
      </c>
      <c r="DQ1204" s="403">
        <f>DQ1221</f>
        <v/>
      </c>
      <c r="DR1204" s="403">
        <f>DR1221</f>
        <v/>
      </c>
      <c r="DS1204" s="403">
        <f>DS1221</f>
        <v/>
      </c>
      <c r="DT1204" s="403">
        <f>DT1221</f>
        <v/>
      </c>
      <c r="DU1204" s="403">
        <f>DU1221</f>
        <v/>
      </c>
      <c r="DV1204" s="403">
        <f>DV1221</f>
        <v/>
      </c>
      <c r="DW1204" s="403">
        <f>DW1221</f>
        <v/>
      </c>
      <c r="DX1204" s="403">
        <f>DX1221</f>
        <v/>
      </c>
      <c r="DY1204" s="403">
        <f>DY1221</f>
        <v/>
      </c>
      <c r="DZ1204" s="403">
        <f>DZ1221</f>
        <v/>
      </c>
      <c r="EA1204" s="403">
        <f>EA1221</f>
        <v/>
      </c>
      <c r="EB1204" s="403">
        <f>EB1221</f>
        <v/>
      </c>
      <c r="EC1204" s="403">
        <f>EC1221</f>
        <v/>
      </c>
      <c r="ED1204" s="403">
        <f>ED1221</f>
        <v/>
      </c>
      <c r="EE1204" s="403">
        <f>EE1221</f>
        <v/>
      </c>
      <c r="EF1204" s="403">
        <f>EF1221</f>
        <v/>
      </c>
      <c r="EG1204" s="403">
        <f>EG1221</f>
        <v/>
      </c>
      <c r="EH1204" s="403">
        <f>EH1221</f>
        <v/>
      </c>
      <c r="EI1204" s="403">
        <f>EI1221</f>
        <v/>
      </c>
      <c r="EJ1204" s="403">
        <f>EJ1221</f>
        <v/>
      </c>
      <c r="EK1204" s="403">
        <f>EK1221</f>
        <v/>
      </c>
      <c r="EL1204" s="403">
        <f>EL1221</f>
        <v/>
      </c>
      <c r="EM1204" s="403">
        <f>EM1221</f>
        <v/>
      </c>
      <c r="EN1204" s="403">
        <f>EN1221</f>
        <v/>
      </c>
      <c r="EO1204" s="403">
        <f>EO1221</f>
        <v/>
      </c>
      <c r="EP1204" s="403">
        <f>EP1221</f>
        <v/>
      </c>
      <c r="EQ1204" s="403">
        <f>EQ1221</f>
        <v/>
      </c>
      <c r="ER1204" s="403">
        <f>ER1221</f>
        <v/>
      </c>
      <c r="ES1204" s="403">
        <f>ES1221</f>
        <v/>
      </c>
      <c r="ET1204" s="403">
        <f>ET1221</f>
        <v/>
      </c>
      <c r="EU1204" s="403">
        <f>EU1221</f>
        <v/>
      </c>
      <c r="EV1204" s="403">
        <f>EV1221</f>
        <v/>
      </c>
      <c r="EW1204" s="403">
        <f>EW1221</f>
        <v/>
      </c>
      <c r="EX1204" s="403">
        <f>EX1221</f>
        <v/>
      </c>
      <c r="EY1204" s="403">
        <f>EY1221</f>
        <v/>
      </c>
      <c r="EZ1204" s="403">
        <f>EZ1221</f>
        <v/>
      </c>
      <c r="FA1204" s="403">
        <f>FA1221</f>
        <v/>
      </c>
      <c r="FB1204" s="403">
        <f>FB1221</f>
        <v/>
      </c>
      <c r="FC1204" s="403">
        <f>FC1221</f>
        <v/>
      </c>
      <c r="FD1204" s="403">
        <f>FD1221</f>
        <v/>
      </c>
      <c r="FE1204" s="403">
        <f>FE1221</f>
        <v/>
      </c>
      <c r="FF1204" s="403">
        <f>FF1221</f>
        <v/>
      </c>
      <c r="FG1204" s="403">
        <f>FG1221</f>
        <v/>
      </c>
      <c r="FH1204" s="403">
        <f>FH1221</f>
        <v/>
      </c>
      <c r="FI1204" s="403">
        <f>FI1221</f>
        <v/>
      </c>
      <c r="FJ1204" s="403">
        <f>FJ1221</f>
        <v/>
      </c>
      <c r="FK1204" s="403">
        <f>FK1221</f>
        <v/>
      </c>
      <c r="FL1204" s="403">
        <f>FL1221</f>
        <v/>
      </c>
      <c r="FM1204" s="403">
        <f>FM1221</f>
        <v/>
      </c>
      <c r="FN1204" s="403">
        <f>FN1221</f>
        <v/>
      </c>
      <c r="FO1204" s="403">
        <f>FO1221</f>
        <v/>
      </c>
      <c r="FP1204" s="403">
        <f>FP1221</f>
        <v/>
      </c>
      <c r="FQ1204" s="403">
        <f>FQ1221</f>
        <v/>
      </c>
      <c r="FR1204" s="403">
        <f>FR1221</f>
        <v/>
      </c>
      <c r="FS1204" s="403">
        <f>FS1221</f>
        <v/>
      </c>
      <c r="FT1204" s="403">
        <f>FT1221</f>
        <v/>
      </c>
      <c r="FU1204" s="403">
        <f>FU1221</f>
        <v/>
      </c>
      <c r="FV1204" s="403">
        <f>FV1221</f>
        <v/>
      </c>
      <c r="FW1204" s="403">
        <f>FW1221</f>
        <v/>
      </c>
      <c r="FX1204" s="403">
        <f>FX1221</f>
        <v/>
      </c>
      <c r="FY1204" s="403">
        <f>FY1221</f>
        <v/>
      </c>
      <c r="FZ1204" s="403">
        <f>FZ1221</f>
        <v/>
      </c>
      <c r="GA1204" s="403">
        <f>GA1221</f>
        <v/>
      </c>
      <c r="GB1204" s="403">
        <f>GB1221</f>
        <v/>
      </c>
      <c r="GC1204" s="403">
        <f>GC1221</f>
        <v/>
      </c>
      <c r="GD1204" s="403">
        <f>GD1221</f>
        <v/>
      </c>
      <c r="GE1204" s="403">
        <f>GE1221</f>
        <v/>
      </c>
      <c r="GF1204" s="403">
        <f>GF1221</f>
        <v/>
      </c>
      <c r="GG1204" s="403">
        <f>GG1221</f>
        <v/>
      </c>
      <c r="GH1204" s="403">
        <f>GH1221</f>
        <v/>
      </c>
      <c r="GI1204" s="403">
        <f>GI1221</f>
        <v/>
      </c>
      <c r="GJ1204" s="403">
        <f>GJ1221</f>
        <v/>
      </c>
      <c r="GK1204" s="403">
        <f>GK1221</f>
        <v/>
      </c>
      <c r="GL1204" s="403">
        <f>GL1221</f>
        <v/>
      </c>
      <c r="GM1204" s="403">
        <f>GM1221</f>
        <v/>
      </c>
      <c r="GN1204" s="403">
        <f>GN1221</f>
        <v/>
      </c>
      <c r="GO1204" s="403">
        <f>GO1221</f>
        <v/>
      </c>
      <c r="GP1204" s="403">
        <f>GP1221</f>
        <v/>
      </c>
      <c r="GQ1204" s="403">
        <f>GQ1221</f>
        <v/>
      </c>
      <c r="GR1204" s="403">
        <f>GR1221</f>
        <v/>
      </c>
      <c r="GS1204" s="403">
        <f>GS1221</f>
        <v/>
      </c>
      <c r="GT1204" s="403">
        <f>GT1221</f>
        <v/>
      </c>
      <c r="GU1204" s="403">
        <f>GU1221</f>
        <v/>
      </c>
      <c r="GV1204" s="403">
        <f>GV1221</f>
        <v/>
      </c>
      <c r="GW1204" s="403">
        <f>GW1221</f>
        <v/>
      </c>
      <c r="GX1204" s="403">
        <f>GX1221</f>
        <v/>
      </c>
    </row>
    <row r="1205"/>
    <row r="1206">
      <c r="A1206" t="n">
        <v>17</v>
      </c>
      <c r="B1206" t="n">
        <v>0</v>
      </c>
      <c r="C1206">
        <f>ROW(SmtRes!A548)</f>
        <v/>
      </c>
      <c r="D1206">
        <f>ROW(EtalonRes!A503)</f>
        <v/>
      </c>
      <c r="E1206" t="inlineStr">
        <is>
          <t>1</t>
        </is>
      </c>
      <c r="F1206" t="inlineStr">
        <is>
          <t>65-10-1</t>
        </is>
      </c>
      <c r="G1206" t="inlineStr">
        <is>
          <t>Очистка канализационной сети внутренней</t>
        </is>
      </c>
      <c r="H1206" t="inlineStr">
        <is>
          <t>100 м трубопровода</t>
        </is>
      </c>
      <c r="I1206">
        <f>ROUND(ROUND(15/100,4),7)</f>
        <v/>
      </c>
      <c r="J1206" t="n">
        <v>0</v>
      </c>
      <c r="K1206">
        <f>ROUND(ROUND(15/100,4),7)</f>
        <v/>
      </c>
      <c r="O1206">
        <f>ROUND(CP1206,0)</f>
        <v/>
      </c>
      <c r="P1206">
        <f>ROUND(CQ1206*I1206,0)</f>
        <v/>
      </c>
      <c r="Q1206">
        <f>(ROUND((ROUND(((ET1206)*I1206),0)*BB1206),0)+ROUND((ROUND(((AE1206-(EU1206))*I1206),0)*BS1206),0))</f>
        <v/>
      </c>
      <c r="R1206">
        <f>(ROUND((ROUND(((EU1206)*I1206),0)*BS1206),0)+ROUND((ROUND(((AE1206-(EU1206))*I1206),0)*BS1206),0))</f>
        <v/>
      </c>
      <c r="S1206">
        <f>ROUND(CT1206*I1206,0)</f>
        <v/>
      </c>
      <c r="T1206">
        <f>ROUND(CU1206*I1206,0)</f>
        <v/>
      </c>
      <c r="U1206">
        <f>ROUND(CV1206*I1206,7)</f>
        <v/>
      </c>
      <c r="V1206">
        <f>ROUND(CW1206*I1206,7)</f>
        <v/>
      </c>
      <c r="W1206">
        <f>ROUND(CX1206*I1206,0)</f>
        <v/>
      </c>
      <c r="X1206">
        <f>ROUND(CY1206,0)</f>
        <v/>
      </c>
      <c r="Y1206">
        <f>ROUND(CZ1206,0)</f>
        <v/>
      </c>
      <c r="AA1206" t="n">
        <v>78869116</v>
      </c>
      <c r="AB1206">
        <f>ROUND((AC1206+AD1206+AF1206),2)</f>
        <v/>
      </c>
      <c r="AC1206">
        <f>ROUND((ES1206),2)</f>
        <v/>
      </c>
      <c r="AD1206">
        <f>ROUND((((ET1206)-(EU1206))+AE1206),2)</f>
        <v/>
      </c>
      <c r="AE1206">
        <f>ROUND((EU1206),2)</f>
        <v/>
      </c>
      <c r="AF1206">
        <f>ROUND((EV1206),2)</f>
        <v/>
      </c>
      <c r="AG1206">
        <f>ROUND((AP1206),2)</f>
        <v/>
      </c>
      <c r="AH1206">
        <f>(EW1206)</f>
        <v/>
      </c>
      <c r="AI1206">
        <f>(EX1206)</f>
        <v/>
      </c>
      <c r="AJ1206">
        <f>(AS1206)</f>
        <v/>
      </c>
      <c r="AK1206" t="n">
        <v>403.3</v>
      </c>
      <c r="AL1206" t="n">
        <v>139.36</v>
      </c>
      <c r="AM1206" t="n">
        <v>0.87</v>
      </c>
      <c r="AN1206" t="n">
        <v>0</v>
      </c>
      <c r="AO1206" t="n">
        <v>263.07</v>
      </c>
      <c r="AP1206" t="n">
        <v>0</v>
      </c>
      <c r="AQ1206" t="n">
        <v>32.2</v>
      </c>
      <c r="AR1206" t="n">
        <v>0</v>
      </c>
      <c r="AS1206" t="n">
        <v>0</v>
      </c>
      <c r="AT1206" t="n">
        <v>103</v>
      </c>
      <c r="AU1206" t="n">
        <v>52</v>
      </c>
      <c r="AV1206" t="n">
        <v>1</v>
      </c>
      <c r="AW1206" t="n">
        <v>1</v>
      </c>
      <c r="AZ1206" t="n">
        <v>1</v>
      </c>
      <c r="BA1206" t="n">
        <v>52.25</v>
      </c>
      <c r="BB1206" t="n">
        <v>25.03</v>
      </c>
      <c r="BC1206" t="n">
        <v>11.85</v>
      </c>
      <c r="BD1206" t="inlineStr"/>
      <c r="BE1206" t="inlineStr"/>
      <c r="BF1206" t="inlineStr"/>
      <c r="BG1206" t="inlineStr"/>
      <c r="BH1206" t="n">
        <v>0</v>
      </c>
      <c r="BI1206" t="n">
        <v>1</v>
      </c>
      <c r="BJ1206" t="inlineStr">
        <is>
          <t>ТЕРр Московской обл., 65-10-1, приказ Минстроя России №675/пр от 28.02.2017 № 263/пр</t>
        </is>
      </c>
      <c r="BM1206" t="n">
        <v>65007</v>
      </c>
      <c r="BN1206" t="n">
        <v>0</v>
      </c>
      <c r="BO1206" t="inlineStr">
        <is>
          <t>65-10-1</t>
        </is>
      </c>
      <c r="BP1206" t="n">
        <v>1</v>
      </c>
      <c r="BQ1206" t="n">
        <v>6</v>
      </c>
      <c r="BR1206" t="n">
        <v>0</v>
      </c>
      <c r="BS1206" t="n">
        <v>52.25</v>
      </c>
      <c r="BT1206" t="n">
        <v>1</v>
      </c>
      <c r="BU1206" t="n">
        <v>1</v>
      </c>
      <c r="BV1206" t="n">
        <v>1</v>
      </c>
      <c r="BW1206" t="n">
        <v>1</v>
      </c>
      <c r="BX1206" t="n">
        <v>1</v>
      </c>
      <c r="BY1206" t="inlineStr"/>
      <c r="BZ1206" t="n">
        <v>103</v>
      </c>
      <c r="CA1206" t="n">
        <v>52</v>
      </c>
      <c r="CB1206" t="inlineStr"/>
      <c r="CE1206" t="n">
        <v>12</v>
      </c>
      <c r="CF1206" t="n">
        <v>0</v>
      </c>
      <c r="CG1206" t="n">
        <v>0</v>
      </c>
      <c r="CM1206" t="n">
        <v>0</v>
      </c>
      <c r="CN1206" t="inlineStr"/>
      <c r="CO1206" t="n">
        <v>0</v>
      </c>
      <c r="CP1206">
        <f>(P1206+Q1206+S1206)</f>
        <v/>
      </c>
      <c r="CQ1206">
        <f>AC1206*BC1206</f>
        <v/>
      </c>
      <c r="CR1206">
        <f>(ROUND((ROUND(((ET1206)*1),0)*BB1206),0)+ROUND((ROUND(((AE1206-(EU1206))*1),0)*BS1206),0))</f>
        <v/>
      </c>
      <c r="CS1206">
        <f>(ROUND((ROUND(((EU1206)*1),0)*BS1206),0)+ROUND((ROUND(((AE1206-(EU1206))*1),0)*BS1206),0))</f>
        <v/>
      </c>
      <c r="CT1206">
        <f>AF1206*BA1206</f>
        <v/>
      </c>
      <c r="CU1206">
        <f>AG1206</f>
        <v/>
      </c>
      <c r="CV1206">
        <f>AH1206</f>
        <v/>
      </c>
      <c r="CW1206">
        <f>AI1206</f>
        <v/>
      </c>
      <c r="CX1206">
        <f>AJ1206</f>
        <v/>
      </c>
      <c r="CY1206">
        <f>(((S1206+R1206)*AT1206)/100)</f>
        <v/>
      </c>
      <c r="CZ1206">
        <f>(((S1206+R1206)*AU1206)/100)</f>
        <v/>
      </c>
      <c r="DC1206" t="inlineStr"/>
      <c r="DD1206" t="inlineStr"/>
      <c r="DE1206" t="inlineStr"/>
      <c r="DF1206" t="inlineStr"/>
      <c r="DG1206" t="inlineStr"/>
      <c r="DH1206" t="inlineStr"/>
      <c r="DI1206" t="inlineStr"/>
      <c r="DJ1206" t="inlineStr"/>
      <c r="DK1206" t="inlineStr"/>
      <c r="DL1206" t="inlineStr"/>
      <c r="DM1206" t="inlineStr"/>
      <c r="DN1206" t="n">
        <v>0</v>
      </c>
      <c r="DO1206" t="n">
        <v>0</v>
      </c>
      <c r="DP1206" t="n">
        <v>1</v>
      </c>
      <c r="DQ1206" t="n">
        <v>1</v>
      </c>
      <c r="DU1206" t="n">
        <v>1013</v>
      </c>
      <c r="DV1206" t="inlineStr">
        <is>
          <t>100 м трубопровода</t>
        </is>
      </c>
      <c r="DW1206" t="inlineStr">
        <is>
          <t>100 м трубопровода</t>
        </is>
      </c>
      <c r="DX1206" t="n">
        <v>1</v>
      </c>
      <c r="DZ1206" t="inlineStr"/>
      <c r="EA1206" t="inlineStr"/>
      <c r="EB1206" t="inlineStr"/>
      <c r="EC1206" t="inlineStr"/>
      <c r="EE1206" t="n">
        <v>78726000</v>
      </c>
      <c r="EF1206" t="n">
        <v>6</v>
      </c>
      <c r="EG1206" t="inlineStr">
        <is>
          <t>Ремонтно-строительные работы</t>
        </is>
      </c>
      <c r="EH1206" t="n">
        <v>99</v>
      </c>
      <c r="EI1206" t="inlineStr">
        <is>
          <t>Внутренние санитарно-технические работы</t>
        </is>
      </c>
      <c r="EJ1206" t="n">
        <v>1</v>
      </c>
      <c r="EK1206" t="n">
        <v>65007</v>
      </c>
      <c r="EL1206" t="inlineStr">
        <is>
          <t>Внутренние санитарнотехнические работы: смена труб, санприборов, запорной арматуры и другое</t>
        </is>
      </c>
      <c r="EM1206" t="inlineStr">
        <is>
          <t>рФЕР-65</t>
        </is>
      </c>
      <c r="EO1206" t="inlineStr"/>
      <c r="EQ1206" t="n">
        <v>0</v>
      </c>
      <c r="ER1206" t="n">
        <v>403.3</v>
      </c>
      <c r="ES1206" t="n">
        <v>139.36</v>
      </c>
      <c r="ET1206" t="n">
        <v>0.87</v>
      </c>
      <c r="EU1206" t="n">
        <v>0</v>
      </c>
      <c r="EV1206" t="n">
        <v>263.07</v>
      </c>
      <c r="EW1206" t="n">
        <v>32.2</v>
      </c>
      <c r="EX1206" t="n">
        <v>0</v>
      </c>
      <c r="EY1206" t="n">
        <v>0</v>
      </c>
      <c r="FQ1206" t="n">
        <v>0</v>
      </c>
      <c r="FR1206" t="n">
        <v>0</v>
      </c>
      <c r="FS1206" t="n">
        <v>0</v>
      </c>
      <c r="FX1206" t="n">
        <v>103</v>
      </c>
      <c r="FY1206" t="n">
        <v>52</v>
      </c>
      <c r="GA1206" t="inlineStr"/>
      <c r="GD1206" t="n">
        <v>1</v>
      </c>
      <c r="GF1206" t="n">
        <v>-66904957</v>
      </c>
      <c r="GG1206" t="n">
        <v>2</v>
      </c>
      <c r="GH1206" t="n">
        <v>1</v>
      </c>
      <c r="GI1206" t="n">
        <v>2</v>
      </c>
      <c r="GJ1206" t="n">
        <v>0</v>
      </c>
      <c r="GK1206" t="n">
        <v>0</v>
      </c>
      <c r="GL1206">
        <f>ROUND(IF(AND(BH1206=3,BI1206=3,FS1206&lt;&gt;0),P1206,0),0)</f>
        <v/>
      </c>
      <c r="GM1206">
        <f>ROUND(O1206+X1206+Y1206,0)+GX1206</f>
        <v/>
      </c>
      <c r="GN1206">
        <f>IF(OR(BI1206=0,BI1206=1),GM1206-GX1206,0)</f>
        <v/>
      </c>
      <c r="GO1206">
        <f>IF(BI1206=2,GM1206-GX1206,0)</f>
        <v/>
      </c>
      <c r="GP1206">
        <f>IF(BI1206=4,GM1206-GX1206,0)</f>
        <v/>
      </c>
      <c r="GR1206" t="n">
        <v>0</v>
      </c>
      <c r="GS1206" t="n">
        <v>3</v>
      </c>
      <c r="GT1206" t="n">
        <v>0</v>
      </c>
      <c r="GU1206" t="inlineStr"/>
      <c r="GV1206">
        <f>ROUND((GT1206),2)</f>
        <v/>
      </c>
      <c r="GW1206" t="n">
        <v>1</v>
      </c>
      <c r="GX1206">
        <f>ROUND(HC1206*I1206,0)</f>
        <v/>
      </c>
      <c r="HA1206" t="n">
        <v>0</v>
      </c>
      <c r="HB1206" t="n">
        <v>0</v>
      </c>
      <c r="HC1206">
        <f>GV1206*GW1206</f>
        <v/>
      </c>
      <c r="HE1206" t="inlineStr"/>
      <c r="HF1206" t="inlineStr"/>
      <c r="HM1206" t="inlineStr"/>
      <c r="HN1206" t="inlineStr">
        <is>
          <t>Пр/812-099.2-1</t>
        </is>
      </c>
      <c r="HO1206" t="inlineStr">
        <is>
          <t>Пр/774-099.2</t>
        </is>
      </c>
      <c r="HP1206" t="inlineStr">
        <is>
          <t>Внутренние санитарнотехнические работы: смена труб, санприборов, запорной арматуры и другое</t>
        </is>
      </c>
      <c r="HQ1206" t="inlineStr">
        <is>
          <t>Внутренние санитарнотехнические работы: смена труб, санприборов, запорной арматуры и другое</t>
        </is>
      </c>
      <c r="HS1206" t="n">
        <v>0</v>
      </c>
      <c r="IK1206" t="n">
        <v>0</v>
      </c>
    </row>
    <row r="1207">
      <c r="A1207" t="n">
        <v>17</v>
      </c>
      <c r="B1207" t="n">
        <v>0</v>
      </c>
      <c r="C1207">
        <f>ROW(SmtRes!A551)</f>
        <v/>
      </c>
      <c r="D1207">
        <f>ROW(EtalonRes!A505)</f>
        <v/>
      </c>
      <c r="E1207" t="inlineStr">
        <is>
          <t>2</t>
        </is>
      </c>
      <c r="F1207" t="inlineStr">
        <is>
          <t>67-5-2</t>
        </is>
      </c>
      <c r="G1207" t="inlineStr">
        <is>
          <t>Смена ламп люминесцентных</t>
        </is>
      </c>
      <c r="H1207" t="inlineStr">
        <is>
          <t>100 шт.</t>
        </is>
      </c>
      <c r="I1207">
        <f>ROUND(ROUND(2/100,4),7)</f>
        <v/>
      </c>
      <c r="J1207" t="n">
        <v>0</v>
      </c>
      <c r="K1207">
        <f>ROUND(ROUND(2/100,4),7)</f>
        <v/>
      </c>
      <c r="O1207">
        <f>ROUND(CP1207,0)</f>
        <v/>
      </c>
      <c r="P1207">
        <f>ROUND(CQ1207*I1207,0)</f>
        <v/>
      </c>
      <c r="Q1207">
        <f>(ROUND((ROUND(((ET1207)*I1207),0)*BB1207),0)+ROUND((ROUND(((AE1207-(EU1207))*I1207),0)*BS1207),0))</f>
        <v/>
      </c>
      <c r="R1207">
        <f>(ROUND((ROUND(((EU1207)*I1207),0)*BS1207),0)+ROUND((ROUND(((AE1207-(EU1207))*I1207),0)*BS1207),0))</f>
        <v/>
      </c>
      <c r="S1207">
        <f>ROUND(CT1207*I1207,0)</f>
        <v/>
      </c>
      <c r="T1207">
        <f>ROUND(CU1207*I1207,0)</f>
        <v/>
      </c>
      <c r="U1207">
        <f>ROUND(CV1207*I1207,7)</f>
        <v/>
      </c>
      <c r="V1207">
        <f>ROUND(CW1207*I1207,7)</f>
        <v/>
      </c>
      <c r="W1207">
        <f>ROUND(CX1207*I1207,0)</f>
        <v/>
      </c>
      <c r="X1207">
        <f>ROUND(CY1207,0)</f>
        <v/>
      </c>
      <c r="Y1207">
        <f>ROUND(CZ1207,0)</f>
        <v/>
      </c>
      <c r="AA1207" t="n">
        <v>78869116</v>
      </c>
      <c r="AB1207">
        <f>ROUND((AC1207+AD1207+AF1207),2)</f>
        <v/>
      </c>
      <c r="AC1207">
        <f>ROUND((ES1207),2)</f>
        <v/>
      </c>
      <c r="AD1207">
        <f>ROUND((((ET1207)-(EU1207))+AE1207),2)</f>
        <v/>
      </c>
      <c r="AE1207">
        <f>ROUND((EU1207),2)</f>
        <v/>
      </c>
      <c r="AF1207">
        <f>ROUND((EV1207),2)</f>
        <v/>
      </c>
      <c r="AG1207">
        <f>ROUND((AP1207),2)</f>
        <v/>
      </c>
      <c r="AH1207">
        <f>(EW1207)</f>
        <v/>
      </c>
      <c r="AI1207">
        <f>(EX1207)</f>
        <v/>
      </c>
      <c r="AJ1207">
        <f>(AS1207)</f>
        <v/>
      </c>
      <c r="AK1207" t="n">
        <v>970.5700000000001</v>
      </c>
      <c r="AL1207" t="n">
        <v>852</v>
      </c>
      <c r="AM1207" t="n">
        <v>0</v>
      </c>
      <c r="AN1207" t="n">
        <v>0</v>
      </c>
      <c r="AO1207" t="n">
        <v>118.57</v>
      </c>
      <c r="AP1207" t="n">
        <v>0</v>
      </c>
      <c r="AQ1207" t="n">
        <v>13.9</v>
      </c>
      <c r="AR1207" t="n">
        <v>0</v>
      </c>
      <c r="AS1207" t="n">
        <v>0</v>
      </c>
      <c r="AT1207" t="n">
        <v>91</v>
      </c>
      <c r="AU1207" t="n">
        <v>48</v>
      </c>
      <c r="AV1207" t="n">
        <v>1</v>
      </c>
      <c r="AW1207" t="n">
        <v>1</v>
      </c>
      <c r="AZ1207" t="n">
        <v>1</v>
      </c>
      <c r="BA1207" t="n">
        <v>52.25</v>
      </c>
      <c r="BB1207" t="n">
        <v>1</v>
      </c>
      <c r="BC1207" t="n">
        <v>4.14</v>
      </c>
      <c r="BD1207" t="inlineStr"/>
      <c r="BE1207" t="inlineStr"/>
      <c r="BF1207" t="inlineStr"/>
      <c r="BG1207" t="inlineStr"/>
      <c r="BH1207" t="n">
        <v>0</v>
      </c>
      <c r="BI1207" t="n">
        <v>1</v>
      </c>
      <c r="BJ1207" t="inlineStr">
        <is>
          <t>ТЕРр Московской обл., 67-5-2, приказ Минстроя России №675/пр от 28.02.2017 № 263/пр</t>
        </is>
      </c>
      <c r="BM1207" t="n">
        <v>67001</v>
      </c>
      <c r="BN1207" t="n">
        <v>0</v>
      </c>
      <c r="BO1207" t="inlineStr">
        <is>
          <t>67-5-2</t>
        </is>
      </c>
      <c r="BP1207" t="n">
        <v>1</v>
      </c>
      <c r="BQ1207" t="n">
        <v>6</v>
      </c>
      <c r="BR1207" t="n">
        <v>0</v>
      </c>
      <c r="BS1207" t="n">
        <v>52.25</v>
      </c>
      <c r="BT1207" t="n">
        <v>1</v>
      </c>
      <c r="BU1207" t="n">
        <v>1</v>
      </c>
      <c r="BV1207" t="n">
        <v>1</v>
      </c>
      <c r="BW1207" t="n">
        <v>1</v>
      </c>
      <c r="BX1207" t="n">
        <v>1</v>
      </c>
      <c r="BY1207" t="inlineStr"/>
      <c r="BZ1207" t="n">
        <v>91</v>
      </c>
      <c r="CA1207" t="n">
        <v>48</v>
      </c>
      <c r="CB1207" t="inlineStr"/>
      <c r="CE1207" t="n">
        <v>12</v>
      </c>
      <c r="CF1207" t="n">
        <v>0</v>
      </c>
      <c r="CG1207" t="n">
        <v>0</v>
      </c>
      <c r="CM1207" t="n">
        <v>0</v>
      </c>
      <c r="CN1207" t="inlineStr"/>
      <c r="CO1207" t="n">
        <v>0</v>
      </c>
      <c r="CP1207">
        <f>(P1207+Q1207+S1207)</f>
        <v/>
      </c>
      <c r="CQ1207">
        <f>AC1207*BC1207</f>
        <v/>
      </c>
      <c r="CR1207">
        <f>(ROUND((ROUND(((ET1207)*1),0)*BB1207),0)+ROUND((ROUND(((AE1207-(EU1207))*1),0)*BS1207),0))</f>
        <v/>
      </c>
      <c r="CS1207">
        <f>(ROUND((ROUND(((EU1207)*1),0)*BS1207),0)+ROUND((ROUND(((AE1207-(EU1207))*1),0)*BS1207),0))</f>
        <v/>
      </c>
      <c r="CT1207">
        <f>AF1207*BA1207</f>
        <v/>
      </c>
      <c r="CU1207">
        <f>AG1207</f>
        <v/>
      </c>
      <c r="CV1207">
        <f>AH1207</f>
        <v/>
      </c>
      <c r="CW1207">
        <f>AI1207</f>
        <v/>
      </c>
      <c r="CX1207">
        <f>AJ1207</f>
        <v/>
      </c>
      <c r="CY1207">
        <f>(((S1207+R1207)*AT1207)/100)</f>
        <v/>
      </c>
      <c r="CZ1207">
        <f>(((S1207+R1207)*AU1207)/100)</f>
        <v/>
      </c>
      <c r="DC1207" t="inlineStr"/>
      <c r="DD1207" t="inlineStr"/>
      <c r="DE1207" t="inlineStr"/>
      <c r="DF1207" t="inlineStr"/>
      <c r="DG1207" t="inlineStr"/>
      <c r="DH1207" t="inlineStr"/>
      <c r="DI1207" t="inlineStr"/>
      <c r="DJ1207" t="inlineStr"/>
      <c r="DK1207" t="inlineStr"/>
      <c r="DL1207" t="inlineStr"/>
      <c r="DM1207" t="inlineStr"/>
      <c r="DN1207" t="n">
        <v>0</v>
      </c>
      <c r="DO1207" t="n">
        <v>0</v>
      </c>
      <c r="DP1207" t="n">
        <v>1</v>
      </c>
      <c r="DQ1207" t="n">
        <v>1</v>
      </c>
      <c r="DU1207" t="n">
        <v>1010</v>
      </c>
      <c r="DV1207" t="inlineStr">
        <is>
          <t>100 шт.</t>
        </is>
      </c>
      <c r="DW1207" t="inlineStr">
        <is>
          <t>100 шт.</t>
        </is>
      </c>
      <c r="DX1207" t="n">
        <v>100</v>
      </c>
      <c r="DZ1207" t="inlineStr"/>
      <c r="EA1207" t="inlineStr"/>
      <c r="EB1207" t="inlineStr"/>
      <c r="EC1207" t="inlineStr"/>
      <c r="EE1207" t="n">
        <v>78726030</v>
      </c>
      <c r="EF1207" t="n">
        <v>6</v>
      </c>
      <c r="EG1207" t="inlineStr">
        <is>
          <t>Ремонтно-строительные работы</t>
        </is>
      </c>
      <c r="EH1207" t="n">
        <v>101</v>
      </c>
      <c r="EI1207" t="inlineStr">
        <is>
          <t>Электромонтажные работы</t>
        </is>
      </c>
      <c r="EJ1207" t="n">
        <v>1</v>
      </c>
      <c r="EK1207" t="n">
        <v>67001</v>
      </c>
      <c r="EL1207" t="inlineStr">
        <is>
          <t>Электромонтажные работы</t>
        </is>
      </c>
      <c r="EM1207" t="inlineStr">
        <is>
          <t>рФЕР-67</t>
        </is>
      </c>
      <c r="EO1207" t="inlineStr"/>
      <c r="EQ1207" t="n">
        <v>0</v>
      </c>
      <c r="ER1207" t="n">
        <v>970.5700000000001</v>
      </c>
      <c r="ES1207" t="n">
        <v>852</v>
      </c>
      <c r="ET1207" t="n">
        <v>0</v>
      </c>
      <c r="EU1207" t="n">
        <v>0</v>
      </c>
      <c r="EV1207" t="n">
        <v>118.57</v>
      </c>
      <c r="EW1207" t="n">
        <v>13.9</v>
      </c>
      <c r="EX1207" t="n">
        <v>0</v>
      </c>
      <c r="EY1207" t="n">
        <v>0</v>
      </c>
      <c r="FQ1207" t="n">
        <v>0</v>
      </c>
      <c r="FR1207" t="n">
        <v>0</v>
      </c>
      <c r="FS1207" t="n">
        <v>0</v>
      </c>
      <c r="FX1207" t="n">
        <v>91</v>
      </c>
      <c r="FY1207" t="n">
        <v>48</v>
      </c>
      <c r="GA1207" t="inlineStr"/>
      <c r="GD1207" t="n">
        <v>1</v>
      </c>
      <c r="GF1207" t="n">
        <v>1400342257</v>
      </c>
      <c r="GG1207" t="n">
        <v>2</v>
      </c>
      <c r="GH1207" t="n">
        <v>1</v>
      </c>
      <c r="GI1207" t="n">
        <v>2</v>
      </c>
      <c r="GJ1207" t="n">
        <v>0</v>
      </c>
      <c r="GK1207" t="n">
        <v>0</v>
      </c>
      <c r="GL1207">
        <f>ROUND(IF(AND(BH1207=3,BI1207=3,FS1207&lt;&gt;0),P1207,0),0)</f>
        <v/>
      </c>
      <c r="GM1207">
        <f>ROUND(O1207+X1207+Y1207,0)+GX1207</f>
        <v/>
      </c>
      <c r="GN1207">
        <f>IF(OR(BI1207=0,BI1207=1),GM1207-GX1207,0)</f>
        <v/>
      </c>
      <c r="GO1207">
        <f>IF(BI1207=2,GM1207-GX1207,0)</f>
        <v/>
      </c>
      <c r="GP1207">
        <f>IF(BI1207=4,GM1207-GX1207,0)</f>
        <v/>
      </c>
      <c r="GR1207" t="n">
        <v>0</v>
      </c>
      <c r="GS1207" t="n">
        <v>3</v>
      </c>
      <c r="GT1207" t="n">
        <v>0</v>
      </c>
      <c r="GU1207" t="inlineStr"/>
      <c r="GV1207">
        <f>ROUND((GT1207),2)</f>
        <v/>
      </c>
      <c r="GW1207" t="n">
        <v>1</v>
      </c>
      <c r="GX1207">
        <f>ROUND(HC1207*I1207,0)</f>
        <v/>
      </c>
      <c r="HA1207" t="n">
        <v>0</v>
      </c>
      <c r="HB1207" t="n">
        <v>0</v>
      </c>
      <c r="HC1207">
        <f>GV1207*GW1207</f>
        <v/>
      </c>
      <c r="HE1207" t="inlineStr"/>
      <c r="HF1207" t="inlineStr"/>
      <c r="HM1207" t="inlineStr"/>
      <c r="HN1207" t="inlineStr">
        <is>
          <t>Пр/812-101.0-1</t>
        </is>
      </c>
      <c r="HO1207" t="inlineStr">
        <is>
          <t>Пр/774-101.0</t>
        </is>
      </c>
      <c r="HP1207" t="inlineStr">
        <is>
          <t>Электромонтажные работы</t>
        </is>
      </c>
      <c r="HQ1207" t="inlineStr">
        <is>
          <t>Электромонтажные работы</t>
        </is>
      </c>
      <c r="HS1207" t="n">
        <v>0</v>
      </c>
      <c r="IK1207" t="n">
        <v>0</v>
      </c>
    </row>
    <row r="1208">
      <c r="A1208" t="n">
        <v>18</v>
      </c>
      <c r="B1208" t="n">
        <v>0</v>
      </c>
      <c r="C1208" t="n">
        <v>551</v>
      </c>
      <c r="E1208" t="inlineStr">
        <is>
          <t>2,1</t>
        </is>
      </c>
      <c r="F1208" t="inlineStr">
        <is>
          <t>509-6744</t>
        </is>
      </c>
      <c r="G1208" t="inlineStr">
        <is>
          <t>Лампы люминесцентные компактные энергосберегающие с цоколем Е27 мощностью 55 Вт</t>
        </is>
      </c>
      <c r="H1208" t="inlineStr">
        <is>
          <t>шт.</t>
        </is>
      </c>
      <c r="I1208">
        <f>I1207*J1208</f>
        <v/>
      </c>
      <c r="J1208" t="n">
        <v>100</v>
      </c>
      <c r="K1208" t="n">
        <v>100</v>
      </c>
      <c r="O1208">
        <f>ROUND(CP1208,0)</f>
        <v/>
      </c>
      <c r="P1208">
        <f>ROUND(CQ1208*I1208,0)</f>
        <v/>
      </c>
      <c r="Q1208">
        <f>(ROUND((ROUND(((ET1208)*I1208),0)*BB1208),0)+ROUND((ROUND(((AE1208-(EU1208))*I1208),0)*BS1208),0))</f>
        <v/>
      </c>
      <c r="R1208">
        <f>(ROUND((ROUND(((EU1208)*I1208),0)*BS1208),0)+ROUND((ROUND(((AE1208-(EU1208))*I1208),0)*BS1208),0))</f>
        <v/>
      </c>
      <c r="S1208">
        <f>ROUND(CT1208*I1208,0)</f>
        <v/>
      </c>
      <c r="T1208">
        <f>ROUND(CU1208*I1208,0)</f>
        <v/>
      </c>
      <c r="U1208">
        <f>ROUND(CV1208*I1208,7)</f>
        <v/>
      </c>
      <c r="V1208">
        <f>ROUND(CW1208*I1208,7)</f>
        <v/>
      </c>
      <c r="W1208">
        <f>ROUND(CX1208*I1208,0)</f>
        <v/>
      </c>
      <c r="X1208">
        <f>ROUND(CY1208,0)</f>
        <v/>
      </c>
      <c r="Y1208">
        <f>ROUND(CZ1208,0)</f>
        <v/>
      </c>
      <c r="AA1208" t="n">
        <v>78869116</v>
      </c>
      <c r="AB1208">
        <f>ROUND((AC1208+AD1208+AF1208),2)</f>
        <v/>
      </c>
      <c r="AC1208">
        <f>ROUND((ES1208),2)</f>
        <v/>
      </c>
      <c r="AD1208">
        <f>ROUND((((ET1208)-(EU1208))+AE1208),2)</f>
        <v/>
      </c>
      <c r="AE1208">
        <f>ROUND((EU1208),2)</f>
        <v/>
      </c>
      <c r="AF1208">
        <f>ROUND((EV1208),2)</f>
        <v/>
      </c>
      <c r="AG1208">
        <f>ROUND((AP1208),2)</f>
        <v/>
      </c>
      <c r="AH1208">
        <f>(EW1208)</f>
        <v/>
      </c>
      <c r="AI1208">
        <f>(EX1208)</f>
        <v/>
      </c>
      <c r="AJ1208">
        <f>(AS1208)</f>
        <v/>
      </c>
      <c r="AK1208" t="n">
        <v>140.69</v>
      </c>
      <c r="AL1208" t="n">
        <v>140.69</v>
      </c>
      <c r="AM1208" t="n">
        <v>0</v>
      </c>
      <c r="AN1208" t="n">
        <v>0</v>
      </c>
      <c r="AO1208" t="n">
        <v>0</v>
      </c>
      <c r="AP1208" t="n">
        <v>0</v>
      </c>
      <c r="AQ1208" t="n">
        <v>0</v>
      </c>
      <c r="AR1208" t="n">
        <v>0</v>
      </c>
      <c r="AS1208" t="n">
        <v>0.02</v>
      </c>
      <c r="AT1208" t="n">
        <v>91</v>
      </c>
      <c r="AU1208" t="n">
        <v>48</v>
      </c>
      <c r="AV1208" t="n">
        <v>1</v>
      </c>
      <c r="AW1208" t="n">
        <v>1</v>
      </c>
      <c r="AZ1208" t="n">
        <v>1</v>
      </c>
      <c r="BA1208" t="n">
        <v>1</v>
      </c>
      <c r="BB1208" t="n">
        <v>1</v>
      </c>
      <c r="BC1208" t="n">
        <v>1.69</v>
      </c>
      <c r="BD1208" t="inlineStr"/>
      <c r="BE1208" t="inlineStr"/>
      <c r="BF1208" t="inlineStr"/>
      <c r="BG1208" t="inlineStr"/>
      <c r="BH1208" t="n">
        <v>3</v>
      </c>
      <c r="BI1208" t="n">
        <v>1</v>
      </c>
      <c r="BJ1208" t="inlineStr">
        <is>
          <t>ТССЦ Московской обл., 509-6744, приказ Минстроя России №675/пр от 28.02.2017 № 258/пр</t>
        </is>
      </c>
      <c r="BM1208" t="n">
        <v>67001</v>
      </c>
      <c r="BN1208" t="n">
        <v>0</v>
      </c>
      <c r="BO1208" t="inlineStr">
        <is>
          <t>509-6744</t>
        </is>
      </c>
      <c r="BP1208" t="n">
        <v>1</v>
      </c>
      <c r="BQ1208" t="n">
        <v>6</v>
      </c>
      <c r="BR1208" t="n">
        <v>0</v>
      </c>
      <c r="BS1208" t="n">
        <v>1</v>
      </c>
      <c r="BT1208" t="n">
        <v>1</v>
      </c>
      <c r="BU1208" t="n">
        <v>1</v>
      </c>
      <c r="BV1208" t="n">
        <v>1</v>
      </c>
      <c r="BW1208" t="n">
        <v>1</v>
      </c>
      <c r="BX1208" t="n">
        <v>1</v>
      </c>
      <c r="BY1208" t="inlineStr"/>
      <c r="BZ1208" t="n">
        <v>91</v>
      </c>
      <c r="CA1208" t="n">
        <v>48</v>
      </c>
      <c r="CB1208" t="inlineStr"/>
      <c r="CE1208" t="n">
        <v>12</v>
      </c>
      <c r="CF1208" t="n">
        <v>0</v>
      </c>
      <c r="CG1208" t="n">
        <v>0</v>
      </c>
      <c r="CM1208" t="n">
        <v>0</v>
      </c>
      <c r="CN1208" t="inlineStr"/>
      <c r="CO1208" t="n">
        <v>0</v>
      </c>
      <c r="CP1208">
        <f>(P1208+Q1208+S1208)</f>
        <v/>
      </c>
      <c r="CQ1208">
        <f>AC1208*BC1208</f>
        <v/>
      </c>
      <c r="CR1208">
        <f>(ROUND((ROUND(((ET1208)*1),0)*BB1208),0)+ROUND((ROUND(((AE1208-(EU1208))*1),0)*BS1208),0))</f>
        <v/>
      </c>
      <c r="CS1208">
        <f>(ROUND((ROUND(((EU1208)*1),0)*BS1208),0)+ROUND((ROUND(((AE1208-(EU1208))*1),0)*BS1208),0))</f>
        <v/>
      </c>
      <c r="CT1208">
        <f>AF1208*BA1208</f>
        <v/>
      </c>
      <c r="CU1208">
        <f>AG1208</f>
        <v/>
      </c>
      <c r="CV1208">
        <f>AH1208</f>
        <v/>
      </c>
      <c r="CW1208">
        <f>AI1208</f>
        <v/>
      </c>
      <c r="CX1208">
        <f>AJ1208</f>
        <v/>
      </c>
      <c r="CY1208">
        <f>(((S1208+R1208)*AT1208)/100)</f>
        <v/>
      </c>
      <c r="CZ1208">
        <f>(((S1208+R1208)*AU1208)/100)</f>
        <v/>
      </c>
      <c r="DC1208" t="inlineStr"/>
      <c r="DD1208" t="inlineStr"/>
      <c r="DE1208" t="inlineStr"/>
      <c r="DF1208" t="inlineStr"/>
      <c r="DG1208" t="inlineStr"/>
      <c r="DH1208" t="inlineStr"/>
      <c r="DI1208" t="inlineStr"/>
      <c r="DJ1208" t="inlineStr"/>
      <c r="DK1208" t="inlineStr"/>
      <c r="DL1208" t="inlineStr"/>
      <c r="DM1208" t="inlineStr"/>
      <c r="DN1208" t="n">
        <v>0</v>
      </c>
      <c r="DO1208" t="n">
        <v>0</v>
      </c>
      <c r="DP1208" t="n">
        <v>1</v>
      </c>
      <c r="DQ1208" t="n">
        <v>1</v>
      </c>
      <c r="DU1208" t="n">
        <v>1010</v>
      </c>
      <c r="DV1208" t="inlineStr">
        <is>
          <t>шт.</t>
        </is>
      </c>
      <c r="DW1208" t="inlineStr">
        <is>
          <t>шт.</t>
        </is>
      </c>
      <c r="DX1208" t="n">
        <v>1</v>
      </c>
      <c r="DZ1208" t="inlineStr"/>
      <c r="EA1208" t="inlineStr"/>
      <c r="EB1208" t="inlineStr"/>
      <c r="EC1208" t="inlineStr"/>
      <c r="EE1208" t="n">
        <v>78726030</v>
      </c>
      <c r="EF1208" t="n">
        <v>6</v>
      </c>
      <c r="EG1208" t="inlineStr">
        <is>
          <t>Ремонтно-строительные работы</t>
        </is>
      </c>
      <c r="EH1208" t="n">
        <v>101</v>
      </c>
      <c r="EI1208" t="inlineStr">
        <is>
          <t>Электромонтажные работы</t>
        </is>
      </c>
      <c r="EJ1208" t="n">
        <v>1</v>
      </c>
      <c r="EK1208" t="n">
        <v>67001</v>
      </c>
      <c r="EL1208" t="inlineStr">
        <is>
          <t>Электромонтажные работы</t>
        </is>
      </c>
      <c r="EM1208" t="inlineStr">
        <is>
          <t>рФЕР-67</t>
        </is>
      </c>
      <c r="EO1208" t="inlineStr"/>
      <c r="EQ1208" t="n">
        <v>0</v>
      </c>
      <c r="ER1208" t="n">
        <v>140.69</v>
      </c>
      <c r="ES1208" t="n">
        <v>140.69</v>
      </c>
      <c r="ET1208" t="n">
        <v>0</v>
      </c>
      <c r="EU1208" t="n">
        <v>0</v>
      </c>
      <c r="EV1208" t="n">
        <v>0</v>
      </c>
      <c r="EW1208" t="n">
        <v>0</v>
      </c>
      <c r="EX1208" t="n">
        <v>0</v>
      </c>
      <c r="FQ1208" t="n">
        <v>0</v>
      </c>
      <c r="FR1208" t="n">
        <v>0</v>
      </c>
      <c r="FS1208" t="n">
        <v>0</v>
      </c>
      <c r="FX1208" t="n">
        <v>91</v>
      </c>
      <c r="FY1208" t="n">
        <v>48</v>
      </c>
      <c r="GA1208" t="inlineStr"/>
      <c r="GD1208" t="n">
        <v>1</v>
      </c>
      <c r="GF1208" t="n">
        <v>-228955380</v>
      </c>
      <c r="GG1208" t="n">
        <v>2</v>
      </c>
      <c r="GH1208" t="n">
        <v>1</v>
      </c>
      <c r="GI1208" t="n">
        <v>2</v>
      </c>
      <c r="GJ1208" t="n">
        <v>0</v>
      </c>
      <c r="GK1208" t="n">
        <v>0</v>
      </c>
      <c r="GL1208">
        <f>ROUND(IF(AND(BH1208=3,BI1208=3,FS1208&lt;&gt;0),P1208,0),0)</f>
        <v/>
      </c>
      <c r="GM1208">
        <f>ROUND(O1208+X1208+Y1208,0)+GX1208</f>
        <v/>
      </c>
      <c r="GN1208">
        <f>IF(OR(BI1208=0,BI1208=1),GM1208-GX1208,0)</f>
        <v/>
      </c>
      <c r="GO1208">
        <f>IF(BI1208=2,GM1208-GX1208,0)</f>
        <v/>
      </c>
      <c r="GP1208">
        <f>IF(BI1208=4,GM1208-GX1208,0)</f>
        <v/>
      </c>
      <c r="GR1208" t="n">
        <v>0</v>
      </c>
      <c r="GS1208" t="n">
        <v>3</v>
      </c>
      <c r="GT1208" t="n">
        <v>0</v>
      </c>
      <c r="GU1208" t="inlineStr"/>
      <c r="GV1208">
        <f>ROUND((GT1208),2)</f>
        <v/>
      </c>
      <c r="GW1208" t="n">
        <v>1</v>
      </c>
      <c r="GX1208">
        <f>ROUND(HC1208*I1208,0)</f>
        <v/>
      </c>
      <c r="HA1208" t="n">
        <v>0</v>
      </c>
      <c r="HB1208" t="n">
        <v>0</v>
      </c>
      <c r="HC1208">
        <f>GV1208*GW1208</f>
        <v/>
      </c>
      <c r="HE1208" t="inlineStr"/>
      <c r="HF1208" t="inlineStr"/>
      <c r="HM1208" t="inlineStr"/>
      <c r="HN1208" t="inlineStr">
        <is>
          <t>Пр/812-101.0-1</t>
        </is>
      </c>
      <c r="HO1208" t="inlineStr">
        <is>
          <t>Пр/774-101.0</t>
        </is>
      </c>
      <c r="HP1208" t="inlineStr">
        <is>
          <t>Электромонтажные работы</t>
        </is>
      </c>
      <c r="HQ1208" t="inlineStr">
        <is>
          <t>Электромонтажные работы</t>
        </is>
      </c>
      <c r="HS1208" t="n">
        <v>0</v>
      </c>
      <c r="IK1208" t="n">
        <v>0</v>
      </c>
    </row>
    <row r="1209">
      <c r="A1209" t="n">
        <v>17</v>
      </c>
      <c r="B1209" t="n">
        <v>0</v>
      </c>
      <c r="C1209">
        <f>ROW(SmtRes!A553)</f>
        <v/>
      </c>
      <c r="D1209">
        <f>ROW(EtalonRes!A507)</f>
        <v/>
      </c>
      <c r="E1209" t="inlineStr">
        <is>
          <t>3</t>
        </is>
      </c>
      <c r="F1209" t="inlineStr">
        <is>
          <t>67-1-1</t>
        </is>
      </c>
      <c r="G1209" t="inlineStr">
        <is>
          <t>Демонтаж скрытой электропроводки</t>
        </is>
      </c>
      <c r="H1209" t="inlineStr">
        <is>
          <t>100 м</t>
        </is>
      </c>
      <c r="I1209">
        <f>ROUND(ROUND(1.5/100,4),7)</f>
        <v/>
      </c>
      <c r="J1209" t="n">
        <v>0</v>
      </c>
      <c r="K1209">
        <f>ROUND(ROUND(1.5/100,4),7)</f>
        <v/>
      </c>
      <c r="O1209">
        <f>ROUND(CP1209,0)</f>
        <v/>
      </c>
      <c r="P1209">
        <f>ROUND(CQ1209*I1209,0)</f>
        <v/>
      </c>
      <c r="Q1209">
        <f>(ROUND((ROUND(((ET1209)*I1209),0)*BB1209),0)+ROUND((ROUND(((AE1209-(EU1209))*I1209),0)*BS1209),0))</f>
        <v/>
      </c>
      <c r="R1209">
        <f>(ROUND((ROUND(((EU1209)*I1209),0)*BS1209),0)+ROUND((ROUND(((AE1209-(EU1209))*I1209),0)*BS1209),0))</f>
        <v/>
      </c>
      <c r="S1209">
        <f>ROUND(CT1209*I1209,0)</f>
        <v/>
      </c>
      <c r="T1209">
        <f>ROUND(CU1209*I1209,0)</f>
        <v/>
      </c>
      <c r="U1209">
        <f>ROUND(CV1209*I1209,7)</f>
        <v/>
      </c>
      <c r="V1209">
        <f>ROUND(CW1209*I1209,7)</f>
        <v/>
      </c>
      <c r="W1209">
        <f>ROUND(CX1209*I1209,0)</f>
        <v/>
      </c>
      <c r="X1209">
        <f>ROUND(CY1209,0)</f>
        <v/>
      </c>
      <c r="Y1209">
        <f>ROUND(CZ1209,0)</f>
        <v/>
      </c>
      <c r="AA1209" t="n">
        <v>78869116</v>
      </c>
      <c r="AB1209">
        <f>ROUND((AC1209+AD1209+AF1209),2)</f>
        <v/>
      </c>
      <c r="AC1209">
        <f>ROUND((ES1209),2)</f>
        <v/>
      </c>
      <c r="AD1209">
        <f>ROUND((((ET1209)-(EU1209))+AE1209),2)</f>
        <v/>
      </c>
      <c r="AE1209">
        <f>ROUND((EU1209),2)</f>
        <v/>
      </c>
      <c r="AF1209">
        <f>ROUND((EV1209),2)</f>
        <v/>
      </c>
      <c r="AG1209">
        <f>ROUND((AP1209),2)</f>
        <v/>
      </c>
      <c r="AH1209">
        <f>(EW1209)</f>
        <v/>
      </c>
      <c r="AI1209">
        <f>(EX1209)</f>
        <v/>
      </c>
      <c r="AJ1209">
        <f>(AS1209)</f>
        <v/>
      </c>
      <c r="AK1209" t="n">
        <v>19.81</v>
      </c>
      <c r="AL1209" t="n">
        <v>0</v>
      </c>
      <c r="AM1209" t="n">
        <v>0</v>
      </c>
      <c r="AN1209" t="n">
        <v>0</v>
      </c>
      <c r="AO1209" t="n">
        <v>19.81</v>
      </c>
      <c r="AP1209" t="n">
        <v>0</v>
      </c>
      <c r="AQ1209" t="n">
        <v>2.54</v>
      </c>
      <c r="AR1209" t="n">
        <v>0</v>
      </c>
      <c r="AS1209" t="n">
        <v>0</v>
      </c>
      <c r="AT1209" t="n">
        <v>91</v>
      </c>
      <c r="AU1209" t="n">
        <v>48</v>
      </c>
      <c r="AV1209" t="n">
        <v>1</v>
      </c>
      <c r="AW1209" t="n">
        <v>1</v>
      </c>
      <c r="AZ1209" t="n">
        <v>1</v>
      </c>
      <c r="BA1209" t="n">
        <v>52.25</v>
      </c>
      <c r="BB1209" t="n">
        <v>1</v>
      </c>
      <c r="BC1209" t="n">
        <v>1</v>
      </c>
      <c r="BD1209" t="inlineStr"/>
      <c r="BE1209" t="inlineStr"/>
      <c r="BF1209" t="inlineStr"/>
      <c r="BG1209" t="inlineStr"/>
      <c r="BH1209" t="n">
        <v>0</v>
      </c>
      <c r="BI1209" t="n">
        <v>1</v>
      </c>
      <c r="BJ1209" t="inlineStr">
        <is>
          <t>ТЕРр Московской обл., 67-1-1, приказ Минстроя России №675/пр от 28.02.2017 № 263/пр</t>
        </is>
      </c>
      <c r="BM1209" t="n">
        <v>67001</v>
      </c>
      <c r="BN1209" t="n">
        <v>0</v>
      </c>
      <c r="BO1209" t="inlineStr">
        <is>
          <t>67-1-1</t>
        </is>
      </c>
      <c r="BP1209" t="n">
        <v>1</v>
      </c>
      <c r="BQ1209" t="n">
        <v>6</v>
      </c>
      <c r="BR1209" t="n">
        <v>0</v>
      </c>
      <c r="BS1209" t="n">
        <v>52.25</v>
      </c>
      <c r="BT1209" t="n">
        <v>1</v>
      </c>
      <c r="BU1209" t="n">
        <v>1</v>
      </c>
      <c r="BV1209" t="n">
        <v>1</v>
      </c>
      <c r="BW1209" t="n">
        <v>1</v>
      </c>
      <c r="BX1209" t="n">
        <v>1</v>
      </c>
      <c r="BY1209" t="inlineStr"/>
      <c r="BZ1209" t="n">
        <v>91</v>
      </c>
      <c r="CA1209" t="n">
        <v>48</v>
      </c>
      <c r="CB1209" t="inlineStr"/>
      <c r="CE1209" t="n">
        <v>12</v>
      </c>
      <c r="CF1209" t="n">
        <v>0</v>
      </c>
      <c r="CG1209" t="n">
        <v>0</v>
      </c>
      <c r="CM1209" t="n">
        <v>0</v>
      </c>
      <c r="CN1209" t="inlineStr"/>
      <c r="CO1209" t="n">
        <v>0</v>
      </c>
      <c r="CP1209">
        <f>(P1209+Q1209+S1209)</f>
        <v/>
      </c>
      <c r="CQ1209">
        <f>AC1209*BC1209</f>
        <v/>
      </c>
      <c r="CR1209">
        <f>(ROUND((ROUND(((ET1209)*1),0)*BB1209),0)+ROUND((ROUND(((AE1209-(EU1209))*1),0)*BS1209),0))</f>
        <v/>
      </c>
      <c r="CS1209">
        <f>(ROUND((ROUND(((EU1209)*1),0)*BS1209),0)+ROUND((ROUND(((AE1209-(EU1209))*1),0)*BS1209),0))</f>
        <v/>
      </c>
      <c r="CT1209">
        <f>AF1209*BA1209</f>
        <v/>
      </c>
      <c r="CU1209">
        <f>AG1209</f>
        <v/>
      </c>
      <c r="CV1209">
        <f>AH1209</f>
        <v/>
      </c>
      <c r="CW1209">
        <f>AI1209</f>
        <v/>
      </c>
      <c r="CX1209">
        <f>AJ1209</f>
        <v/>
      </c>
      <c r="CY1209">
        <f>(((S1209+R1209)*AT1209)/100)</f>
        <v/>
      </c>
      <c r="CZ1209">
        <f>(((S1209+R1209)*AU1209)/100)</f>
        <v/>
      </c>
      <c r="DC1209" t="inlineStr"/>
      <c r="DD1209" t="inlineStr"/>
      <c r="DE1209" t="inlineStr"/>
      <c r="DF1209" t="inlineStr"/>
      <c r="DG1209" t="inlineStr"/>
      <c r="DH1209" t="inlineStr"/>
      <c r="DI1209" t="inlineStr"/>
      <c r="DJ1209" t="inlineStr"/>
      <c r="DK1209" t="inlineStr"/>
      <c r="DL1209" t="inlineStr"/>
      <c r="DM1209" t="inlineStr"/>
      <c r="DN1209" t="n">
        <v>0</v>
      </c>
      <c r="DO1209" t="n">
        <v>0</v>
      </c>
      <c r="DP1209" t="n">
        <v>1</v>
      </c>
      <c r="DQ1209" t="n">
        <v>1</v>
      </c>
      <c r="DU1209" t="n">
        <v>1003</v>
      </c>
      <c r="DV1209" t="inlineStr">
        <is>
          <t>100 м</t>
        </is>
      </c>
      <c r="DW1209" t="inlineStr">
        <is>
          <t>100 м</t>
        </is>
      </c>
      <c r="DX1209" t="n">
        <v>100</v>
      </c>
      <c r="DZ1209" t="inlineStr"/>
      <c r="EA1209" t="inlineStr"/>
      <c r="EB1209" t="inlineStr"/>
      <c r="EC1209" t="inlineStr"/>
      <c r="EE1209" t="n">
        <v>78726030</v>
      </c>
      <c r="EF1209" t="n">
        <v>6</v>
      </c>
      <c r="EG1209" t="inlineStr">
        <is>
          <t>Ремонтно-строительные работы</t>
        </is>
      </c>
      <c r="EH1209" t="n">
        <v>101</v>
      </c>
      <c r="EI1209" t="inlineStr">
        <is>
          <t>Электромонтажные работы</t>
        </is>
      </c>
      <c r="EJ1209" t="n">
        <v>1</v>
      </c>
      <c r="EK1209" t="n">
        <v>67001</v>
      </c>
      <c r="EL1209" t="inlineStr">
        <is>
          <t>Электромонтажные работы</t>
        </is>
      </c>
      <c r="EM1209" t="inlineStr">
        <is>
          <t>рФЕР-67</t>
        </is>
      </c>
      <c r="EO1209" t="inlineStr"/>
      <c r="EQ1209" t="n">
        <v>0</v>
      </c>
      <c r="ER1209" t="n">
        <v>19.81</v>
      </c>
      <c r="ES1209" t="n">
        <v>0</v>
      </c>
      <c r="ET1209" t="n">
        <v>0</v>
      </c>
      <c r="EU1209" t="n">
        <v>0</v>
      </c>
      <c r="EV1209" t="n">
        <v>19.81</v>
      </c>
      <c r="EW1209" t="n">
        <v>2.54</v>
      </c>
      <c r="EX1209" t="n">
        <v>0</v>
      </c>
      <c r="EY1209" t="n">
        <v>0</v>
      </c>
      <c r="FQ1209" t="n">
        <v>0</v>
      </c>
      <c r="FR1209" t="n">
        <v>0</v>
      </c>
      <c r="FS1209" t="n">
        <v>0</v>
      </c>
      <c r="FX1209" t="n">
        <v>91</v>
      </c>
      <c r="FY1209" t="n">
        <v>48</v>
      </c>
      <c r="GA1209" t="inlineStr"/>
      <c r="GD1209" t="n">
        <v>1</v>
      </c>
      <c r="GF1209" t="n">
        <v>442486611</v>
      </c>
      <c r="GG1209" t="n">
        <v>2</v>
      </c>
      <c r="GH1209" t="n">
        <v>1</v>
      </c>
      <c r="GI1209" t="n">
        <v>2</v>
      </c>
      <c r="GJ1209" t="n">
        <v>0</v>
      </c>
      <c r="GK1209" t="n">
        <v>0</v>
      </c>
      <c r="GL1209">
        <f>ROUND(IF(AND(BH1209=3,BI1209=3,FS1209&lt;&gt;0),P1209,0),0)</f>
        <v/>
      </c>
      <c r="GM1209">
        <f>ROUND(O1209+X1209+Y1209,0)+GX1209</f>
        <v/>
      </c>
      <c r="GN1209">
        <f>IF(OR(BI1209=0,BI1209=1),GM1209-GX1209,0)</f>
        <v/>
      </c>
      <c r="GO1209">
        <f>IF(BI1209=2,GM1209-GX1209,0)</f>
        <v/>
      </c>
      <c r="GP1209">
        <f>IF(BI1209=4,GM1209-GX1209,0)</f>
        <v/>
      </c>
      <c r="GR1209" t="n">
        <v>0</v>
      </c>
      <c r="GS1209" t="n">
        <v>3</v>
      </c>
      <c r="GT1209" t="n">
        <v>0</v>
      </c>
      <c r="GU1209" t="inlineStr"/>
      <c r="GV1209">
        <f>ROUND((GT1209),2)</f>
        <v/>
      </c>
      <c r="GW1209" t="n">
        <v>1</v>
      </c>
      <c r="GX1209">
        <f>ROUND(HC1209*I1209,0)</f>
        <v/>
      </c>
      <c r="HA1209" t="n">
        <v>0</v>
      </c>
      <c r="HB1209" t="n">
        <v>0</v>
      </c>
      <c r="HC1209">
        <f>GV1209*GW1209</f>
        <v/>
      </c>
      <c r="HE1209" t="inlineStr"/>
      <c r="HF1209" t="inlineStr"/>
      <c r="HM1209" t="inlineStr"/>
      <c r="HN1209" t="inlineStr">
        <is>
          <t>Пр/812-101.0-1</t>
        </is>
      </c>
      <c r="HO1209" t="inlineStr">
        <is>
          <t>Пр/774-101.0</t>
        </is>
      </c>
      <c r="HP1209" t="inlineStr">
        <is>
          <t>Электромонтажные работы</t>
        </is>
      </c>
      <c r="HQ1209" t="inlineStr">
        <is>
          <t>Электромонтажные работы</t>
        </is>
      </c>
      <c r="HS1209" t="n">
        <v>0</v>
      </c>
      <c r="IK1209" t="n">
        <v>0</v>
      </c>
    </row>
    <row r="1210">
      <c r="A1210" t="n">
        <v>18</v>
      </c>
      <c r="B1210" t="n">
        <v>0</v>
      </c>
      <c r="C1210" t="n">
        <v>553</v>
      </c>
      <c r="E1210" t="inlineStr">
        <is>
          <t>3,1</t>
        </is>
      </c>
      <c r="F1210" t="inlineStr">
        <is>
          <t>509-9900</t>
        </is>
      </c>
      <c r="G1210" t="inlineStr">
        <is>
          <t>Строительный мусор</t>
        </is>
      </c>
      <c r="H1210" t="inlineStr">
        <is>
          <t>т</t>
        </is>
      </c>
      <c r="I1210">
        <f>I1209*J1210</f>
        <v/>
      </c>
      <c r="J1210" t="n">
        <v>0.004</v>
      </c>
      <c r="K1210" t="n">
        <v>0.004</v>
      </c>
      <c r="O1210">
        <f>ROUND(CP1210,0)</f>
        <v/>
      </c>
      <c r="P1210">
        <f>ROUND(CQ1210*I1210,0)</f>
        <v/>
      </c>
      <c r="Q1210">
        <f>(ROUND((ROUND(((ET1210)*I1210),0)*BB1210),0)+ROUND((ROUND(((AE1210-(EU1210))*I1210),0)*BS1210),0))</f>
        <v/>
      </c>
      <c r="R1210">
        <f>(ROUND((ROUND(((EU1210)*I1210),0)*BS1210),0)+ROUND((ROUND(((AE1210-(EU1210))*I1210),0)*BS1210),0))</f>
        <v/>
      </c>
      <c r="S1210">
        <f>ROUND(CT1210*I1210,0)</f>
        <v/>
      </c>
      <c r="T1210">
        <f>ROUND(CU1210*I1210,0)</f>
        <v/>
      </c>
      <c r="U1210">
        <f>ROUND(CV1210*I1210,7)</f>
        <v/>
      </c>
      <c r="V1210">
        <f>ROUND(CW1210*I1210,7)</f>
        <v/>
      </c>
      <c r="W1210">
        <f>ROUND(CX1210*I1210,0)</f>
        <v/>
      </c>
      <c r="X1210">
        <f>ROUND(CY1210,0)</f>
        <v/>
      </c>
      <c r="Y1210">
        <f>ROUND(CZ1210,0)</f>
        <v/>
      </c>
      <c r="AA1210" t="n">
        <v>78869116</v>
      </c>
      <c r="AB1210">
        <f>ROUND((AC1210+AD1210+AF1210),2)</f>
        <v/>
      </c>
      <c r="AC1210">
        <f>ROUND((ES1210),2)</f>
        <v/>
      </c>
      <c r="AD1210">
        <f>ROUND((((ET1210)-(EU1210))+AE1210),2)</f>
        <v/>
      </c>
      <c r="AE1210">
        <f>ROUND((EU1210),2)</f>
        <v/>
      </c>
      <c r="AF1210">
        <f>ROUND((EV1210),2)</f>
        <v/>
      </c>
      <c r="AG1210">
        <f>ROUND((AP1210),2)</f>
        <v/>
      </c>
      <c r="AH1210">
        <f>(EW1210)</f>
        <v/>
      </c>
      <c r="AI1210">
        <f>(EX1210)</f>
        <v/>
      </c>
      <c r="AJ1210">
        <f>(AS1210)</f>
        <v/>
      </c>
      <c r="AK1210" t="n">
        <v>0</v>
      </c>
      <c r="AL1210" t="n">
        <v>0</v>
      </c>
      <c r="AM1210" t="n">
        <v>0</v>
      </c>
      <c r="AN1210" t="n">
        <v>0</v>
      </c>
      <c r="AO1210" t="n">
        <v>0</v>
      </c>
      <c r="AP1210" t="n">
        <v>0</v>
      </c>
      <c r="AQ1210" t="n">
        <v>0</v>
      </c>
      <c r="AR1210" t="n">
        <v>0</v>
      </c>
      <c r="AS1210" t="n">
        <v>0</v>
      </c>
      <c r="AT1210" t="n">
        <v>91</v>
      </c>
      <c r="AU1210" t="n">
        <v>48</v>
      </c>
      <c r="AV1210" t="n">
        <v>1</v>
      </c>
      <c r="AW1210" t="n">
        <v>1</v>
      </c>
      <c r="AZ1210" t="n">
        <v>1</v>
      </c>
      <c r="BA1210" t="n">
        <v>1</v>
      </c>
      <c r="BB1210" t="n">
        <v>1</v>
      </c>
      <c r="BC1210" t="n">
        <v>1</v>
      </c>
      <c r="BD1210" t="inlineStr"/>
      <c r="BE1210" t="inlineStr"/>
      <c r="BF1210" t="inlineStr"/>
      <c r="BG1210" t="inlineStr"/>
      <c r="BH1210" t="n">
        <v>3</v>
      </c>
      <c r="BI1210" t="n">
        <v>1</v>
      </c>
      <c r="BJ1210" t="inlineStr">
        <is>
          <t>ТССЦ Московской обл., 509-9900, приказ Минстроя России №675/пр от 28.02.2017 № 258/пр</t>
        </is>
      </c>
      <c r="BM1210" t="n">
        <v>67001</v>
      </c>
      <c r="BN1210" t="n">
        <v>0</v>
      </c>
      <c r="BO1210" t="inlineStr"/>
      <c r="BP1210" t="n">
        <v>0</v>
      </c>
      <c r="BQ1210" t="n">
        <v>6</v>
      </c>
      <c r="BR1210" t="n">
        <v>0</v>
      </c>
      <c r="BS1210" t="n">
        <v>1</v>
      </c>
      <c r="BT1210" t="n">
        <v>1</v>
      </c>
      <c r="BU1210" t="n">
        <v>1</v>
      </c>
      <c r="BV1210" t="n">
        <v>1</v>
      </c>
      <c r="BW1210" t="n">
        <v>1</v>
      </c>
      <c r="BX1210" t="n">
        <v>1</v>
      </c>
      <c r="BY1210" t="inlineStr"/>
      <c r="BZ1210" t="n">
        <v>91</v>
      </c>
      <c r="CA1210" t="n">
        <v>48</v>
      </c>
      <c r="CB1210" t="inlineStr"/>
      <c r="CE1210" t="n">
        <v>12</v>
      </c>
      <c r="CF1210" t="n">
        <v>0</v>
      </c>
      <c r="CG1210" t="n">
        <v>0</v>
      </c>
      <c r="CM1210" t="n">
        <v>0</v>
      </c>
      <c r="CN1210" t="inlineStr"/>
      <c r="CO1210" t="n">
        <v>0</v>
      </c>
      <c r="CP1210">
        <f>(P1210+Q1210+S1210)</f>
        <v/>
      </c>
      <c r="CQ1210">
        <f>AC1210*BC1210</f>
        <v/>
      </c>
      <c r="CR1210">
        <f>(ROUND((ROUND(((ET1210)*1),0)*BB1210),0)+ROUND((ROUND(((AE1210-(EU1210))*1),0)*BS1210),0))</f>
        <v/>
      </c>
      <c r="CS1210">
        <f>(ROUND((ROUND(((EU1210)*1),0)*BS1210),0)+ROUND((ROUND(((AE1210-(EU1210))*1),0)*BS1210),0))</f>
        <v/>
      </c>
      <c r="CT1210">
        <f>AF1210*BA1210</f>
        <v/>
      </c>
      <c r="CU1210">
        <f>AG1210</f>
        <v/>
      </c>
      <c r="CV1210">
        <f>AH1210</f>
        <v/>
      </c>
      <c r="CW1210">
        <f>AI1210</f>
        <v/>
      </c>
      <c r="CX1210">
        <f>AJ1210</f>
        <v/>
      </c>
      <c r="CY1210">
        <f>(((S1210+R1210)*AT1210)/100)</f>
        <v/>
      </c>
      <c r="CZ1210">
        <f>(((S1210+R1210)*AU1210)/100)</f>
        <v/>
      </c>
      <c r="DC1210" t="inlineStr"/>
      <c r="DD1210" t="inlineStr"/>
      <c r="DE1210" t="inlineStr"/>
      <c r="DF1210" t="inlineStr"/>
      <c r="DG1210" t="inlineStr"/>
      <c r="DH1210" t="inlineStr"/>
      <c r="DI1210" t="inlineStr"/>
      <c r="DJ1210" t="inlineStr"/>
      <c r="DK1210" t="inlineStr"/>
      <c r="DL1210" t="inlineStr"/>
      <c r="DM1210" t="inlineStr"/>
      <c r="DN1210" t="n">
        <v>0</v>
      </c>
      <c r="DO1210" t="n">
        <v>0</v>
      </c>
      <c r="DP1210" t="n">
        <v>1</v>
      </c>
      <c r="DQ1210" t="n">
        <v>1</v>
      </c>
      <c r="DU1210" t="n">
        <v>1009</v>
      </c>
      <c r="DV1210" t="inlineStr">
        <is>
          <t>т</t>
        </is>
      </c>
      <c r="DW1210" t="inlineStr">
        <is>
          <t>т</t>
        </is>
      </c>
      <c r="DX1210" t="n">
        <v>1000</v>
      </c>
      <c r="DZ1210" t="inlineStr"/>
      <c r="EA1210" t="inlineStr"/>
      <c r="EB1210" t="inlineStr"/>
      <c r="EC1210" t="inlineStr"/>
      <c r="EE1210" t="n">
        <v>78726030</v>
      </c>
      <c r="EF1210" t="n">
        <v>6</v>
      </c>
      <c r="EG1210" t="inlineStr">
        <is>
          <t>Ремонтно-строительные работы</t>
        </is>
      </c>
      <c r="EH1210" t="n">
        <v>101</v>
      </c>
      <c r="EI1210" t="inlineStr">
        <is>
          <t>Электромонтажные работы</t>
        </is>
      </c>
      <c r="EJ1210" t="n">
        <v>1</v>
      </c>
      <c r="EK1210" t="n">
        <v>67001</v>
      </c>
      <c r="EL1210" t="inlineStr">
        <is>
          <t>Электромонтажные работы</t>
        </is>
      </c>
      <c r="EM1210" t="inlineStr">
        <is>
          <t>рФЕР-67</t>
        </is>
      </c>
      <c r="EO1210" t="inlineStr"/>
      <c r="EQ1210" t="n">
        <v>0</v>
      </c>
      <c r="ER1210" t="n">
        <v>0</v>
      </c>
      <c r="ES1210" t="n">
        <v>0</v>
      </c>
      <c r="ET1210" t="n">
        <v>0</v>
      </c>
      <c r="EU1210" t="n">
        <v>0</v>
      </c>
      <c r="EV1210" t="n">
        <v>0</v>
      </c>
      <c r="EW1210" t="n">
        <v>0</v>
      </c>
      <c r="EX1210" t="n">
        <v>0</v>
      </c>
      <c r="FQ1210" t="n">
        <v>0</v>
      </c>
      <c r="FR1210" t="n">
        <v>0</v>
      </c>
      <c r="FS1210" t="n">
        <v>0</v>
      </c>
      <c r="FX1210" t="n">
        <v>91</v>
      </c>
      <c r="FY1210" t="n">
        <v>48</v>
      </c>
      <c r="GA1210" t="inlineStr"/>
      <c r="GD1210" t="n">
        <v>1</v>
      </c>
      <c r="GF1210" t="n">
        <v>1876412176</v>
      </c>
      <c r="GG1210" t="n">
        <v>2</v>
      </c>
      <c r="GH1210" t="n">
        <v>1</v>
      </c>
      <c r="GI1210" t="n">
        <v>-2</v>
      </c>
      <c r="GJ1210" t="n">
        <v>0</v>
      </c>
      <c r="GK1210" t="n">
        <v>0</v>
      </c>
      <c r="GL1210">
        <f>ROUND(IF(AND(BH1210=3,BI1210=3,FS1210&lt;&gt;0),P1210,0),0)</f>
        <v/>
      </c>
      <c r="GM1210">
        <f>ROUND(O1210+X1210+Y1210,0)+GX1210</f>
        <v/>
      </c>
      <c r="GN1210">
        <f>IF(OR(BI1210=0,BI1210=1),GM1210-GX1210,0)</f>
        <v/>
      </c>
      <c r="GO1210">
        <f>IF(BI1210=2,GM1210-GX1210,0)</f>
        <v/>
      </c>
      <c r="GP1210">
        <f>IF(BI1210=4,GM1210-GX1210,0)</f>
        <v/>
      </c>
      <c r="GR1210" t="n">
        <v>0</v>
      </c>
      <c r="GS1210" t="n">
        <v>3</v>
      </c>
      <c r="GT1210" t="n">
        <v>0</v>
      </c>
      <c r="GU1210" t="inlineStr"/>
      <c r="GV1210">
        <f>ROUND((GT1210),2)</f>
        <v/>
      </c>
      <c r="GW1210" t="n">
        <v>1</v>
      </c>
      <c r="GX1210">
        <f>ROUND(HC1210*I1210,0)</f>
        <v/>
      </c>
      <c r="HA1210" t="n">
        <v>0</v>
      </c>
      <c r="HB1210" t="n">
        <v>0</v>
      </c>
      <c r="HC1210">
        <f>GV1210*GW1210</f>
        <v/>
      </c>
      <c r="HE1210" t="inlineStr"/>
      <c r="HF1210" t="inlineStr"/>
      <c r="HM1210" t="inlineStr"/>
      <c r="HN1210" t="inlineStr">
        <is>
          <t>Пр/812-101.0-1</t>
        </is>
      </c>
      <c r="HO1210" t="inlineStr">
        <is>
          <t>Пр/774-101.0</t>
        </is>
      </c>
      <c r="HP1210" t="inlineStr">
        <is>
          <t>Электромонтажные работы</t>
        </is>
      </c>
      <c r="HQ1210" t="inlineStr">
        <is>
          <t>Электромонтажные работы</t>
        </is>
      </c>
      <c r="HS1210" t="n">
        <v>0</v>
      </c>
      <c r="IK1210" t="n">
        <v>0</v>
      </c>
    </row>
    <row r="1211">
      <c r="A1211" t="n">
        <v>17</v>
      </c>
      <c r="B1211" t="n">
        <v>0</v>
      </c>
      <c r="C1211">
        <f>ROW(SmtRes!A562)</f>
        <v/>
      </c>
      <c r="D1211">
        <f>ROW(EtalonRes!A515)</f>
        <v/>
      </c>
      <c r="E1211" t="inlineStr">
        <is>
          <t>4</t>
        </is>
      </c>
      <c r="F1211" t="inlineStr">
        <is>
          <t>м08-02-403-3</t>
        </is>
      </c>
      <c r="G1211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211" t="inlineStr">
        <is>
          <t>100 м</t>
        </is>
      </c>
      <c r="I1211">
        <f>ROUND(ROUND(1.5/100,4),7)</f>
        <v/>
      </c>
      <c r="J1211" t="n">
        <v>0</v>
      </c>
      <c r="K1211">
        <f>ROUND(ROUND(1.5/100,4),7)</f>
        <v/>
      </c>
      <c r="O1211">
        <f>ROUND(CP1211,0)</f>
        <v/>
      </c>
      <c r="P1211">
        <f>ROUND(CQ1211*I1211,0)</f>
        <v/>
      </c>
      <c r="Q1211">
        <f>(ROUND((ROUND(((ET1211)*I1211),0)*BB1211),0)+ROUND((ROUND(((AE1211-(EU1211))*I1211),0)*BS1211),0))</f>
        <v/>
      </c>
      <c r="R1211">
        <f>(ROUND((ROUND(((EU1211)*I1211),0)*BS1211),0)+ROUND((ROUND(((AE1211-(EU1211))*I1211),0)*BS1211),0))</f>
        <v/>
      </c>
      <c r="S1211">
        <f>ROUND(CT1211*I1211,0)</f>
        <v/>
      </c>
      <c r="T1211">
        <f>ROUND(CU1211*I1211,0)</f>
        <v/>
      </c>
      <c r="U1211">
        <f>ROUND(CV1211*I1211,7)</f>
        <v/>
      </c>
      <c r="V1211">
        <f>ROUND(CW1211*I1211,7)</f>
        <v/>
      </c>
      <c r="W1211">
        <f>ROUND(CX1211*I1211,0)</f>
        <v/>
      </c>
      <c r="X1211">
        <f>ROUND(CY1211,0)</f>
        <v/>
      </c>
      <c r="Y1211">
        <f>ROUND(CZ1211,0)</f>
        <v/>
      </c>
      <c r="AA1211" t="n">
        <v>78869116</v>
      </c>
      <c r="AB1211">
        <f>ROUND((AC1211+AD1211+AF1211),2)</f>
        <v/>
      </c>
      <c r="AC1211">
        <f>ROUND((ES1211),2)</f>
        <v/>
      </c>
      <c r="AD1211">
        <f>ROUND((((ET1211)-(EU1211))+AE1211),2)</f>
        <v/>
      </c>
      <c r="AE1211">
        <f>ROUND((EU1211),2)</f>
        <v/>
      </c>
      <c r="AF1211">
        <f>ROUND((EV1211),2)</f>
        <v/>
      </c>
      <c r="AG1211">
        <f>ROUND((AP1211),2)</f>
        <v/>
      </c>
      <c r="AH1211">
        <f>(EW1211)</f>
        <v/>
      </c>
      <c r="AI1211">
        <f>(EX1211)</f>
        <v/>
      </c>
      <c r="AJ1211">
        <f>(AS1211)</f>
        <v/>
      </c>
      <c r="AK1211" t="n">
        <v>200.71</v>
      </c>
      <c r="AL1211" t="n">
        <v>41.17</v>
      </c>
      <c r="AM1211" t="n">
        <v>4.44</v>
      </c>
      <c r="AN1211" t="n">
        <v>0.27</v>
      </c>
      <c r="AO1211" t="n">
        <v>155.1</v>
      </c>
      <c r="AP1211" t="n">
        <v>0</v>
      </c>
      <c r="AQ1211" t="n">
        <v>16.5</v>
      </c>
      <c r="AR1211" t="n">
        <v>0.02</v>
      </c>
      <c r="AS1211" t="n">
        <v>0</v>
      </c>
      <c r="AT1211" t="n">
        <v>97</v>
      </c>
      <c r="AU1211" t="n">
        <v>51</v>
      </c>
      <c r="AV1211" t="n">
        <v>1</v>
      </c>
      <c r="AW1211" t="n">
        <v>1</v>
      </c>
      <c r="AZ1211" t="n">
        <v>1</v>
      </c>
      <c r="BA1211" t="n">
        <v>52.25</v>
      </c>
      <c r="BB1211" t="n">
        <v>16.59</v>
      </c>
      <c r="BC1211" t="n">
        <v>8.44</v>
      </c>
      <c r="BD1211" t="inlineStr"/>
      <c r="BE1211" t="inlineStr"/>
      <c r="BF1211" t="inlineStr"/>
      <c r="BG1211" t="inlineStr"/>
      <c r="BH1211" t="n">
        <v>0</v>
      </c>
      <c r="BI1211" t="n">
        <v>2</v>
      </c>
      <c r="BJ1211" t="inlineStr">
        <is>
          <t>ТЕРм Московской обл., м08-02-403-3, приказ Минстроя России №675/пр от 28.02.2017 № 259/пр</t>
        </is>
      </c>
      <c r="BM1211" t="n">
        <v>108001</v>
      </c>
      <c r="BN1211" t="n">
        <v>0</v>
      </c>
      <c r="BO1211" t="inlineStr">
        <is>
          <t>м08-02-403-3</t>
        </is>
      </c>
      <c r="BP1211" t="n">
        <v>1</v>
      </c>
      <c r="BQ1211" t="n">
        <v>3</v>
      </c>
      <c r="BR1211" t="n">
        <v>0</v>
      </c>
      <c r="BS1211" t="n">
        <v>52.25</v>
      </c>
      <c r="BT1211" t="n">
        <v>1</v>
      </c>
      <c r="BU1211" t="n">
        <v>1</v>
      </c>
      <c r="BV1211" t="n">
        <v>1</v>
      </c>
      <c r="BW1211" t="n">
        <v>1</v>
      </c>
      <c r="BX1211" t="n">
        <v>1</v>
      </c>
      <c r="BY1211" t="inlineStr"/>
      <c r="BZ1211" t="n">
        <v>97</v>
      </c>
      <c r="CA1211" t="n">
        <v>51</v>
      </c>
      <c r="CB1211" t="inlineStr"/>
      <c r="CE1211" t="n">
        <v>12</v>
      </c>
      <c r="CF1211" t="n">
        <v>0</v>
      </c>
      <c r="CG1211" t="n">
        <v>0</v>
      </c>
      <c r="CM1211" t="n">
        <v>0</v>
      </c>
      <c r="CN1211" t="inlineStr"/>
      <c r="CO1211" t="n">
        <v>0</v>
      </c>
      <c r="CP1211">
        <f>(P1211+Q1211+S1211)</f>
        <v/>
      </c>
      <c r="CQ1211">
        <f>AC1211*BC1211</f>
        <v/>
      </c>
      <c r="CR1211">
        <f>(ROUND((ROUND(((ET1211)*1),0)*BB1211),0)+ROUND((ROUND(((AE1211-(EU1211))*1),0)*BS1211),0))</f>
        <v/>
      </c>
      <c r="CS1211">
        <f>(ROUND((ROUND(((EU1211)*1),0)*BS1211),0)+ROUND((ROUND(((AE1211-(EU1211))*1),0)*BS1211),0))</f>
        <v/>
      </c>
      <c r="CT1211">
        <f>AF1211*BA1211</f>
        <v/>
      </c>
      <c r="CU1211">
        <f>AG1211</f>
        <v/>
      </c>
      <c r="CV1211">
        <f>AH1211</f>
        <v/>
      </c>
      <c r="CW1211">
        <f>AI1211</f>
        <v/>
      </c>
      <c r="CX1211">
        <f>AJ1211</f>
        <v/>
      </c>
      <c r="CY1211">
        <f>(((S1211+R1211)*AT1211)/100)</f>
        <v/>
      </c>
      <c r="CZ1211">
        <f>(((S1211+R1211)*AU1211)/100)</f>
        <v/>
      </c>
      <c r="DC1211" t="inlineStr"/>
      <c r="DD1211" t="inlineStr"/>
      <c r="DE1211" t="inlineStr"/>
      <c r="DF1211" t="inlineStr"/>
      <c r="DG1211" t="inlineStr"/>
      <c r="DH1211" t="inlineStr"/>
      <c r="DI1211" t="inlineStr"/>
      <c r="DJ1211" t="inlineStr"/>
      <c r="DK1211" t="inlineStr"/>
      <c r="DL1211" t="inlineStr"/>
      <c r="DM1211" t="inlineStr"/>
      <c r="DN1211" t="n">
        <v>0</v>
      </c>
      <c r="DO1211" t="n">
        <v>0</v>
      </c>
      <c r="DP1211" t="n">
        <v>1</v>
      </c>
      <c r="DQ1211" t="n">
        <v>1</v>
      </c>
      <c r="DU1211" t="n">
        <v>1003</v>
      </c>
      <c r="DV1211" t="inlineStr">
        <is>
          <t>100 м</t>
        </is>
      </c>
      <c r="DW1211" t="inlineStr">
        <is>
          <t>100 м</t>
        </is>
      </c>
      <c r="DX1211" t="n">
        <v>100</v>
      </c>
      <c r="DZ1211" t="inlineStr"/>
      <c r="EA1211" t="inlineStr"/>
      <c r="EB1211" t="inlineStr"/>
      <c r="EC1211" t="inlineStr"/>
      <c r="EE1211" t="n">
        <v>78725665</v>
      </c>
      <c r="EF1211" t="n">
        <v>3</v>
      </c>
      <c r="EG1211" t="inlineStr">
        <is>
          <t>Монтажные работы</t>
        </is>
      </c>
      <c r="EH1211" t="n">
        <v>0</v>
      </c>
      <c r="EI1211" t="inlineStr"/>
      <c r="EJ1211" t="n">
        <v>2</v>
      </c>
      <c r="EK1211" t="n">
        <v>108001</v>
      </c>
      <c r="EL1211" t="inlineStr">
        <is>
          <t>Электротехнические установки: на других объектах</t>
        </is>
      </c>
      <c r="EM1211" t="inlineStr">
        <is>
          <t>мФЕР-08</t>
        </is>
      </c>
      <c r="EO1211" t="inlineStr"/>
      <c r="EQ1211" t="n">
        <v>0</v>
      </c>
      <c r="ER1211" t="n">
        <v>200.71</v>
      </c>
      <c r="ES1211" t="n">
        <v>41.17</v>
      </c>
      <c r="ET1211" t="n">
        <v>4.44</v>
      </c>
      <c r="EU1211" t="n">
        <v>0.27</v>
      </c>
      <c r="EV1211" t="n">
        <v>155.1</v>
      </c>
      <c r="EW1211" t="n">
        <v>16.5</v>
      </c>
      <c r="EX1211" t="n">
        <v>0.02</v>
      </c>
      <c r="EY1211" t="n">
        <v>0</v>
      </c>
      <c r="FQ1211" t="n">
        <v>0</v>
      </c>
      <c r="FR1211" t="n">
        <v>0</v>
      </c>
      <c r="FS1211" t="n">
        <v>0</v>
      </c>
      <c r="FX1211" t="n">
        <v>97</v>
      </c>
      <c r="FY1211" t="n">
        <v>51</v>
      </c>
      <c r="GA1211" t="inlineStr"/>
      <c r="GD1211" t="n">
        <v>1</v>
      </c>
      <c r="GF1211" t="n">
        <v>-134942991</v>
      </c>
      <c r="GG1211" t="n">
        <v>2</v>
      </c>
      <c r="GH1211" t="n">
        <v>1</v>
      </c>
      <c r="GI1211" t="n">
        <v>2</v>
      </c>
      <c r="GJ1211" t="n">
        <v>0</v>
      </c>
      <c r="GK1211" t="n">
        <v>0</v>
      </c>
      <c r="GL1211">
        <f>ROUND(IF(AND(BH1211=3,BI1211=3,FS1211&lt;&gt;0),P1211,0),0)</f>
        <v/>
      </c>
      <c r="GM1211">
        <f>ROUND(O1211+X1211+Y1211,0)+GX1211</f>
        <v/>
      </c>
      <c r="GN1211">
        <f>IF(OR(BI1211=0,BI1211=1),GM1211-GX1211,0)</f>
        <v/>
      </c>
      <c r="GO1211">
        <f>IF(BI1211=2,GM1211-GX1211,0)</f>
        <v/>
      </c>
      <c r="GP1211">
        <f>IF(BI1211=4,GM1211-GX1211,0)</f>
        <v/>
      </c>
      <c r="GR1211" t="n">
        <v>0</v>
      </c>
      <c r="GS1211" t="n">
        <v>3</v>
      </c>
      <c r="GT1211" t="n">
        <v>0</v>
      </c>
      <c r="GU1211" t="inlineStr"/>
      <c r="GV1211">
        <f>ROUND((GT1211),2)</f>
        <v/>
      </c>
      <c r="GW1211" t="n">
        <v>1</v>
      </c>
      <c r="GX1211">
        <f>ROUND(HC1211*I1211,0)</f>
        <v/>
      </c>
      <c r="HA1211" t="n">
        <v>0</v>
      </c>
      <c r="HB1211" t="n">
        <v>0</v>
      </c>
      <c r="HC1211">
        <f>GV1211*GW1211</f>
        <v/>
      </c>
      <c r="HE1211" t="inlineStr"/>
      <c r="HF1211" t="inlineStr"/>
      <c r="HM1211" t="inlineStr"/>
      <c r="HN1211" t="inlineStr">
        <is>
          <t>Пр/812-049.3-1</t>
        </is>
      </c>
      <c r="HO1211" t="inlineStr">
        <is>
          <t>Пр/774-049.3</t>
        </is>
      </c>
      <c r="HP1211" t="inlineStr">
        <is>
          <t>Электротехнические установки: на других объектах</t>
        </is>
      </c>
      <c r="HQ1211" t="inlineStr">
        <is>
          <t>Электротехнические установки: на других объектах</t>
        </is>
      </c>
      <c r="HS1211" t="n">
        <v>0</v>
      </c>
      <c r="IK1211" t="n">
        <v>0</v>
      </c>
    </row>
    <row r="1212">
      <c r="A1212" t="n">
        <v>18</v>
      </c>
      <c r="B1212" t="n">
        <v>0</v>
      </c>
      <c r="C1212" t="n">
        <v>560</v>
      </c>
      <c r="E1212" t="inlineStr">
        <is>
          <t>4,1</t>
        </is>
      </c>
      <c r="F1212" t="inlineStr">
        <is>
          <t>501-8647</t>
        </is>
      </c>
      <c r="G1212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1212" t="inlineStr">
        <is>
          <t>1000 м</t>
        </is>
      </c>
      <c r="I1212">
        <f>I1211*J1212</f>
        <v/>
      </c>
      <c r="J1212" t="n">
        <v>1</v>
      </c>
      <c r="K1212" t="n">
        <v>1</v>
      </c>
      <c r="O1212">
        <f>ROUND(CP1212,0)</f>
        <v/>
      </c>
      <c r="P1212">
        <f>ROUND(CQ1212*I1212,0)</f>
        <v/>
      </c>
      <c r="Q1212">
        <f>(ROUND((ROUND(((ET1212)*I1212),0)*BB1212),0)+ROUND((ROUND(((AE1212-(EU1212))*I1212),0)*BS1212),0))</f>
        <v/>
      </c>
      <c r="R1212">
        <f>(ROUND((ROUND(((EU1212)*I1212),0)*BS1212),0)+ROUND((ROUND(((AE1212-(EU1212))*I1212),0)*BS1212),0))</f>
        <v/>
      </c>
      <c r="S1212">
        <f>ROUND(CT1212*I1212,0)</f>
        <v/>
      </c>
      <c r="T1212">
        <f>ROUND(CU1212*I1212,0)</f>
        <v/>
      </c>
      <c r="U1212">
        <f>ROUND(CV1212*I1212,7)</f>
        <v/>
      </c>
      <c r="V1212">
        <f>ROUND(CW1212*I1212,7)</f>
        <v/>
      </c>
      <c r="W1212">
        <f>ROUND(CX1212*I1212,0)</f>
        <v/>
      </c>
      <c r="X1212">
        <f>ROUND(CY1212,0)</f>
        <v/>
      </c>
      <c r="Y1212">
        <f>ROUND(CZ1212,0)</f>
        <v/>
      </c>
      <c r="AA1212" t="n">
        <v>78869116</v>
      </c>
      <c r="AB1212">
        <f>ROUND((AC1212+AD1212+AF1212),2)</f>
        <v/>
      </c>
      <c r="AC1212">
        <f>ROUND((ES1212),2)</f>
        <v/>
      </c>
      <c r="AD1212">
        <f>ROUND((((ET1212)-(EU1212))+AE1212),2)</f>
        <v/>
      </c>
      <c r="AE1212">
        <f>ROUND((EU1212),2)</f>
        <v/>
      </c>
      <c r="AF1212">
        <f>ROUND((EV1212),2)</f>
        <v/>
      </c>
      <c r="AG1212">
        <f>ROUND((AP1212),2)</f>
        <v/>
      </c>
      <c r="AH1212">
        <f>(EW1212)</f>
        <v/>
      </c>
      <c r="AI1212">
        <f>(EX1212)</f>
        <v/>
      </c>
      <c r="AJ1212">
        <f>(AS1212)</f>
        <v/>
      </c>
      <c r="AK1212" t="n">
        <v>3379.32</v>
      </c>
      <c r="AL1212" t="n">
        <v>3379.32</v>
      </c>
      <c r="AM1212" t="n">
        <v>0</v>
      </c>
      <c r="AN1212" t="n">
        <v>0</v>
      </c>
      <c r="AO1212" t="n">
        <v>0</v>
      </c>
      <c r="AP1212" t="n">
        <v>0</v>
      </c>
      <c r="AQ1212" t="n">
        <v>0</v>
      </c>
      <c r="AR1212" t="n">
        <v>0</v>
      </c>
      <c r="AS1212" t="n">
        <v>6.04</v>
      </c>
      <c r="AT1212" t="n">
        <v>97</v>
      </c>
      <c r="AU1212" t="n">
        <v>51</v>
      </c>
      <c r="AV1212" t="n">
        <v>1</v>
      </c>
      <c r="AW1212" t="n">
        <v>1</v>
      </c>
      <c r="AZ1212" t="n">
        <v>1</v>
      </c>
      <c r="BA1212" t="n">
        <v>1</v>
      </c>
      <c r="BB1212" t="n">
        <v>1</v>
      </c>
      <c r="BC1212" t="n">
        <v>15.94</v>
      </c>
      <c r="BD1212" t="inlineStr"/>
      <c r="BE1212" t="inlineStr"/>
      <c r="BF1212" t="inlineStr"/>
      <c r="BG1212" t="inlineStr"/>
      <c r="BH1212" t="n">
        <v>3</v>
      </c>
      <c r="BI1212" t="n">
        <v>2</v>
      </c>
      <c r="BJ1212" t="inlineStr">
        <is>
          <t>ТССЦ Московской обл., 501-8647, приказ Минстроя России №675/пр от 28.02.2017 № 258/пр</t>
        </is>
      </c>
      <c r="BM1212" t="n">
        <v>108001</v>
      </c>
      <c r="BN1212" t="n">
        <v>0</v>
      </c>
      <c r="BO1212" t="inlineStr">
        <is>
          <t>501-8647</t>
        </is>
      </c>
      <c r="BP1212" t="n">
        <v>1</v>
      </c>
      <c r="BQ1212" t="n">
        <v>3</v>
      </c>
      <c r="BR1212" t="n">
        <v>0</v>
      </c>
      <c r="BS1212" t="n">
        <v>1</v>
      </c>
      <c r="BT1212" t="n">
        <v>1</v>
      </c>
      <c r="BU1212" t="n">
        <v>1</v>
      </c>
      <c r="BV1212" t="n">
        <v>1</v>
      </c>
      <c r="BW1212" t="n">
        <v>1</v>
      </c>
      <c r="BX1212" t="n">
        <v>1</v>
      </c>
      <c r="BY1212" t="inlineStr"/>
      <c r="BZ1212" t="n">
        <v>97</v>
      </c>
      <c r="CA1212" t="n">
        <v>51</v>
      </c>
      <c r="CB1212" t="inlineStr"/>
      <c r="CE1212" t="n">
        <v>12</v>
      </c>
      <c r="CF1212" t="n">
        <v>0</v>
      </c>
      <c r="CG1212" t="n">
        <v>0</v>
      </c>
      <c r="CM1212" t="n">
        <v>0</v>
      </c>
      <c r="CN1212" t="inlineStr"/>
      <c r="CO1212" t="n">
        <v>0</v>
      </c>
      <c r="CP1212">
        <f>(P1212+Q1212+S1212)</f>
        <v/>
      </c>
      <c r="CQ1212">
        <f>AC1212*BC1212</f>
        <v/>
      </c>
      <c r="CR1212">
        <f>(ROUND((ROUND(((ET1212)*1),0)*BB1212),0)+ROUND((ROUND(((AE1212-(EU1212))*1),0)*BS1212),0))</f>
        <v/>
      </c>
      <c r="CS1212">
        <f>(ROUND((ROUND(((EU1212)*1),0)*BS1212),0)+ROUND((ROUND(((AE1212-(EU1212))*1),0)*BS1212),0))</f>
        <v/>
      </c>
      <c r="CT1212">
        <f>AF1212*BA1212</f>
        <v/>
      </c>
      <c r="CU1212">
        <f>AG1212</f>
        <v/>
      </c>
      <c r="CV1212">
        <f>AH1212</f>
        <v/>
      </c>
      <c r="CW1212">
        <f>AI1212</f>
        <v/>
      </c>
      <c r="CX1212">
        <f>AJ1212</f>
        <v/>
      </c>
      <c r="CY1212">
        <f>(((S1212+R1212)*AT1212)/100)</f>
        <v/>
      </c>
      <c r="CZ1212">
        <f>(((S1212+R1212)*AU1212)/100)</f>
        <v/>
      </c>
      <c r="DC1212" t="inlineStr"/>
      <c r="DD1212" t="inlineStr"/>
      <c r="DE1212" t="inlineStr"/>
      <c r="DF1212" t="inlineStr"/>
      <c r="DG1212" t="inlineStr"/>
      <c r="DH1212" t="inlineStr"/>
      <c r="DI1212" t="inlineStr"/>
      <c r="DJ1212" t="inlineStr"/>
      <c r="DK1212" t="inlineStr"/>
      <c r="DL1212" t="inlineStr"/>
      <c r="DM1212" t="inlineStr"/>
      <c r="DN1212" t="n">
        <v>0</v>
      </c>
      <c r="DO1212" t="n">
        <v>0</v>
      </c>
      <c r="DP1212" t="n">
        <v>1</v>
      </c>
      <c r="DQ1212" t="n">
        <v>1</v>
      </c>
      <c r="DU1212" t="n">
        <v>1013</v>
      </c>
      <c r="DV1212" t="inlineStr">
        <is>
          <t>1000 м</t>
        </is>
      </c>
      <c r="DW1212" t="inlineStr">
        <is>
          <t>1000 М</t>
        </is>
      </c>
      <c r="DX1212" t="n">
        <v>1</v>
      </c>
      <c r="DZ1212" t="inlineStr"/>
      <c r="EA1212" t="inlineStr"/>
      <c r="EB1212" t="inlineStr"/>
      <c r="EC1212" t="inlineStr"/>
      <c r="EE1212" t="n">
        <v>78725665</v>
      </c>
      <c r="EF1212" t="n">
        <v>3</v>
      </c>
      <c r="EG1212" t="inlineStr">
        <is>
          <t>Монтажные работы</t>
        </is>
      </c>
      <c r="EH1212" t="n">
        <v>0</v>
      </c>
      <c r="EI1212" t="inlineStr"/>
      <c r="EJ1212" t="n">
        <v>2</v>
      </c>
      <c r="EK1212" t="n">
        <v>108001</v>
      </c>
      <c r="EL1212" t="inlineStr">
        <is>
          <t>Электротехнические установки: на других объектах</t>
        </is>
      </c>
      <c r="EM1212" t="inlineStr">
        <is>
          <t>мФЕР-08</t>
        </is>
      </c>
      <c r="EO1212" t="inlineStr"/>
      <c r="EQ1212" t="n">
        <v>0</v>
      </c>
      <c r="ER1212" t="n">
        <v>3379.32</v>
      </c>
      <c r="ES1212" t="n">
        <v>3379.32</v>
      </c>
      <c r="ET1212" t="n">
        <v>0</v>
      </c>
      <c r="EU1212" t="n">
        <v>0</v>
      </c>
      <c r="EV1212" t="n">
        <v>0</v>
      </c>
      <c r="EW1212" t="n">
        <v>0</v>
      </c>
      <c r="EX1212" t="n">
        <v>0</v>
      </c>
      <c r="FQ1212" t="n">
        <v>0</v>
      </c>
      <c r="FR1212" t="n">
        <v>0</v>
      </c>
      <c r="FS1212" t="n">
        <v>0</v>
      </c>
      <c r="FX1212" t="n">
        <v>97</v>
      </c>
      <c r="FY1212" t="n">
        <v>51</v>
      </c>
      <c r="GA1212" t="inlineStr"/>
      <c r="GD1212" t="n">
        <v>1</v>
      </c>
      <c r="GF1212" t="n">
        <v>1820439132</v>
      </c>
      <c r="GG1212" t="n">
        <v>2</v>
      </c>
      <c r="GH1212" t="n">
        <v>1</v>
      </c>
      <c r="GI1212" t="n">
        <v>2</v>
      </c>
      <c r="GJ1212" t="n">
        <v>0</v>
      </c>
      <c r="GK1212" t="n">
        <v>0</v>
      </c>
      <c r="GL1212">
        <f>ROUND(IF(AND(BH1212=3,BI1212=3,FS1212&lt;&gt;0),P1212,0),0)</f>
        <v/>
      </c>
      <c r="GM1212">
        <f>ROUND(O1212+X1212+Y1212,0)+GX1212</f>
        <v/>
      </c>
      <c r="GN1212">
        <f>IF(OR(BI1212=0,BI1212=1),GM1212-GX1212,0)</f>
        <v/>
      </c>
      <c r="GO1212">
        <f>IF(BI1212=2,GM1212-GX1212,0)</f>
        <v/>
      </c>
      <c r="GP1212">
        <f>IF(BI1212=4,GM1212-GX1212,0)</f>
        <v/>
      </c>
      <c r="GR1212" t="n">
        <v>0</v>
      </c>
      <c r="GS1212" t="n">
        <v>3</v>
      </c>
      <c r="GT1212" t="n">
        <v>0</v>
      </c>
      <c r="GU1212" t="inlineStr"/>
      <c r="GV1212">
        <f>ROUND((GT1212),2)</f>
        <v/>
      </c>
      <c r="GW1212" t="n">
        <v>1</v>
      </c>
      <c r="GX1212">
        <f>ROUND(HC1212*I1212,0)</f>
        <v/>
      </c>
      <c r="HA1212" t="n">
        <v>0</v>
      </c>
      <c r="HB1212" t="n">
        <v>0</v>
      </c>
      <c r="HC1212">
        <f>GV1212*GW1212</f>
        <v/>
      </c>
      <c r="HE1212" t="inlineStr"/>
      <c r="HF1212" t="inlineStr"/>
      <c r="HM1212" t="inlineStr"/>
      <c r="HN1212" t="inlineStr">
        <is>
          <t>Пр/812-049.3-1</t>
        </is>
      </c>
      <c r="HO1212" t="inlineStr">
        <is>
          <t>Пр/774-049.3</t>
        </is>
      </c>
      <c r="HP1212" t="inlineStr">
        <is>
          <t>Электротехнические установки: на других объектах</t>
        </is>
      </c>
      <c r="HQ1212" t="inlineStr">
        <is>
          <t>Электротехнические установки: на других объектах</t>
        </is>
      </c>
      <c r="HS1212" t="n">
        <v>0</v>
      </c>
      <c r="IK1212" t="n">
        <v>0</v>
      </c>
    </row>
    <row r="1213">
      <c r="A1213" t="n">
        <v>17</v>
      </c>
      <c r="B1213" t="n">
        <v>0</v>
      </c>
      <c r="C1213">
        <f>ROW(SmtRes!A568)</f>
        <v/>
      </c>
      <c r="D1213">
        <f>ROW(EtalonRes!A521)</f>
        <v/>
      </c>
      <c r="E1213" t="inlineStr">
        <is>
          <t>5</t>
        </is>
      </c>
      <c r="F1213" t="inlineStr">
        <is>
          <t>16-07-005-1</t>
        </is>
      </c>
      <c r="G1213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13" t="inlineStr">
        <is>
          <t>100 м трубопровода</t>
        </is>
      </c>
      <c r="I1213">
        <f>ROUND(ROUND(90/100,4),7)</f>
        <v/>
      </c>
      <c r="J1213" t="n">
        <v>0</v>
      </c>
      <c r="K1213">
        <f>ROUND(ROUND(90/100,4),7)</f>
        <v/>
      </c>
      <c r="O1213">
        <f>ROUND(CP1213,0)</f>
        <v/>
      </c>
      <c r="P1213">
        <f>ROUND(CQ1213*I1213,0)</f>
        <v/>
      </c>
      <c r="Q1213">
        <f>(ROUND((ROUND((((ET1213*ROUND(7,7)))*I1213),0)*BB1213),0)+ROUND((ROUND(((AE1213-((EU1213*ROUND(7,7))))*I1213),0)*BS1213),0))</f>
        <v/>
      </c>
      <c r="R1213">
        <f>(ROUND((ROUND((((EU1213*ROUND(7,7)))*I1213),0)*BS1213),0)+ROUND((ROUND(((AE1213-((EU1213*ROUND(7,7))))*I1213),0)*BS1213),0))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78869116</v>
      </c>
      <c r="AB1213">
        <f>ROUND((AC1213+AD1213+AF1213),2)</f>
        <v/>
      </c>
      <c r="AC1213">
        <f>ROUND(((ES1213*ROUND(7,7))),2)</f>
        <v/>
      </c>
      <c r="AD1213">
        <f>ROUND(((((ET1213*ROUND(7,7)))-((EU1213*ROUND(7,7))))+AE1213),2)</f>
        <v/>
      </c>
      <c r="AE1213">
        <f>ROUND(((EU1213*ROUND(7,7))),2)</f>
        <v/>
      </c>
      <c r="AF1213">
        <f>ROUND(((EV1213*ROUND(7,7))),2)</f>
        <v/>
      </c>
      <c r="AG1213">
        <f>ROUND((AP1213),2)</f>
        <v/>
      </c>
      <c r="AH1213">
        <f>((EW1213*ROUND(7,7)))</f>
        <v/>
      </c>
      <c r="AI1213">
        <f>((EX1213*ROUND(7,7)))</f>
        <v/>
      </c>
      <c r="AJ1213">
        <f>(AS1213)</f>
        <v/>
      </c>
      <c r="AK1213" t="n">
        <v>107.11</v>
      </c>
      <c r="AL1213" t="n">
        <v>4.28</v>
      </c>
      <c r="AM1213" t="n">
        <v>44.51</v>
      </c>
      <c r="AN1213" t="n">
        <v>0</v>
      </c>
      <c r="AO1213" t="n">
        <v>58.32</v>
      </c>
      <c r="AP1213" t="n">
        <v>0</v>
      </c>
      <c r="AQ1213" t="n">
        <v>5.01</v>
      </c>
      <c r="AR1213" t="n">
        <v>0</v>
      </c>
      <c r="AS1213" t="n">
        <v>0</v>
      </c>
      <c r="AT1213" t="n">
        <v>121</v>
      </c>
      <c r="AU1213" t="n">
        <v>72</v>
      </c>
      <c r="AV1213" t="n">
        <v>1</v>
      </c>
      <c r="AW1213" t="n">
        <v>1</v>
      </c>
      <c r="AZ1213" t="n">
        <v>1</v>
      </c>
      <c r="BA1213" t="n">
        <v>52.25</v>
      </c>
      <c r="BB1213" t="n">
        <v>5.97</v>
      </c>
      <c r="BC1213" t="n">
        <v>11.38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 Московской обл., 16-07-005-1, приказ Минстроя России №675/пр от 28.02.2017 № 260/пр</t>
        </is>
      </c>
      <c r="BM1213" t="n">
        <v>16001</v>
      </c>
      <c r="BN1213" t="n">
        <v>0</v>
      </c>
      <c r="BO1213" t="inlineStr">
        <is>
          <t>16-07-005-1</t>
        </is>
      </c>
      <c r="BP1213" t="n">
        <v>1</v>
      </c>
      <c r="BQ1213" t="n">
        <v>2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121</v>
      </c>
      <c r="CA1213" t="n">
        <v>72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(ROUND((ROUND((((ET1213*ROUND(7,7)))*1),0)*BB1213),0)+ROUND((ROUND(((AE1213-((EU1213*ROUND(7,7))))*1),0)*BS1213),0))</f>
        <v/>
      </c>
      <c r="CS1213">
        <f>(ROUND((ROUND((((EU1213*ROUND(7,7)))*1),0)*BS1213),0)+ROUND((ROUND(((AE1213-((EU1213*ROUND(7,7))))*1),0)*BS1213),0))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>
        <is>
          <t>)*7</t>
        </is>
      </c>
      <c r="DE1213" t="inlineStr">
        <is>
          <t>)*7</t>
        </is>
      </c>
      <c r="DF1213" t="inlineStr">
        <is>
          <t>)*7</t>
        </is>
      </c>
      <c r="DG1213" t="inlineStr">
        <is>
          <t>)*7</t>
        </is>
      </c>
      <c r="DH1213" t="inlineStr"/>
      <c r="DI1213" t="inlineStr">
        <is>
          <t>)*7</t>
        </is>
      </c>
      <c r="DJ1213" t="inlineStr">
        <is>
          <t>)*7</t>
        </is>
      </c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78725882</v>
      </c>
      <c r="EF1213" t="n">
        <v>2</v>
      </c>
      <c r="EG1213" t="inlineStr">
        <is>
          <t>Общестроительные работы</t>
        </is>
      </c>
      <c r="EH1213" t="n">
        <v>16</v>
      </c>
      <c r="EI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3" t="n">
        <v>1</v>
      </c>
      <c r="EK1213" t="n">
        <v>16001</v>
      </c>
      <c r="EL1213" t="inlineStr">
        <is>
          <t>Трубопроводы внутренние</t>
        </is>
      </c>
      <c r="EM1213" t="inlineStr">
        <is>
          <t>ФЕР-16</t>
        </is>
      </c>
      <c r="EO1213" t="inlineStr"/>
      <c r="EQ1213" t="n">
        <v>0</v>
      </c>
      <c r="ER1213" t="n">
        <v>107.11</v>
      </c>
      <c r="ES1213" t="n">
        <v>4.28</v>
      </c>
      <c r="ET1213" t="n">
        <v>44.51</v>
      </c>
      <c r="EU1213" t="n">
        <v>0</v>
      </c>
      <c r="EV1213" t="n">
        <v>58.32</v>
      </c>
      <c r="EW1213" t="n">
        <v>5.01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121</v>
      </c>
      <c r="FY1213" t="n">
        <v>72</v>
      </c>
      <c r="GA1213" t="inlineStr"/>
      <c r="GD1213" t="n">
        <v>1</v>
      </c>
      <c r="GF1213" t="n">
        <v>635989612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Пр/812-016.0-1</t>
        </is>
      </c>
      <c r="HO1213" t="inlineStr">
        <is>
          <t>Пр/774-016.0</t>
        </is>
      </c>
      <c r="HP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3" t="n">
        <v>0</v>
      </c>
      <c r="IK1213" t="n">
        <v>0</v>
      </c>
    </row>
    <row r="1214">
      <c r="A1214" t="n">
        <v>17</v>
      </c>
      <c r="B1214" t="n">
        <v>0</v>
      </c>
      <c r="C1214">
        <f>ROW(SmtRes!A576)</f>
        <v/>
      </c>
      <c r="D1214">
        <f>ROW(EtalonRes!A528)</f>
        <v/>
      </c>
      <c r="E1214" t="inlineStr">
        <is>
          <t>6</t>
        </is>
      </c>
      <c r="F1214" t="inlineStr">
        <is>
          <t>65-5-1</t>
        </is>
      </c>
      <c r="G1214" t="inlineStr">
        <is>
          <t>Смена вентилей и клапанов обратных муфтовых диаметром до 20 мм</t>
        </is>
      </c>
      <c r="H1214" t="inlineStr">
        <is>
          <t>100 шт.</t>
        </is>
      </c>
      <c r="I1214">
        <f>ROUND(ROUND(5/100,4),7)</f>
        <v/>
      </c>
      <c r="J1214" t="n">
        <v>0</v>
      </c>
      <c r="K1214">
        <f>ROUND(ROUND(5/100,4),7)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78869116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2979.16</v>
      </c>
      <c r="AL1214" t="n">
        <v>2240.13</v>
      </c>
      <c r="AM1214" t="n">
        <v>4.36</v>
      </c>
      <c r="AN1214" t="n">
        <v>0</v>
      </c>
      <c r="AO1214" t="n">
        <v>734.67</v>
      </c>
      <c r="AP1214" t="n">
        <v>0</v>
      </c>
      <c r="AQ1214" t="n">
        <v>81</v>
      </c>
      <c r="AR1214" t="n">
        <v>0</v>
      </c>
      <c r="AS1214" t="n">
        <v>0</v>
      </c>
      <c r="AT1214" t="n">
        <v>103</v>
      </c>
      <c r="AU1214" t="n">
        <v>52</v>
      </c>
      <c r="AV1214" t="n">
        <v>1</v>
      </c>
      <c r="AW1214" t="n">
        <v>1</v>
      </c>
      <c r="AZ1214" t="n">
        <v>1</v>
      </c>
      <c r="BA1214" t="n">
        <v>52.25</v>
      </c>
      <c r="BB1214" t="n">
        <v>24.98</v>
      </c>
      <c r="BC1214" t="n">
        <v>10.16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ТЕРр Московской обл., 65-5-1, приказ Минстроя России №675/пр от 28.02.2017 № 263/пр</t>
        </is>
      </c>
      <c r="BM1214" t="n">
        <v>65007</v>
      </c>
      <c r="BN1214" t="n">
        <v>0</v>
      </c>
      <c r="BO1214" t="inlineStr">
        <is>
          <t>65-5-1</t>
        </is>
      </c>
      <c r="BP1214" t="n">
        <v>1</v>
      </c>
      <c r="BQ1214" t="n">
        <v>6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103</v>
      </c>
      <c r="CA1214" t="n">
        <v>52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1010</v>
      </c>
      <c r="DV1214" t="inlineStr">
        <is>
          <t>100 шт.</t>
        </is>
      </c>
      <c r="DW1214" t="inlineStr">
        <is>
          <t>100 шт.</t>
        </is>
      </c>
      <c r="DX1214" t="n">
        <v>100</v>
      </c>
      <c r="DZ1214" t="inlineStr"/>
      <c r="EA1214" t="inlineStr"/>
      <c r="EB1214" t="inlineStr"/>
      <c r="EC1214" t="inlineStr"/>
      <c r="EE1214" t="n">
        <v>78726000</v>
      </c>
      <c r="EF1214" t="n">
        <v>6</v>
      </c>
      <c r="EG1214" t="inlineStr">
        <is>
          <t>Ремонтно-строительные работы</t>
        </is>
      </c>
      <c r="EH1214" t="n">
        <v>99</v>
      </c>
      <c r="EI1214" t="inlineStr">
        <is>
          <t>Внутренние санитарно-технические работы</t>
        </is>
      </c>
      <c r="EJ1214" t="n">
        <v>1</v>
      </c>
      <c r="EK1214" t="n">
        <v>65007</v>
      </c>
      <c r="EL1214" t="inlineStr">
        <is>
          <t>Внутренние санитарнотехнические работы: смена труб, санприборов, запорной арматуры и другое</t>
        </is>
      </c>
      <c r="EM1214" t="inlineStr">
        <is>
          <t>рФЕР-65</t>
        </is>
      </c>
      <c r="EO1214" t="inlineStr"/>
      <c r="EQ1214" t="n">
        <v>0</v>
      </c>
      <c r="ER1214" t="n">
        <v>2979.16</v>
      </c>
      <c r="ES1214" t="n">
        <v>2240.13</v>
      </c>
      <c r="ET1214" t="n">
        <v>4.36</v>
      </c>
      <c r="EU1214" t="n">
        <v>0</v>
      </c>
      <c r="EV1214" t="n">
        <v>734.67</v>
      </c>
      <c r="EW1214" t="n">
        <v>81</v>
      </c>
      <c r="EX1214" t="n">
        <v>0</v>
      </c>
      <c r="EY1214" t="n">
        <v>0</v>
      </c>
      <c r="FQ1214" t="n">
        <v>0</v>
      </c>
      <c r="FR1214" t="n">
        <v>0</v>
      </c>
      <c r="FS1214" t="n">
        <v>0</v>
      </c>
      <c r="FX1214" t="n">
        <v>103</v>
      </c>
      <c r="FY1214" t="n">
        <v>52</v>
      </c>
      <c r="GA1214" t="inlineStr"/>
      <c r="GD1214" t="n">
        <v>1</v>
      </c>
      <c r="GF1214" t="n">
        <v>152852496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Пр/812-099.2-1</t>
        </is>
      </c>
      <c r="HO1214" t="inlineStr">
        <is>
          <t>Пр/774-099.2</t>
        </is>
      </c>
      <c r="HP1214" t="inlineStr">
        <is>
          <t>Внутренние санитарнотехнические работы: смена труб, санприборов, запорной арматуры и другое</t>
        </is>
      </c>
      <c r="HQ1214" t="inlineStr">
        <is>
          <t>Внутренние санитарнотехнические работы: смена труб, санприборов, запорной арматуры и другое</t>
        </is>
      </c>
      <c r="HS1214" t="n">
        <v>0</v>
      </c>
      <c r="IK1214" t="n">
        <v>0</v>
      </c>
    </row>
    <row r="1215">
      <c r="A1215" t="n">
        <v>18</v>
      </c>
      <c r="B1215" t="n">
        <v>0</v>
      </c>
      <c r="C1215" t="n">
        <v>576</v>
      </c>
      <c r="E1215" t="inlineStr">
        <is>
          <t>6,1</t>
        </is>
      </c>
      <c r="F1215" t="inlineStr">
        <is>
          <t>509-9899</t>
        </is>
      </c>
      <c r="G1215" t="inlineStr">
        <is>
          <t>Строительный мусор и масса возвратных материалов</t>
        </is>
      </c>
      <c r="H1215" t="inlineStr">
        <is>
          <t>т</t>
        </is>
      </c>
      <c r="I1215">
        <f>I1214*J1215</f>
        <v/>
      </c>
      <c r="J1215" t="n">
        <v>0.04</v>
      </c>
      <c r="K1215" t="n">
        <v>0.04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78869116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0</v>
      </c>
      <c r="AL1215" t="n">
        <v>0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</v>
      </c>
      <c r="AT1215" t="n">
        <v>103</v>
      </c>
      <c r="AU1215" t="n">
        <v>52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1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509-9899, приказ Минстроя России №675/пр от 28.02.2017 № 258/пр</t>
        </is>
      </c>
      <c r="BM1215" t="n">
        <v>65007</v>
      </c>
      <c r="BN1215" t="n">
        <v>0</v>
      </c>
      <c r="BO1215" t="inlineStr"/>
      <c r="BP1215" t="n">
        <v>0</v>
      </c>
      <c r="BQ1215" t="n">
        <v>6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103</v>
      </c>
      <c r="CA1215" t="n">
        <v>52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1009</v>
      </c>
      <c r="DV1215" t="inlineStr">
        <is>
          <t>т</t>
        </is>
      </c>
      <c r="DW1215" t="inlineStr">
        <is>
          <t>т</t>
        </is>
      </c>
      <c r="DX1215" t="n">
        <v>1000</v>
      </c>
      <c r="DZ1215" t="inlineStr"/>
      <c r="EA1215" t="inlineStr"/>
      <c r="EB1215" t="inlineStr"/>
      <c r="EC1215" t="inlineStr"/>
      <c r="EE1215" t="n">
        <v>78726000</v>
      </c>
      <c r="EF1215" t="n">
        <v>6</v>
      </c>
      <c r="EG1215" t="inlineStr">
        <is>
          <t>Ремонтно-строительные работы</t>
        </is>
      </c>
      <c r="EH1215" t="n">
        <v>99</v>
      </c>
      <c r="EI1215" t="inlineStr">
        <is>
          <t>Внутренние санитарно-технические работы</t>
        </is>
      </c>
      <c r="EJ1215" t="n">
        <v>1</v>
      </c>
      <c r="EK1215" t="n">
        <v>65007</v>
      </c>
      <c r="EL1215" t="inlineStr">
        <is>
          <t>Внутренние санитарнотехнические работы: смена труб, санприборов, запорной арматуры и другое</t>
        </is>
      </c>
      <c r="EM1215" t="inlineStr">
        <is>
          <t>рФЕР-65</t>
        </is>
      </c>
      <c r="EO1215" t="inlineStr"/>
      <c r="EQ1215" t="n">
        <v>0</v>
      </c>
      <c r="ER1215" t="n">
        <v>0</v>
      </c>
      <c r="ES1215" t="n">
        <v>0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103</v>
      </c>
      <c r="FY1215" t="n">
        <v>52</v>
      </c>
      <c r="GA1215" t="inlineStr"/>
      <c r="GD1215" t="n">
        <v>1</v>
      </c>
      <c r="GF1215" t="n">
        <v>1839160745</v>
      </c>
      <c r="GG1215" t="n">
        <v>2</v>
      </c>
      <c r="GH1215" t="n">
        <v>1</v>
      </c>
      <c r="GI1215" t="n">
        <v>-2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Пр/812-099.2-1</t>
        </is>
      </c>
      <c r="HO1215" t="inlineStr">
        <is>
          <t>Пр/774-099.2</t>
        </is>
      </c>
      <c r="HP1215" t="inlineStr">
        <is>
          <t>Внутренние санитарнотехнические работы: смена труб, санприборов, запорной арматуры и другое</t>
        </is>
      </c>
      <c r="HQ1215" t="inlineStr">
        <is>
          <t>Внутренние санитарнотехнические работы: смена труб, санприборов, запорной арматуры и другое</t>
        </is>
      </c>
      <c r="HS1215" t="n">
        <v>0</v>
      </c>
      <c r="IK1215" t="n">
        <v>0</v>
      </c>
    </row>
    <row r="1216">
      <c r="A1216" t="n">
        <v>18</v>
      </c>
      <c r="B1216" t="n">
        <v>0</v>
      </c>
      <c r="C1216" t="n">
        <v>574</v>
      </c>
      <c r="E1216" t="inlineStr">
        <is>
          <t>6,2</t>
        </is>
      </c>
      <c r="F1216" t="inlineStr">
        <is>
          <t>302-0062</t>
        </is>
      </c>
      <c r="G1216" t="inlineStr">
        <is>
          <t>Кран шаровый муфтовый Valtec для воды диаметром 15 мм, тип в/в</t>
        </is>
      </c>
      <c r="H1216" t="inlineStr">
        <is>
          <t>шт.</t>
        </is>
      </c>
      <c r="I1216">
        <f>I1214*J1216</f>
        <v/>
      </c>
      <c r="J1216" t="n">
        <v>100</v>
      </c>
      <c r="K1216" t="n">
        <v>100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78869116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28.53</v>
      </c>
      <c r="AL1216" t="n">
        <v>28.53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0.01</v>
      </c>
      <c r="AT1216" t="n">
        <v>103</v>
      </c>
      <c r="AU1216" t="n">
        <v>52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13.47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302-0062, приказ Минстроя России №675/пр от 28.02.2017 № 256/пр</t>
        </is>
      </c>
      <c r="BM1216" t="n">
        <v>65007</v>
      </c>
      <c r="BN1216" t="n">
        <v>0</v>
      </c>
      <c r="BO1216" t="inlineStr">
        <is>
          <t>302-0062</t>
        </is>
      </c>
      <c r="BP1216" t="n">
        <v>1</v>
      </c>
      <c r="BQ1216" t="n">
        <v>6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103</v>
      </c>
      <c r="CA1216" t="n">
        <v>52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шт.</t>
        </is>
      </c>
      <c r="DW1216" t="inlineStr">
        <is>
          <t>шт.</t>
        </is>
      </c>
      <c r="DX1216" t="n">
        <v>1</v>
      </c>
      <c r="DZ1216" t="inlineStr"/>
      <c r="EA1216" t="inlineStr"/>
      <c r="EB1216" t="inlineStr"/>
      <c r="EC1216" t="inlineStr"/>
      <c r="EE1216" t="n">
        <v>78726000</v>
      </c>
      <c r="EF1216" t="n">
        <v>6</v>
      </c>
      <c r="EG1216" t="inlineStr">
        <is>
          <t>Ремонтно-строительные работы</t>
        </is>
      </c>
      <c r="EH1216" t="n">
        <v>99</v>
      </c>
      <c r="EI1216" t="inlineStr">
        <is>
          <t>Внутренние санитарно-технические работы</t>
        </is>
      </c>
      <c r="EJ1216" t="n">
        <v>1</v>
      </c>
      <c r="EK1216" t="n">
        <v>65007</v>
      </c>
      <c r="EL1216" t="inlineStr">
        <is>
          <t>Внутренние санитарнотехнические работы: смена труб, санприборов, запорной арматуры и другое</t>
        </is>
      </c>
      <c r="EM1216" t="inlineStr">
        <is>
          <t>рФЕР-65</t>
        </is>
      </c>
      <c r="EO1216" t="inlineStr"/>
      <c r="EQ1216" t="n">
        <v>0</v>
      </c>
      <c r="ER1216" t="n">
        <v>28.53</v>
      </c>
      <c r="ES1216" t="n">
        <v>28.53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103</v>
      </c>
      <c r="FY1216" t="n">
        <v>52</v>
      </c>
      <c r="GA1216" t="inlineStr"/>
      <c r="GD1216" t="n">
        <v>1</v>
      </c>
      <c r="GF1216" t="n">
        <v>-1687406522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Пр/812-099.2-1</t>
        </is>
      </c>
      <c r="HO1216" t="inlineStr">
        <is>
          <t>Пр/774-099.2</t>
        </is>
      </c>
      <c r="HP1216" t="inlineStr">
        <is>
          <t>Внутренние санитарнотехнические работы: смена труб, санприборов, запорной арматуры и другое</t>
        </is>
      </c>
      <c r="HQ1216" t="inlineStr">
        <is>
          <t>Внутренние санитарнотехнические работы: смена труб, санприборов, запорной арматуры и другое</t>
        </is>
      </c>
      <c r="HS1216" t="n">
        <v>0</v>
      </c>
      <c r="IK1216" t="n">
        <v>0</v>
      </c>
    </row>
    <row r="1217">
      <c r="A1217" t="n">
        <v>17</v>
      </c>
      <c r="B1217" t="n">
        <v>0</v>
      </c>
      <c r="C1217">
        <f>ROW(SmtRes!A595)</f>
        <v/>
      </c>
      <c r="D1217">
        <f>ROW(EtalonRes!A547)</f>
        <v/>
      </c>
      <c r="E1217" t="inlineStr">
        <is>
          <t>7</t>
        </is>
      </c>
      <c r="F1217" t="inlineStr">
        <is>
          <t>м08-03-526-2</t>
        </is>
      </c>
      <c r="G1217" t="inlineStr">
        <is>
          <t>Автомат одно-, двух-, трехполюсный, устанавливаемый на конструкции на стене или колонне, на ток до 100 А</t>
        </is>
      </c>
      <c r="H1217" t="inlineStr">
        <is>
          <t>1  ШТ.</t>
        </is>
      </c>
      <c r="I1217">
        <f>ROUND(ROUND(1,4),7)</f>
        <v/>
      </c>
      <c r="J1217" t="n">
        <v>0</v>
      </c>
      <c r="K1217">
        <f>ROUND(ROUND(1,4),7)</f>
        <v/>
      </c>
      <c r="O1217">
        <f>ROUND(CP1217,0)</f>
        <v/>
      </c>
      <c r="P1217">
        <f>ROUND(CQ1217*I1217,0)</f>
        <v/>
      </c>
      <c r="Q1217">
        <f>(ROUND((ROUND((((ET1217*ROUND(0.2,7)))*I1217),0)*BB1217),0)+ROUND((ROUND(((AE1217-((EU1217*ROUND(0.2,7))))*I1217),0)*BS1217),0))</f>
        <v/>
      </c>
      <c r="R1217">
        <f>(ROUND((ROUND((((EU1217*ROUND(0.2,7)))*I1217),0)*BS1217),0)+ROUND((ROUND(((AE1217-((EU1217*ROUND(0.2,7))))*I1217),0)*BS1217),0))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78869116</v>
      </c>
      <c r="AB1217">
        <f>ROUND((AC1217+AD1217+AF1217),2)</f>
        <v/>
      </c>
      <c r="AC1217">
        <f>ROUND(((ES1217*ROUND(0.2,7))),2)</f>
        <v/>
      </c>
      <c r="AD1217">
        <f>ROUND(((((ET1217*ROUND(0.2,7)))-((EU1217*ROUND(0.2,7))))+AE1217),2)</f>
        <v/>
      </c>
      <c r="AE1217">
        <f>ROUND(((EU1217*ROUND(0.2,7))),2)</f>
        <v/>
      </c>
      <c r="AF1217">
        <f>ROUND(((EV1217*ROUND(0.2,7))),2)</f>
        <v/>
      </c>
      <c r="AG1217">
        <f>ROUND((AP1217),2)</f>
        <v/>
      </c>
      <c r="AH1217">
        <f>((EW1217*ROUND(0.2,7)))</f>
        <v/>
      </c>
      <c r="AI1217">
        <f>((EX1217*ROUND(0.2,7)))</f>
        <v/>
      </c>
      <c r="AJ1217">
        <f>(AS1217)</f>
        <v/>
      </c>
      <c r="AK1217" t="n">
        <v>62.43</v>
      </c>
      <c r="AL1217" t="n">
        <v>36.8</v>
      </c>
      <c r="AM1217" t="n">
        <v>3.57</v>
      </c>
      <c r="AN1217" t="n">
        <v>0.14</v>
      </c>
      <c r="AO1217" t="n">
        <v>22.06</v>
      </c>
      <c r="AP1217" t="n">
        <v>0</v>
      </c>
      <c r="AQ1217" t="n">
        <v>2.32</v>
      </c>
      <c r="AR1217" t="n">
        <v>0.01</v>
      </c>
      <c r="AS1217" t="n">
        <v>0</v>
      </c>
      <c r="AT1217" t="n">
        <v>97</v>
      </c>
      <c r="AU1217" t="n">
        <v>51</v>
      </c>
      <c r="AV1217" t="n">
        <v>1</v>
      </c>
      <c r="AW1217" t="n">
        <v>1</v>
      </c>
      <c r="AZ1217" t="n">
        <v>1</v>
      </c>
      <c r="BA1217" t="n">
        <v>52.25</v>
      </c>
      <c r="BB1217" t="n">
        <v>13.3</v>
      </c>
      <c r="BC1217" t="n">
        <v>13.79</v>
      </c>
      <c r="BD1217" t="inlineStr"/>
      <c r="BE1217" t="inlineStr"/>
      <c r="BF1217" t="inlineStr"/>
      <c r="BG1217" t="inlineStr"/>
      <c r="BH1217" t="n">
        <v>0</v>
      </c>
      <c r="BI1217" t="n">
        <v>2</v>
      </c>
      <c r="BJ1217" t="inlineStr">
        <is>
          <t>ТЕРм Московской обл., м08-03-526-2, приказ Минстроя России №675/пр от 28.02.2017 № 259/пр</t>
        </is>
      </c>
      <c r="BM1217" t="n">
        <v>108001</v>
      </c>
      <c r="BN1217" t="n">
        <v>0</v>
      </c>
      <c r="BO1217" t="inlineStr">
        <is>
          <t>м08-03-526-2</t>
        </is>
      </c>
      <c r="BP1217" t="n">
        <v>1</v>
      </c>
      <c r="BQ1217" t="n">
        <v>3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97</v>
      </c>
      <c r="CA1217" t="n">
        <v>51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(ROUND((ROUND((((ET1217*ROUND(0.2,7)))*1),0)*BB1217),0)+ROUND((ROUND(((AE1217-((EU1217*ROUND(0.2,7))))*1),0)*BS1217),0))</f>
        <v/>
      </c>
      <c r="CS1217">
        <f>(ROUND((ROUND((((EU1217*ROUND(0.2,7)))*1),0)*BS1217),0)+ROUND((ROUND(((AE1217-((EU1217*ROUND(0.2,7))))*1),0)*BS1217),0))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>
        <is>
          <t>)*0,2</t>
        </is>
      </c>
      <c r="DE1217" t="inlineStr">
        <is>
          <t>)*0,2</t>
        </is>
      </c>
      <c r="DF1217" t="inlineStr">
        <is>
          <t>)*0,2</t>
        </is>
      </c>
      <c r="DG1217" t="inlineStr">
        <is>
          <t>)*0,2</t>
        </is>
      </c>
      <c r="DH1217" t="inlineStr"/>
      <c r="DI1217" t="inlineStr">
        <is>
          <t>)*0,2</t>
        </is>
      </c>
      <c r="DJ1217" t="inlineStr">
        <is>
          <t>)*0,2</t>
        </is>
      </c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  ШТ.</t>
        </is>
      </c>
      <c r="DW1217" t="inlineStr">
        <is>
          <t>1  ШТ.</t>
        </is>
      </c>
      <c r="DX1217" t="n">
        <v>1</v>
      </c>
      <c r="DZ1217" t="inlineStr"/>
      <c r="EA1217" t="inlineStr"/>
      <c r="EB1217" t="inlineStr"/>
      <c r="EC1217" t="inlineStr"/>
      <c r="EE1217" t="n">
        <v>78725665</v>
      </c>
      <c r="EF1217" t="n">
        <v>3</v>
      </c>
      <c r="EG1217" t="inlineStr">
        <is>
          <t>Монтажные работы</t>
        </is>
      </c>
      <c r="EH1217" t="n">
        <v>0</v>
      </c>
      <c r="EI1217" t="inlineStr"/>
      <c r="EJ1217" t="n">
        <v>2</v>
      </c>
      <c r="EK1217" t="n">
        <v>108001</v>
      </c>
      <c r="EL1217" t="inlineStr">
        <is>
          <t>Электротехнические установки: на других объектах</t>
        </is>
      </c>
      <c r="EM1217" t="inlineStr">
        <is>
          <t>мФЕР-08</t>
        </is>
      </c>
      <c r="EO1217" t="inlineStr"/>
      <c r="EQ1217" t="n">
        <v>0</v>
      </c>
      <c r="ER1217" t="n">
        <v>62.43</v>
      </c>
      <c r="ES1217" t="n">
        <v>36.8</v>
      </c>
      <c r="ET1217" t="n">
        <v>3.57</v>
      </c>
      <c r="EU1217" t="n">
        <v>0.14</v>
      </c>
      <c r="EV1217" t="n">
        <v>22.06</v>
      </c>
      <c r="EW1217" t="n">
        <v>2.32</v>
      </c>
      <c r="EX1217" t="n">
        <v>0.01</v>
      </c>
      <c r="EY1217" t="n">
        <v>0</v>
      </c>
      <c r="FQ1217" t="n">
        <v>0</v>
      </c>
      <c r="FR1217" t="n">
        <v>0</v>
      </c>
      <c r="FS1217" t="n">
        <v>0</v>
      </c>
      <c r="FX1217" t="n">
        <v>97</v>
      </c>
      <c r="FY1217" t="n">
        <v>51</v>
      </c>
      <c r="GA1217" t="inlineStr"/>
      <c r="GD1217" t="n">
        <v>1</v>
      </c>
      <c r="GF1217" t="n">
        <v>-2089436795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Пр/812-049.3-1</t>
        </is>
      </c>
      <c r="HO1217" t="inlineStr">
        <is>
          <t>Пр/774-049.3</t>
        </is>
      </c>
      <c r="HP1217" t="inlineStr">
        <is>
          <t>Электротехнические установки: на других объектах</t>
        </is>
      </c>
      <c r="HQ1217" t="inlineStr">
        <is>
          <t>Электротехнические установки: на других объектах</t>
        </is>
      </c>
      <c r="HS1217" t="n">
        <v>0</v>
      </c>
      <c r="IK1217" t="n">
        <v>0</v>
      </c>
    </row>
    <row r="1218">
      <c r="A1218" t="n">
        <v>17</v>
      </c>
      <c r="B1218" t="n">
        <v>0</v>
      </c>
      <c r="C1218">
        <f>ROW(SmtRes!A615)</f>
        <v/>
      </c>
      <c r="D1218">
        <f>ROW(EtalonRes!A566)</f>
        <v/>
      </c>
      <c r="E1218" t="inlineStr">
        <is>
          <t>8</t>
        </is>
      </c>
      <c r="F1218" t="inlineStr">
        <is>
          <t>м08-03-526-2</t>
        </is>
      </c>
      <c r="G1218" t="inlineStr">
        <is>
          <t>Автомат одно-, двух-, трехполюсный, устанавливаемый на конструкции на стене или колонне, на ток до 100 А</t>
        </is>
      </c>
      <c r="H1218" t="inlineStr">
        <is>
          <t>1  ШТ.</t>
        </is>
      </c>
      <c r="I1218">
        <f>ROUND(ROUND(1,4),7)</f>
        <v/>
      </c>
      <c r="J1218" t="n">
        <v>0</v>
      </c>
      <c r="K1218">
        <f>ROUND(ROUND(1,4),7)</f>
        <v/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78869116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62.43</v>
      </c>
      <c r="AL1218" t="n">
        <v>36.8</v>
      </c>
      <c r="AM1218" t="n">
        <v>3.57</v>
      </c>
      <c r="AN1218" t="n">
        <v>0.14</v>
      </c>
      <c r="AO1218" t="n">
        <v>22.06</v>
      </c>
      <c r="AP1218" t="n">
        <v>0</v>
      </c>
      <c r="AQ1218" t="n">
        <v>2.32</v>
      </c>
      <c r="AR1218" t="n">
        <v>0.01</v>
      </c>
      <c r="AS1218" t="n">
        <v>0</v>
      </c>
      <c r="AT1218" t="n">
        <v>97</v>
      </c>
      <c r="AU1218" t="n">
        <v>51</v>
      </c>
      <c r="AV1218" t="n">
        <v>1</v>
      </c>
      <c r="AW1218" t="n">
        <v>1</v>
      </c>
      <c r="AZ1218" t="n">
        <v>1</v>
      </c>
      <c r="BA1218" t="n">
        <v>52.25</v>
      </c>
      <c r="BB1218" t="n">
        <v>13.3</v>
      </c>
      <c r="BC1218" t="n">
        <v>13.79</v>
      </c>
      <c r="BD1218" t="inlineStr"/>
      <c r="BE1218" t="inlineStr"/>
      <c r="BF1218" t="inlineStr"/>
      <c r="BG1218" t="inlineStr"/>
      <c r="BH1218" t="n">
        <v>0</v>
      </c>
      <c r="BI1218" t="n">
        <v>2</v>
      </c>
      <c r="BJ1218" t="inlineStr">
        <is>
          <t>ТЕРм Московской обл., м08-03-526-2, приказ Минстроя России №675/пр от 28.02.2017 № 259/пр</t>
        </is>
      </c>
      <c r="BM1218" t="n">
        <v>108001</v>
      </c>
      <c r="BN1218" t="n">
        <v>0</v>
      </c>
      <c r="BO1218" t="inlineStr">
        <is>
          <t>м08-03-526-2</t>
        </is>
      </c>
      <c r="BP1218" t="n">
        <v>1</v>
      </c>
      <c r="BQ1218" t="n">
        <v>3</v>
      </c>
      <c r="BR1218" t="n">
        <v>0</v>
      </c>
      <c r="BS1218" t="n">
        <v>52.25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97</v>
      </c>
      <c r="CA1218" t="n">
        <v>51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1013</v>
      </c>
      <c r="DV1218" t="inlineStr">
        <is>
          <t>1  ШТ.</t>
        </is>
      </c>
      <c r="DW1218" t="inlineStr">
        <is>
          <t>1  ШТ.</t>
        </is>
      </c>
      <c r="DX1218" t="n">
        <v>1</v>
      </c>
      <c r="DZ1218" t="inlineStr"/>
      <c r="EA1218" t="inlineStr"/>
      <c r="EB1218" t="inlineStr"/>
      <c r="EC1218" t="inlineStr"/>
      <c r="EE1218" t="n">
        <v>78725665</v>
      </c>
      <c r="EF1218" t="n">
        <v>3</v>
      </c>
      <c r="EG1218" t="inlineStr">
        <is>
          <t>Монтажные работы</t>
        </is>
      </c>
      <c r="EH1218" t="n">
        <v>0</v>
      </c>
      <c r="EI1218" t="inlineStr"/>
      <c r="EJ1218" t="n">
        <v>2</v>
      </c>
      <c r="EK1218" t="n">
        <v>108001</v>
      </c>
      <c r="EL1218" t="inlineStr">
        <is>
          <t>Электротехнические установки: на других объектах</t>
        </is>
      </c>
      <c r="EM1218" t="inlineStr">
        <is>
          <t>мФЕР-08</t>
        </is>
      </c>
      <c r="EO1218" t="inlineStr"/>
      <c r="EQ1218" t="n">
        <v>0</v>
      </c>
      <c r="ER1218" t="n">
        <v>62.43</v>
      </c>
      <c r="ES1218" t="n">
        <v>36.8</v>
      </c>
      <c r="ET1218" t="n">
        <v>3.57</v>
      </c>
      <c r="EU1218" t="n">
        <v>0.14</v>
      </c>
      <c r="EV1218" t="n">
        <v>22.06</v>
      </c>
      <c r="EW1218" t="n">
        <v>2.32</v>
      </c>
      <c r="EX1218" t="n">
        <v>0.01</v>
      </c>
      <c r="EY1218" t="n">
        <v>0</v>
      </c>
      <c r="FQ1218" t="n">
        <v>0</v>
      </c>
      <c r="FR1218" t="n">
        <v>0</v>
      </c>
      <c r="FS1218" t="n">
        <v>0</v>
      </c>
      <c r="FX1218" t="n">
        <v>97</v>
      </c>
      <c r="FY1218" t="n">
        <v>51</v>
      </c>
      <c r="GA1218" t="inlineStr"/>
      <c r="GD1218" t="n">
        <v>1</v>
      </c>
      <c r="GF1218" t="n">
        <v>-2089436795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Пр/812-049.3-1</t>
        </is>
      </c>
      <c r="HO1218" t="inlineStr">
        <is>
          <t>Пр/774-049.3</t>
        </is>
      </c>
      <c r="HP1218" t="inlineStr">
        <is>
          <t>Электротехнические установки: на других объектах</t>
        </is>
      </c>
      <c r="HQ1218" t="inlineStr">
        <is>
          <t>Электротехнические установки: на других объектах</t>
        </is>
      </c>
      <c r="HS1218" t="n">
        <v>0</v>
      </c>
      <c r="IK1218" t="n">
        <v>0</v>
      </c>
    </row>
    <row r="1219">
      <c r="A1219" t="n">
        <v>18</v>
      </c>
      <c r="B1219" t="n">
        <v>0</v>
      </c>
      <c r="C1219" t="n">
        <v>614</v>
      </c>
      <c r="E1219" t="inlineStr">
        <is>
          <t>8,1</t>
        </is>
      </c>
      <c r="F1219" t="inlineStr">
        <is>
          <t>509-2247</t>
        </is>
      </c>
      <c r="G1219" t="inlineStr">
        <is>
          <t>Выключатели автоматические «IEK» ВА47-29 4Р 25А, характеристика С</t>
        </is>
      </c>
      <c r="H1219" t="inlineStr">
        <is>
          <t>шт.</t>
        </is>
      </c>
      <c r="I1219">
        <f>I1218*J1219</f>
        <v/>
      </c>
      <c r="J1219" t="n">
        <v>1</v>
      </c>
      <c r="K1219" t="n">
        <v>1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78869116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57.43</v>
      </c>
      <c r="AL1219" t="n">
        <v>57.43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0.02</v>
      </c>
      <c r="AT1219" t="n">
        <v>97</v>
      </c>
      <c r="AU1219" t="n">
        <v>51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8.539999999999999</v>
      </c>
      <c r="BD1219" t="inlineStr"/>
      <c r="BE1219" t="inlineStr"/>
      <c r="BF1219" t="inlineStr"/>
      <c r="BG1219" t="inlineStr"/>
      <c r="BH1219" t="n">
        <v>3</v>
      </c>
      <c r="BI1219" t="n">
        <v>2</v>
      </c>
      <c r="BJ1219" t="inlineStr">
        <is>
          <t>ТССЦ Московской обл., 509-2247, приказ Минстроя России №675/пр от 28.02.2017 № 258/пр</t>
        </is>
      </c>
      <c r="BM1219" t="n">
        <v>108001</v>
      </c>
      <c r="BN1219" t="n">
        <v>0</v>
      </c>
      <c r="BO1219" t="inlineStr">
        <is>
          <t>509-2247</t>
        </is>
      </c>
      <c r="BP1219" t="n">
        <v>1</v>
      </c>
      <c r="BQ1219" t="n">
        <v>3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97</v>
      </c>
      <c r="CA1219" t="n">
        <v>51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шт.</t>
        </is>
      </c>
      <c r="DW1219" t="inlineStr">
        <is>
          <t>шт.</t>
        </is>
      </c>
      <c r="DX1219" t="n">
        <v>1</v>
      </c>
      <c r="DZ1219" t="inlineStr"/>
      <c r="EA1219" t="inlineStr"/>
      <c r="EB1219" t="inlineStr"/>
      <c r="EC1219" t="inlineStr"/>
      <c r="EE1219" t="n">
        <v>78725665</v>
      </c>
      <c r="EF1219" t="n">
        <v>3</v>
      </c>
      <c r="EG1219" t="inlineStr">
        <is>
          <t>Монтажные работы</t>
        </is>
      </c>
      <c r="EH1219" t="n">
        <v>0</v>
      </c>
      <c r="EI1219" t="inlineStr"/>
      <c r="EJ1219" t="n">
        <v>2</v>
      </c>
      <c r="EK1219" t="n">
        <v>108001</v>
      </c>
      <c r="EL1219" t="inlineStr">
        <is>
          <t>Электротехнические установки: на других объектах</t>
        </is>
      </c>
      <c r="EM1219" t="inlineStr">
        <is>
          <t>мФЕР-08</t>
        </is>
      </c>
      <c r="EO1219" t="inlineStr"/>
      <c r="EQ1219" t="n">
        <v>0</v>
      </c>
      <c r="ER1219" t="n">
        <v>57.43</v>
      </c>
      <c r="ES1219" t="n">
        <v>57.43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97</v>
      </c>
      <c r="FY1219" t="n">
        <v>51</v>
      </c>
      <c r="GA1219" t="inlineStr"/>
      <c r="GD1219" t="n">
        <v>1</v>
      </c>
      <c r="GF1219" t="n">
        <v>-104479151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Пр/812-049.3-1</t>
        </is>
      </c>
      <c r="HO1219" t="inlineStr">
        <is>
          <t>Пр/774-049.3</t>
        </is>
      </c>
      <c r="HP1219" t="inlineStr">
        <is>
          <t>Электротехнические установки: на других объектах</t>
        </is>
      </c>
      <c r="HQ1219" t="inlineStr">
        <is>
          <t>Электротехнические установки: на других объектах</t>
        </is>
      </c>
      <c r="HS1219" t="n">
        <v>0</v>
      </c>
      <c r="IK1219" t="n">
        <v>0</v>
      </c>
    </row>
    <row r="1220"/>
    <row r="1221">
      <c r="A1221" s="402" t="n">
        <v>51</v>
      </c>
      <c r="B1221" s="402">
        <f>B1202</f>
        <v/>
      </c>
      <c r="C1221" s="402">
        <f>A1202</f>
        <v/>
      </c>
      <c r="D1221" s="402">
        <f>ROW(A1202)</f>
        <v/>
      </c>
      <c r="E1221" s="402" t="n"/>
      <c r="F1221" s="402">
        <f>IF(F1202&lt;&gt;"",F1202,"")</f>
        <v/>
      </c>
      <c r="G1221" s="402">
        <f>IF(G1202&lt;&gt;"",G1202,"")</f>
        <v/>
      </c>
      <c r="H1221" s="402" t="n">
        <v>0</v>
      </c>
      <c r="I1221" s="402" t="n"/>
      <c r="J1221" s="402" t="n"/>
      <c r="K1221" s="402" t="n"/>
      <c r="L1221" s="402" t="n"/>
      <c r="M1221" s="402" t="n"/>
      <c r="N1221" s="402" t="n"/>
      <c r="O1221" s="402" t="n">
        <v>0</v>
      </c>
      <c r="P1221" s="402" t="n">
        <v>0</v>
      </c>
      <c r="Q1221" s="402" t="n">
        <v>0</v>
      </c>
      <c r="R1221" s="402" t="n">
        <v>0</v>
      </c>
      <c r="S1221" s="402" t="n">
        <v>0</v>
      </c>
      <c r="T1221" s="402" t="n">
        <v>0</v>
      </c>
      <c r="U1221" s="402" t="n">
        <v>0</v>
      </c>
      <c r="V1221" s="402" t="n">
        <v>0</v>
      </c>
      <c r="W1221" s="402" t="n">
        <v>0</v>
      </c>
      <c r="X1221" s="402" t="n">
        <v>0</v>
      </c>
      <c r="Y1221" s="402" t="n">
        <v>0</v>
      </c>
      <c r="Z1221" s="402" t="n"/>
      <c r="AA1221" s="402" t="n"/>
      <c r="AB1221" s="402" t="n"/>
      <c r="AC1221" s="402" t="n"/>
      <c r="AD1221" s="402" t="n"/>
      <c r="AE1221" s="402" t="n"/>
      <c r="AF1221" s="402" t="n"/>
      <c r="AG1221" s="402" t="n"/>
      <c r="AH1221" s="402" t="n"/>
      <c r="AI1221" s="402" t="n"/>
      <c r="AJ1221" s="402" t="n"/>
      <c r="AK1221" s="402" t="n"/>
      <c r="AL1221" s="402" t="n"/>
      <c r="AM1221" s="402" t="n"/>
      <c r="AN1221" s="402" t="n"/>
      <c r="AO1221" s="402">
        <f>ROUND(BX1221,0)</f>
        <v/>
      </c>
      <c r="AP1221" s="402">
        <f>ROUND(BY1221,0)</f>
        <v/>
      </c>
      <c r="AQ1221" s="402">
        <f>ROUND(BZ1221,0)</f>
        <v/>
      </c>
      <c r="AR1221" s="402">
        <f>ROUND(CA1221,0)</f>
        <v/>
      </c>
      <c r="AS1221" s="402">
        <f>ROUND(CB1221,0)</f>
        <v/>
      </c>
      <c r="AT1221" s="402">
        <f>ROUND(CC1221,0)</f>
        <v/>
      </c>
      <c r="AU1221" s="402">
        <f>ROUND(CD1221,0)</f>
        <v/>
      </c>
      <c r="AV1221" s="402">
        <f>ROUND(CE1221,0)</f>
        <v/>
      </c>
      <c r="AW1221" s="402">
        <f>ROUND(CF1221,0)</f>
        <v/>
      </c>
      <c r="AX1221" s="402">
        <f>ROUND(CG1221,0)</f>
        <v/>
      </c>
      <c r="AY1221" s="402">
        <f>ROUND(CH1221,0)</f>
        <v/>
      </c>
      <c r="AZ1221" s="402">
        <f>ROUND(CI1221,0)</f>
        <v/>
      </c>
      <c r="BA1221" s="402">
        <f>ROUND(CJ1221,0)</f>
        <v/>
      </c>
      <c r="BB1221" s="402">
        <f>ROUND(CK1221,0)</f>
        <v/>
      </c>
      <c r="BC1221" s="402">
        <f>ROUND(CL1221,0)</f>
        <v/>
      </c>
      <c r="BD1221" s="402">
        <f>ROUND(CM1221,0)</f>
        <v/>
      </c>
      <c r="BE1221" s="402" t="n"/>
      <c r="BF1221" s="402" t="n"/>
      <c r="BG1221" s="402" t="n"/>
      <c r="BH1221" s="402" t="n"/>
      <c r="BI1221" s="402" t="n"/>
      <c r="BJ1221" s="402" t="n"/>
      <c r="BK1221" s="402" t="n"/>
      <c r="BL1221" s="402" t="n"/>
      <c r="BM1221" s="402" t="n"/>
      <c r="BN1221" s="402" t="n"/>
      <c r="BO1221" s="402" t="n"/>
      <c r="BP1221" s="402" t="n"/>
      <c r="BQ1221" s="402" t="n"/>
      <c r="BR1221" s="402" t="n"/>
      <c r="BS1221" s="402" t="n"/>
      <c r="BT1221" s="402" t="n"/>
      <c r="BU1221" s="402" t="n"/>
      <c r="BV1221" s="402" t="n"/>
      <c r="BW1221" s="402" t="n"/>
      <c r="BX1221" s="402" t="n"/>
      <c r="BY1221" s="402" t="n"/>
      <c r="BZ1221" s="402" t="n"/>
      <c r="CA1221" s="402" t="n"/>
      <c r="CB1221" s="402" t="n"/>
      <c r="CC1221" s="402" t="n"/>
      <c r="CD1221" s="402" t="n"/>
      <c r="CE1221" s="402" t="n"/>
      <c r="CF1221" s="402" t="n"/>
      <c r="CG1221" s="402" t="n"/>
      <c r="CH1221" s="402" t="n"/>
      <c r="CI1221" s="402" t="n"/>
      <c r="CJ1221" s="402" t="n"/>
      <c r="CK1221" s="402" t="n"/>
      <c r="CL1221" s="402" t="n"/>
      <c r="CM1221" s="402" t="n"/>
      <c r="CN1221" s="402" t="n"/>
      <c r="CO1221" s="402" t="n"/>
      <c r="CP1221" s="402" t="n"/>
      <c r="CQ1221" s="402" t="n"/>
      <c r="CR1221" s="402" t="n"/>
      <c r="CS1221" s="402" t="n"/>
      <c r="CT1221" s="402" t="n"/>
      <c r="CU1221" s="402" t="n"/>
      <c r="CV1221" s="402" t="n"/>
      <c r="CW1221" s="402" t="n"/>
      <c r="CX1221" s="402" t="n"/>
      <c r="CY1221" s="402" t="n"/>
      <c r="CZ1221" s="402" t="n"/>
      <c r="DA1221" s="402" t="n"/>
      <c r="DB1221" s="402" t="n"/>
      <c r="DC1221" s="402" t="n"/>
      <c r="DD1221" s="402" t="n"/>
      <c r="DE1221" s="402" t="n"/>
      <c r="DF1221" s="402" t="n"/>
      <c r="DG1221" s="403" t="n"/>
      <c r="DH1221" s="403" t="n"/>
      <c r="DI1221" s="403" t="n"/>
      <c r="DJ1221" s="403" t="n"/>
      <c r="DK1221" s="403" t="n"/>
      <c r="DL1221" s="403" t="n"/>
      <c r="DM1221" s="403" t="n"/>
      <c r="DN1221" s="403" t="n"/>
      <c r="DO1221" s="403" t="n"/>
      <c r="DP1221" s="403" t="n"/>
      <c r="DQ1221" s="403" t="n"/>
      <c r="DR1221" s="403" t="n"/>
      <c r="DS1221" s="403" t="n"/>
      <c r="DT1221" s="403" t="n"/>
      <c r="DU1221" s="403" t="n"/>
      <c r="DV1221" s="403" t="n"/>
      <c r="DW1221" s="403" t="n"/>
      <c r="DX1221" s="403" t="n"/>
      <c r="DY1221" s="403" t="n"/>
      <c r="DZ1221" s="403" t="n"/>
      <c r="EA1221" s="403" t="n"/>
      <c r="EB1221" s="403" t="n"/>
      <c r="EC1221" s="403" t="n"/>
      <c r="ED1221" s="403" t="n"/>
      <c r="EE1221" s="403" t="n"/>
      <c r="EF1221" s="403" t="n"/>
      <c r="EG1221" s="403" t="n"/>
      <c r="EH1221" s="403" t="n"/>
      <c r="EI1221" s="403" t="n"/>
      <c r="EJ1221" s="403" t="n"/>
      <c r="EK1221" s="403" t="n"/>
      <c r="EL1221" s="403" t="n"/>
      <c r="EM1221" s="403" t="n"/>
      <c r="EN1221" s="403" t="n"/>
      <c r="EO1221" s="403" t="n"/>
      <c r="EP1221" s="403" t="n"/>
      <c r="EQ1221" s="403" t="n"/>
      <c r="ER1221" s="403" t="n"/>
      <c r="ES1221" s="403" t="n"/>
      <c r="ET1221" s="403" t="n"/>
      <c r="EU1221" s="403" t="n"/>
      <c r="EV1221" s="403" t="n"/>
      <c r="EW1221" s="403" t="n"/>
      <c r="EX1221" s="403" t="n"/>
      <c r="EY1221" s="403" t="n"/>
      <c r="EZ1221" s="403" t="n"/>
      <c r="FA1221" s="403" t="n"/>
      <c r="FB1221" s="403" t="n"/>
      <c r="FC1221" s="403" t="n"/>
      <c r="FD1221" s="403" t="n"/>
      <c r="FE1221" s="403" t="n"/>
      <c r="FF1221" s="403" t="n"/>
      <c r="FG1221" s="403" t="n"/>
      <c r="FH1221" s="403" t="n"/>
      <c r="FI1221" s="403" t="n"/>
      <c r="FJ1221" s="403" t="n"/>
      <c r="FK1221" s="403" t="n"/>
      <c r="FL1221" s="403" t="n"/>
      <c r="FM1221" s="403" t="n"/>
      <c r="FN1221" s="403" t="n"/>
      <c r="FO1221" s="403" t="n"/>
      <c r="FP1221" s="403" t="n"/>
      <c r="FQ1221" s="403" t="n"/>
      <c r="FR1221" s="403" t="n"/>
      <c r="FS1221" s="403" t="n"/>
      <c r="FT1221" s="403" t="n"/>
      <c r="FU1221" s="403" t="n"/>
      <c r="FV1221" s="403" t="n"/>
      <c r="FW1221" s="403" t="n"/>
      <c r="FX1221" s="403" t="n"/>
      <c r="FY1221" s="403" t="n"/>
      <c r="FZ1221" s="403" t="n"/>
      <c r="GA1221" s="403" t="n"/>
      <c r="GB1221" s="403" t="n"/>
      <c r="GC1221" s="403" t="n"/>
      <c r="GD1221" s="403" t="n"/>
      <c r="GE1221" s="403" t="n"/>
      <c r="GF1221" s="403" t="n"/>
      <c r="GG1221" s="403" t="n"/>
      <c r="GH1221" s="403" t="n"/>
      <c r="GI1221" s="403" t="n"/>
      <c r="GJ1221" s="403" t="n"/>
      <c r="GK1221" s="403" t="n"/>
      <c r="GL1221" s="403" t="n"/>
      <c r="GM1221" s="403" t="n"/>
      <c r="GN1221" s="403" t="n"/>
      <c r="GO1221" s="403" t="n"/>
      <c r="GP1221" s="403" t="n"/>
      <c r="GQ1221" s="403" t="n"/>
      <c r="GR1221" s="403" t="n"/>
      <c r="GS1221" s="403" t="n"/>
      <c r="GT1221" s="403" t="n"/>
      <c r="GU1221" s="403" t="n"/>
      <c r="GV1221" s="403" t="n"/>
      <c r="GW1221" s="403" t="n"/>
      <c r="GX1221" s="403" t="n">
        <v>0</v>
      </c>
    </row>
    <row r="1222"/>
    <row r="1223">
      <c r="A1223" s="404" t="n">
        <v>50</v>
      </c>
      <c r="B1223" s="404" t="n">
        <v>0</v>
      </c>
      <c r="C1223" s="404" t="n">
        <v>0</v>
      </c>
      <c r="D1223" s="404" t="n">
        <v>1</v>
      </c>
      <c r="E1223" s="404" t="n">
        <v>201</v>
      </c>
      <c r="F1223" s="404">
        <f>ROUND(Source!O1221,O1223)</f>
        <v/>
      </c>
      <c r="G1223" s="404" t="inlineStr">
        <is>
          <t>ПЗ</t>
        </is>
      </c>
      <c r="H1223" s="404" t="inlineStr">
        <is>
          <t>Прямые затраты</t>
        </is>
      </c>
      <c r="I1223" s="404" t="n"/>
      <c r="J1223" s="404" t="n"/>
      <c r="K1223" s="404" t="n">
        <v>201</v>
      </c>
      <c r="L1223" s="404" t="n">
        <v>1</v>
      </c>
      <c r="M1223" s="404" t="n">
        <v>3</v>
      </c>
      <c r="N1223" s="404" t="inlineStr"/>
      <c r="O1223" s="404" t="n">
        <v>0</v>
      </c>
      <c r="P1223" s="404" t="n"/>
      <c r="Q1223" s="404" t="n"/>
      <c r="R1223" s="404" t="n"/>
      <c r="S1223" s="404" t="n"/>
      <c r="T1223" s="404" t="n"/>
      <c r="U1223" s="404" t="n"/>
      <c r="V1223" s="404" t="n"/>
      <c r="W1223" s="404" t="n">
        <v>0</v>
      </c>
      <c r="X1223" s="404" t="n">
        <v>1</v>
      </c>
      <c r="Y1223" s="404" t="n">
        <v>0</v>
      </c>
      <c r="Z1223" s="404" t="n"/>
      <c r="AA1223" s="404" t="n"/>
      <c r="AB1223" s="404" t="n"/>
    </row>
    <row r="1224">
      <c r="A1224" s="404" t="n">
        <v>50</v>
      </c>
      <c r="B1224" s="404" t="n">
        <v>0</v>
      </c>
      <c r="C1224" s="404" t="n">
        <v>0</v>
      </c>
      <c r="D1224" s="404" t="n">
        <v>1</v>
      </c>
      <c r="E1224" s="404" t="n">
        <v>202</v>
      </c>
      <c r="F1224" s="404">
        <f>ROUND(Source!P1221,O1224)</f>
        <v/>
      </c>
      <c r="G1224" s="404" t="inlineStr">
        <is>
          <t>СтМатОб</t>
        </is>
      </c>
      <c r="H1224" s="404" t="inlineStr">
        <is>
          <t>Стоимость материальных ресурсов (всего)</t>
        </is>
      </c>
      <c r="I1224" s="404" t="n"/>
      <c r="J1224" s="404" t="n"/>
      <c r="K1224" s="404" t="n">
        <v>202</v>
      </c>
      <c r="L1224" s="404" t="n">
        <v>2</v>
      </c>
      <c r="M1224" s="404" t="n">
        <v>3</v>
      </c>
      <c r="N1224" s="404" t="inlineStr"/>
      <c r="O1224" s="404" t="n">
        <v>0</v>
      </c>
      <c r="P1224" s="404" t="n"/>
      <c r="Q1224" s="404" t="n"/>
      <c r="R1224" s="404" t="n"/>
      <c r="S1224" s="404" t="n"/>
      <c r="T1224" s="404" t="n"/>
      <c r="U1224" s="404" t="n"/>
      <c r="V1224" s="404" t="n"/>
      <c r="W1224" s="404" t="n">
        <v>0</v>
      </c>
      <c r="X1224" s="404" t="n">
        <v>1</v>
      </c>
      <c r="Y1224" s="404" t="n">
        <v>0</v>
      </c>
      <c r="Z1224" s="404" t="n"/>
      <c r="AA1224" s="404" t="n"/>
      <c r="AB1224" s="404" t="n"/>
    </row>
    <row r="1225">
      <c r="A1225" s="404" t="n">
        <v>50</v>
      </c>
      <c r="B1225" s="404" t="n">
        <v>0</v>
      </c>
      <c r="C1225" s="404" t="n">
        <v>0</v>
      </c>
      <c r="D1225" s="404" t="n">
        <v>1</v>
      </c>
      <c r="E1225" s="404" t="n">
        <v>222</v>
      </c>
      <c r="F1225" s="404">
        <f>ROUND(Source!AO1221,O1225)</f>
        <v/>
      </c>
      <c r="G1225" s="404" t="inlineStr">
        <is>
          <t>СтМатОбЗак</t>
        </is>
      </c>
      <c r="H1225" s="404" t="inlineStr">
        <is>
          <t>Стоимость материалов и оборудования заказчика</t>
        </is>
      </c>
      <c r="I1225" s="404" t="n"/>
      <c r="J1225" s="404" t="n"/>
      <c r="K1225" s="404" t="n">
        <v>222</v>
      </c>
      <c r="L1225" s="404" t="n">
        <v>3</v>
      </c>
      <c r="M1225" s="404" t="n">
        <v>3</v>
      </c>
      <c r="N1225" s="404" t="inlineStr"/>
      <c r="O1225" s="404" t="n">
        <v>0</v>
      </c>
      <c r="P1225" s="404" t="n"/>
      <c r="Q1225" s="404" t="n"/>
      <c r="R1225" s="404" t="n"/>
      <c r="S1225" s="404" t="n"/>
      <c r="T1225" s="404" t="n"/>
      <c r="U1225" s="404" t="n"/>
      <c r="V1225" s="404" t="n"/>
      <c r="W1225" s="404" t="n">
        <v>0</v>
      </c>
      <c r="X1225" s="404" t="n">
        <v>1</v>
      </c>
      <c r="Y1225" s="404" t="n">
        <v>0</v>
      </c>
      <c r="Z1225" s="404" t="n"/>
      <c r="AA1225" s="404" t="n"/>
      <c r="AB1225" s="404" t="n"/>
    </row>
    <row r="1226">
      <c r="A1226" s="404" t="n">
        <v>50</v>
      </c>
      <c r="B1226" s="404" t="n">
        <v>0</v>
      </c>
      <c r="C1226" s="404" t="n">
        <v>0</v>
      </c>
      <c r="D1226" s="404" t="n">
        <v>1</v>
      </c>
      <c r="E1226" s="404" t="n">
        <v>225</v>
      </c>
      <c r="F1226" s="404">
        <f>ROUND(Source!AV1221,O1226)</f>
        <v/>
      </c>
      <c r="G1226" s="404" t="inlineStr">
        <is>
          <t>СтМатОбПод</t>
        </is>
      </c>
      <c r="H1226" s="404" t="inlineStr">
        <is>
          <t>Стоимость материалов и оборудования подрядчика</t>
        </is>
      </c>
      <c r="I1226" s="404" t="n"/>
      <c r="J1226" s="404" t="n"/>
      <c r="K1226" s="404" t="n">
        <v>225</v>
      </c>
      <c r="L1226" s="404" t="n">
        <v>4</v>
      </c>
      <c r="M1226" s="404" t="n">
        <v>3</v>
      </c>
      <c r="N1226" s="404" t="inlineStr"/>
      <c r="O1226" s="404" t="n">
        <v>0</v>
      </c>
      <c r="P1226" s="404" t="n"/>
      <c r="Q1226" s="404" t="n"/>
      <c r="R1226" s="404" t="n"/>
      <c r="S1226" s="404" t="n"/>
      <c r="T1226" s="404" t="n"/>
      <c r="U1226" s="404" t="n"/>
      <c r="V1226" s="404" t="n"/>
      <c r="W1226" s="404" t="n">
        <v>0</v>
      </c>
      <c r="X1226" s="404" t="n">
        <v>1</v>
      </c>
      <c r="Y1226" s="404" t="n">
        <v>0</v>
      </c>
      <c r="Z1226" s="404" t="n"/>
      <c r="AA1226" s="404" t="n"/>
      <c r="AB1226" s="404" t="n"/>
    </row>
    <row r="1227">
      <c r="A1227" s="404" t="n">
        <v>50</v>
      </c>
      <c r="B1227" s="404" t="n">
        <v>0</v>
      </c>
      <c r="C1227" s="404" t="n">
        <v>0</v>
      </c>
      <c r="D1227" s="404" t="n">
        <v>1</v>
      </c>
      <c r="E1227" s="404" t="n">
        <v>226</v>
      </c>
      <c r="F1227" s="404">
        <f>ROUND(Source!AW1221,O1227)</f>
        <v/>
      </c>
      <c r="G1227" s="404" t="inlineStr">
        <is>
          <t>СтМат</t>
        </is>
      </c>
      <c r="H1227" s="404" t="inlineStr">
        <is>
          <t>Стоимость материалов (всего)</t>
        </is>
      </c>
      <c r="I1227" s="404" t="n"/>
      <c r="J1227" s="404" t="n"/>
      <c r="K1227" s="404" t="n">
        <v>226</v>
      </c>
      <c r="L1227" s="404" t="n">
        <v>5</v>
      </c>
      <c r="M1227" s="404" t="n">
        <v>3</v>
      </c>
      <c r="N1227" s="404" t="inlineStr"/>
      <c r="O1227" s="404" t="n">
        <v>0</v>
      </c>
      <c r="P1227" s="404" t="n"/>
      <c r="Q1227" s="404" t="n"/>
      <c r="R1227" s="404" t="n"/>
      <c r="S1227" s="404" t="n"/>
      <c r="T1227" s="404" t="n"/>
      <c r="U1227" s="404" t="n"/>
      <c r="V1227" s="404" t="n"/>
      <c r="W1227" s="404" t="n">
        <v>0</v>
      </c>
      <c r="X1227" s="404" t="n">
        <v>1</v>
      </c>
      <c r="Y1227" s="404" t="n">
        <v>0</v>
      </c>
      <c r="Z1227" s="404" t="n"/>
      <c r="AA1227" s="404" t="n"/>
      <c r="AB1227" s="404" t="n"/>
    </row>
    <row r="1228">
      <c r="A1228" s="404" t="n">
        <v>50</v>
      </c>
      <c r="B1228" s="404" t="n">
        <v>0</v>
      </c>
      <c r="C1228" s="404" t="n">
        <v>0</v>
      </c>
      <c r="D1228" s="404" t="n">
        <v>1</v>
      </c>
      <c r="E1228" s="404" t="n">
        <v>227</v>
      </c>
      <c r="F1228" s="404">
        <f>ROUND(Source!AX1221,O1228)</f>
        <v/>
      </c>
      <c r="G1228" s="404" t="inlineStr">
        <is>
          <t>СтМатЗак</t>
        </is>
      </c>
      <c r="H1228" s="404" t="inlineStr">
        <is>
          <t>Стоимость материалов заказчика</t>
        </is>
      </c>
      <c r="I1228" s="404" t="n"/>
      <c r="J1228" s="404" t="n"/>
      <c r="K1228" s="404" t="n">
        <v>227</v>
      </c>
      <c r="L1228" s="404" t="n">
        <v>6</v>
      </c>
      <c r="M1228" s="404" t="n">
        <v>3</v>
      </c>
      <c r="N1228" s="404" t="inlineStr"/>
      <c r="O1228" s="404" t="n">
        <v>0</v>
      </c>
      <c r="P1228" s="404" t="n"/>
      <c r="Q1228" s="404" t="n"/>
      <c r="R1228" s="404" t="n"/>
      <c r="S1228" s="404" t="n"/>
      <c r="T1228" s="404" t="n"/>
      <c r="U1228" s="404" t="n"/>
      <c r="V1228" s="404" t="n"/>
      <c r="W1228" s="404" t="n">
        <v>0</v>
      </c>
      <c r="X1228" s="404" t="n">
        <v>1</v>
      </c>
      <c r="Y1228" s="404" t="n">
        <v>0</v>
      </c>
      <c r="Z1228" s="404" t="n"/>
      <c r="AA1228" s="404" t="n"/>
      <c r="AB1228" s="404" t="n"/>
    </row>
    <row r="1229">
      <c r="A1229" s="404" t="n">
        <v>50</v>
      </c>
      <c r="B1229" s="404" t="n">
        <v>0</v>
      </c>
      <c r="C1229" s="404" t="n">
        <v>0</v>
      </c>
      <c r="D1229" s="404" t="n">
        <v>1</v>
      </c>
      <c r="E1229" s="404" t="n">
        <v>228</v>
      </c>
      <c r="F1229" s="404">
        <f>ROUND(Source!AY1221,O1229)</f>
        <v/>
      </c>
      <c r="G1229" s="404" t="inlineStr">
        <is>
          <t>СтМатПод</t>
        </is>
      </c>
      <c r="H1229" s="404" t="inlineStr">
        <is>
          <t>Стоимость материалов подрядчика</t>
        </is>
      </c>
      <c r="I1229" s="404" t="n"/>
      <c r="J1229" s="404" t="n"/>
      <c r="K1229" s="404" t="n">
        <v>228</v>
      </c>
      <c r="L1229" s="404" t="n">
        <v>7</v>
      </c>
      <c r="M1229" s="404" t="n">
        <v>3</v>
      </c>
      <c r="N1229" s="404" t="inlineStr"/>
      <c r="O1229" s="404" t="n">
        <v>0</v>
      </c>
      <c r="P1229" s="404" t="n"/>
      <c r="Q1229" s="404" t="n"/>
      <c r="R1229" s="404" t="n"/>
      <c r="S1229" s="404" t="n"/>
      <c r="T1229" s="404" t="n"/>
      <c r="U1229" s="404" t="n"/>
      <c r="V1229" s="404" t="n"/>
      <c r="W1229" s="404" t="n">
        <v>0</v>
      </c>
      <c r="X1229" s="404" t="n">
        <v>1</v>
      </c>
      <c r="Y1229" s="404" t="n">
        <v>0</v>
      </c>
      <c r="Z1229" s="404" t="n"/>
      <c r="AA1229" s="404" t="n"/>
      <c r="AB1229" s="404" t="n"/>
    </row>
    <row r="1230">
      <c r="A1230" s="404" t="n">
        <v>50</v>
      </c>
      <c r="B1230" s="404" t="n">
        <v>0</v>
      </c>
      <c r="C1230" s="404" t="n">
        <v>0</v>
      </c>
      <c r="D1230" s="404" t="n">
        <v>1</v>
      </c>
      <c r="E1230" s="404" t="n">
        <v>216</v>
      </c>
      <c r="F1230" s="404">
        <f>ROUND(Source!AP1221,O1230)</f>
        <v/>
      </c>
      <c r="G1230" s="404" t="inlineStr">
        <is>
          <t>Оборуд</t>
        </is>
      </c>
      <c r="H1230" s="404" t="inlineStr">
        <is>
          <t>Стоимость оборудования (всего)</t>
        </is>
      </c>
      <c r="I1230" s="404" t="n"/>
      <c r="J1230" s="404" t="n"/>
      <c r="K1230" s="404" t="n">
        <v>216</v>
      </c>
      <c r="L1230" s="404" t="n">
        <v>8</v>
      </c>
      <c r="M1230" s="404" t="n">
        <v>3</v>
      </c>
      <c r="N1230" s="404" t="inlineStr"/>
      <c r="O1230" s="404" t="n">
        <v>0</v>
      </c>
      <c r="P1230" s="404" t="n"/>
      <c r="Q1230" s="404" t="n"/>
      <c r="R1230" s="404" t="n"/>
      <c r="S1230" s="404" t="n"/>
      <c r="T1230" s="404" t="n"/>
      <c r="U1230" s="404" t="n"/>
      <c r="V1230" s="404" t="n"/>
      <c r="W1230" s="404" t="n">
        <v>0</v>
      </c>
      <c r="X1230" s="404" t="n">
        <v>1</v>
      </c>
      <c r="Y1230" s="404" t="n">
        <v>0</v>
      </c>
      <c r="Z1230" s="404" t="n"/>
      <c r="AA1230" s="404" t="n"/>
      <c r="AB1230" s="404" t="n"/>
    </row>
    <row r="1231">
      <c r="A1231" s="404" t="n">
        <v>50</v>
      </c>
      <c r="B1231" s="404" t="n">
        <v>0</v>
      </c>
      <c r="C1231" s="404" t="n">
        <v>0</v>
      </c>
      <c r="D1231" s="404" t="n">
        <v>1</v>
      </c>
      <c r="E1231" s="404" t="n">
        <v>223</v>
      </c>
      <c r="F1231" s="404">
        <f>ROUND(Source!AQ1221,O1231)</f>
        <v/>
      </c>
      <c r="G1231" s="404" t="inlineStr">
        <is>
          <t>ОборудЗак</t>
        </is>
      </c>
      <c r="H1231" s="404" t="inlineStr">
        <is>
          <t>Стоимость оборудования заказчика</t>
        </is>
      </c>
      <c r="I1231" s="404" t="n"/>
      <c r="J1231" s="404" t="n"/>
      <c r="K1231" s="404" t="n">
        <v>223</v>
      </c>
      <c r="L1231" s="404" t="n">
        <v>9</v>
      </c>
      <c r="M1231" s="404" t="n">
        <v>3</v>
      </c>
      <c r="N1231" s="404" t="inlineStr"/>
      <c r="O1231" s="404" t="n">
        <v>0</v>
      </c>
      <c r="P1231" s="404" t="n"/>
      <c r="Q1231" s="404" t="n"/>
      <c r="R1231" s="404" t="n"/>
      <c r="S1231" s="404" t="n"/>
      <c r="T1231" s="404" t="n"/>
      <c r="U1231" s="404" t="n"/>
      <c r="V1231" s="404" t="n"/>
      <c r="W1231" s="404" t="n">
        <v>0</v>
      </c>
      <c r="X1231" s="404" t="n">
        <v>1</v>
      </c>
      <c r="Y1231" s="404" t="n">
        <v>0</v>
      </c>
      <c r="Z1231" s="404" t="n"/>
      <c r="AA1231" s="404" t="n"/>
      <c r="AB1231" s="404" t="n"/>
    </row>
    <row r="1232">
      <c r="A1232" s="404" t="n">
        <v>50</v>
      </c>
      <c r="B1232" s="404" t="n">
        <v>0</v>
      </c>
      <c r="C1232" s="404" t="n">
        <v>0</v>
      </c>
      <c r="D1232" s="404" t="n">
        <v>1</v>
      </c>
      <c r="E1232" s="404" t="n">
        <v>229</v>
      </c>
      <c r="F1232" s="404">
        <f>ROUND(Source!AZ1221,O1232)</f>
        <v/>
      </c>
      <c r="G1232" s="404" t="inlineStr">
        <is>
          <t>ОборудПод</t>
        </is>
      </c>
      <c r="H1232" s="404" t="inlineStr">
        <is>
          <t>Стоимость оборудования подрядчика</t>
        </is>
      </c>
      <c r="I1232" s="404" t="n"/>
      <c r="J1232" s="404" t="n"/>
      <c r="K1232" s="404" t="n">
        <v>229</v>
      </c>
      <c r="L1232" s="404" t="n">
        <v>10</v>
      </c>
      <c r="M1232" s="404" t="n">
        <v>3</v>
      </c>
      <c r="N1232" s="404" t="inlineStr"/>
      <c r="O1232" s="404" t="n">
        <v>0</v>
      </c>
      <c r="P1232" s="404" t="n"/>
      <c r="Q1232" s="404" t="n"/>
      <c r="R1232" s="404" t="n"/>
      <c r="S1232" s="404" t="n"/>
      <c r="T1232" s="404" t="n"/>
      <c r="U1232" s="404" t="n"/>
      <c r="V1232" s="404" t="n"/>
      <c r="W1232" s="404" t="n">
        <v>0</v>
      </c>
      <c r="X1232" s="404" t="n">
        <v>1</v>
      </c>
      <c r="Y1232" s="404" t="n">
        <v>0</v>
      </c>
      <c r="Z1232" s="404" t="n"/>
      <c r="AA1232" s="404" t="n"/>
      <c r="AB1232" s="404" t="n"/>
    </row>
    <row r="1233">
      <c r="A1233" s="404" t="n">
        <v>50</v>
      </c>
      <c r="B1233" s="404" t="n">
        <v>0</v>
      </c>
      <c r="C1233" s="404" t="n">
        <v>0</v>
      </c>
      <c r="D1233" s="404" t="n">
        <v>1</v>
      </c>
      <c r="E1233" s="404" t="n">
        <v>203</v>
      </c>
      <c r="F1233" s="404">
        <f>ROUND(Source!Q1221,O1233)</f>
        <v/>
      </c>
      <c r="G1233" s="404" t="inlineStr">
        <is>
          <t>ЭММ</t>
        </is>
      </c>
      <c r="H1233" s="404" t="inlineStr">
        <is>
          <t>Эксплуатация машин</t>
        </is>
      </c>
      <c r="I1233" s="404" t="n"/>
      <c r="J1233" s="404" t="n"/>
      <c r="K1233" s="404" t="n">
        <v>203</v>
      </c>
      <c r="L1233" s="404" t="n">
        <v>11</v>
      </c>
      <c r="M1233" s="404" t="n">
        <v>3</v>
      </c>
      <c r="N1233" s="404" t="inlineStr"/>
      <c r="O1233" s="404" t="n">
        <v>0</v>
      </c>
      <c r="P1233" s="404" t="n"/>
      <c r="Q1233" s="404" t="n"/>
      <c r="R1233" s="404" t="n"/>
      <c r="S1233" s="404" t="n"/>
      <c r="T1233" s="404" t="n"/>
      <c r="U1233" s="404" t="n"/>
      <c r="V1233" s="404" t="n"/>
      <c r="W1233" s="404" t="n">
        <v>0</v>
      </c>
      <c r="X1233" s="404" t="n">
        <v>1</v>
      </c>
      <c r="Y1233" s="404" t="n">
        <v>0</v>
      </c>
      <c r="Z1233" s="404" t="n"/>
      <c r="AA1233" s="404" t="n"/>
      <c r="AB1233" s="404" t="n"/>
    </row>
    <row r="1234">
      <c r="A1234" s="404" t="n">
        <v>50</v>
      </c>
      <c r="B1234" s="404" t="n">
        <v>0</v>
      </c>
      <c r="C1234" s="404" t="n">
        <v>0</v>
      </c>
      <c r="D1234" s="404" t="n">
        <v>1</v>
      </c>
      <c r="E1234" s="404" t="n">
        <v>231</v>
      </c>
      <c r="F1234" s="404">
        <f>ROUND(Source!BB1221,O1234)</f>
        <v/>
      </c>
      <c r="G1234" s="404" t="inlineStr">
        <is>
          <t>ЭММсНРиСП</t>
        </is>
      </c>
      <c r="H1234" s="404" t="inlineStr">
        <is>
          <t>Эксплуатация машин по ТСН-2001.16</t>
        </is>
      </c>
      <c r="I1234" s="404" t="n"/>
      <c r="J1234" s="404" t="n"/>
      <c r="K1234" s="404" t="n">
        <v>231</v>
      </c>
      <c r="L1234" s="404" t="n">
        <v>12</v>
      </c>
      <c r="M1234" s="404" t="n">
        <v>3</v>
      </c>
      <c r="N1234" s="404" t="inlineStr"/>
      <c r="O1234" s="404" t="n">
        <v>0</v>
      </c>
      <c r="P1234" s="404" t="n"/>
      <c r="Q1234" s="404" t="n"/>
      <c r="R1234" s="404" t="n"/>
      <c r="S1234" s="404" t="n"/>
      <c r="T1234" s="404" t="n"/>
      <c r="U1234" s="404" t="n"/>
      <c r="V1234" s="404" t="n"/>
      <c r="W1234" s="404" t="n">
        <v>0</v>
      </c>
      <c r="X1234" s="404" t="n">
        <v>1</v>
      </c>
      <c r="Y1234" s="404" t="n">
        <v>0</v>
      </c>
      <c r="Z1234" s="404" t="n"/>
      <c r="AA1234" s="404" t="n"/>
      <c r="AB1234" s="404" t="n"/>
    </row>
    <row r="1235">
      <c r="A1235" s="404" t="n">
        <v>50</v>
      </c>
      <c r="B1235" s="404" t="n">
        <v>0</v>
      </c>
      <c r="C1235" s="404" t="n">
        <v>0</v>
      </c>
      <c r="D1235" s="404" t="n">
        <v>1</v>
      </c>
      <c r="E1235" s="404" t="n">
        <v>204</v>
      </c>
      <c r="F1235" s="404">
        <f>ROUND(Source!R1221,O1235)</f>
        <v/>
      </c>
      <c r="G1235" s="404" t="inlineStr">
        <is>
          <t>ЗПМ</t>
        </is>
      </c>
      <c r="H1235" s="404" t="inlineStr">
        <is>
          <t>ЗП машинистов</t>
        </is>
      </c>
      <c r="I1235" s="404" t="n"/>
      <c r="J1235" s="404" t="n"/>
      <c r="K1235" s="404" t="n">
        <v>204</v>
      </c>
      <c r="L1235" s="404" t="n">
        <v>13</v>
      </c>
      <c r="M1235" s="404" t="n">
        <v>3</v>
      </c>
      <c r="N1235" s="404" t="inlineStr"/>
      <c r="O1235" s="404" t="n">
        <v>0</v>
      </c>
      <c r="P1235" s="404" t="n"/>
      <c r="Q1235" s="404" t="n"/>
      <c r="R1235" s="404" t="n"/>
      <c r="S1235" s="404" t="n"/>
      <c r="T1235" s="404" t="n"/>
      <c r="U1235" s="404" t="n"/>
      <c r="V1235" s="404" t="n"/>
      <c r="W1235" s="404" t="n">
        <v>0</v>
      </c>
      <c r="X1235" s="404" t="n">
        <v>1</v>
      </c>
      <c r="Y1235" s="404" t="n">
        <v>0</v>
      </c>
      <c r="Z1235" s="404" t="n"/>
      <c r="AA1235" s="404" t="n"/>
      <c r="AB1235" s="404" t="n"/>
    </row>
    <row r="1236">
      <c r="A1236" s="404" t="n">
        <v>50</v>
      </c>
      <c r="B1236" s="404" t="n">
        <v>0</v>
      </c>
      <c r="C1236" s="404" t="n">
        <v>0</v>
      </c>
      <c r="D1236" s="404" t="n">
        <v>1</v>
      </c>
      <c r="E1236" s="404" t="n">
        <v>205</v>
      </c>
      <c r="F1236" s="404">
        <f>ROUND(Source!S1221,O1236)</f>
        <v/>
      </c>
      <c r="G1236" s="404" t="inlineStr">
        <is>
          <t>ОЗП</t>
        </is>
      </c>
      <c r="H1236" s="404" t="inlineStr">
        <is>
          <t>Основная ЗП рабочих</t>
        </is>
      </c>
      <c r="I1236" s="404" t="n"/>
      <c r="J1236" s="404" t="n"/>
      <c r="K1236" s="404" t="n">
        <v>205</v>
      </c>
      <c r="L1236" s="404" t="n">
        <v>14</v>
      </c>
      <c r="M1236" s="404" t="n">
        <v>3</v>
      </c>
      <c r="N1236" s="404" t="inlineStr"/>
      <c r="O1236" s="404" t="n">
        <v>0</v>
      </c>
      <c r="P1236" s="404" t="n"/>
      <c r="Q1236" s="404" t="n"/>
      <c r="R1236" s="404" t="n"/>
      <c r="S1236" s="404" t="n"/>
      <c r="T1236" s="404" t="n"/>
      <c r="U1236" s="404" t="n"/>
      <c r="V1236" s="404" t="n"/>
      <c r="W1236" s="404" t="n">
        <v>0</v>
      </c>
      <c r="X1236" s="404" t="n">
        <v>1</v>
      </c>
      <c r="Y1236" s="404" t="n">
        <v>0</v>
      </c>
      <c r="Z1236" s="404" t="n"/>
      <c r="AA1236" s="404" t="n"/>
      <c r="AB1236" s="404" t="n"/>
    </row>
    <row r="1237">
      <c r="A1237" s="404" t="n">
        <v>50</v>
      </c>
      <c r="B1237" s="404" t="n">
        <v>0</v>
      </c>
      <c r="C1237" s="404" t="n">
        <v>0</v>
      </c>
      <c r="D1237" s="404" t="n">
        <v>1</v>
      </c>
      <c r="E1237" s="404" t="n">
        <v>232</v>
      </c>
      <c r="F1237" s="404">
        <f>ROUND(Source!BC1221,O1237)</f>
        <v/>
      </c>
      <c r="G1237" s="404" t="inlineStr">
        <is>
          <t>ОЗПсНРиСП</t>
        </is>
      </c>
      <c r="H1237" s="404" t="inlineStr">
        <is>
          <t>Основная ЗП рабочих по ТСН-2001.16</t>
        </is>
      </c>
      <c r="I1237" s="404" t="n"/>
      <c r="J1237" s="404" t="n"/>
      <c r="K1237" s="404" t="n">
        <v>232</v>
      </c>
      <c r="L1237" s="404" t="n">
        <v>15</v>
      </c>
      <c r="M1237" s="404" t="n">
        <v>3</v>
      </c>
      <c r="N1237" s="404" t="inlineStr"/>
      <c r="O1237" s="404" t="n">
        <v>0</v>
      </c>
      <c r="P1237" s="404" t="n"/>
      <c r="Q1237" s="404" t="n"/>
      <c r="R1237" s="404" t="n"/>
      <c r="S1237" s="404" t="n"/>
      <c r="T1237" s="404" t="n"/>
      <c r="U1237" s="404" t="n"/>
      <c r="V1237" s="404" t="n"/>
      <c r="W1237" s="404" t="n">
        <v>0</v>
      </c>
      <c r="X1237" s="404" t="n">
        <v>1</v>
      </c>
      <c r="Y1237" s="404" t="n">
        <v>0</v>
      </c>
      <c r="Z1237" s="404" t="n"/>
      <c r="AA1237" s="404" t="n"/>
      <c r="AB1237" s="404" t="n"/>
    </row>
    <row r="1238">
      <c r="A1238" s="404" t="n">
        <v>50</v>
      </c>
      <c r="B1238" s="404" t="n">
        <v>0</v>
      </c>
      <c r="C1238" s="404" t="n">
        <v>0</v>
      </c>
      <c r="D1238" s="404" t="n">
        <v>1</v>
      </c>
      <c r="E1238" s="404" t="n">
        <v>214</v>
      </c>
      <c r="F1238" s="404">
        <f>ROUND(Source!AS1221,O1238)</f>
        <v/>
      </c>
      <c r="G1238" s="404" t="inlineStr">
        <is>
          <t>Строит</t>
        </is>
      </c>
      <c r="H1238" s="404" t="inlineStr">
        <is>
          <t>Строительные работы с НР и СП</t>
        </is>
      </c>
      <c r="I1238" s="404" t="n"/>
      <c r="J1238" s="404" t="n"/>
      <c r="K1238" s="404" t="n">
        <v>214</v>
      </c>
      <c r="L1238" s="404" t="n">
        <v>16</v>
      </c>
      <c r="M1238" s="404" t="n">
        <v>3</v>
      </c>
      <c r="N1238" s="404" t="inlineStr"/>
      <c r="O1238" s="404" t="n">
        <v>0</v>
      </c>
      <c r="P1238" s="404" t="n"/>
      <c r="Q1238" s="404" t="n"/>
      <c r="R1238" s="404" t="n"/>
      <c r="S1238" s="404" t="n"/>
      <c r="T1238" s="404" t="n"/>
      <c r="U1238" s="404" t="n"/>
      <c r="V1238" s="404" t="n"/>
      <c r="W1238" s="404" t="n">
        <v>0</v>
      </c>
      <c r="X1238" s="404" t="n">
        <v>1</v>
      </c>
      <c r="Y1238" s="404" t="n">
        <v>0</v>
      </c>
      <c r="Z1238" s="404" t="n"/>
      <c r="AA1238" s="404" t="n"/>
      <c r="AB1238" s="404" t="n"/>
    </row>
    <row r="1239">
      <c r="A1239" s="404" t="n">
        <v>50</v>
      </c>
      <c r="B1239" s="404" t="n">
        <v>0</v>
      </c>
      <c r="C1239" s="404" t="n">
        <v>0</v>
      </c>
      <c r="D1239" s="404" t="n">
        <v>1</v>
      </c>
      <c r="E1239" s="404" t="n">
        <v>215</v>
      </c>
      <c r="F1239" s="404">
        <f>ROUND(Source!AT1221,O1239)</f>
        <v/>
      </c>
      <c r="G1239" s="404" t="inlineStr">
        <is>
          <t>Монтаж</t>
        </is>
      </c>
      <c r="H1239" s="404" t="inlineStr">
        <is>
          <t>Монтажные работы с НР и СП</t>
        </is>
      </c>
      <c r="I1239" s="404" t="n"/>
      <c r="J1239" s="404" t="n"/>
      <c r="K1239" s="404" t="n">
        <v>215</v>
      </c>
      <c r="L1239" s="404" t="n">
        <v>17</v>
      </c>
      <c r="M1239" s="404" t="n">
        <v>3</v>
      </c>
      <c r="N1239" s="404" t="inlineStr"/>
      <c r="O1239" s="404" t="n">
        <v>0</v>
      </c>
      <c r="P1239" s="404" t="n"/>
      <c r="Q1239" s="404" t="n"/>
      <c r="R1239" s="404" t="n"/>
      <c r="S1239" s="404" t="n"/>
      <c r="T1239" s="404" t="n"/>
      <c r="U1239" s="404" t="n"/>
      <c r="V1239" s="404" t="n"/>
      <c r="W1239" s="404" t="n">
        <v>0</v>
      </c>
      <c r="X1239" s="404" t="n">
        <v>1</v>
      </c>
      <c r="Y1239" s="404" t="n">
        <v>0</v>
      </c>
      <c r="Z1239" s="404" t="n"/>
      <c r="AA1239" s="404" t="n"/>
      <c r="AB1239" s="404" t="n"/>
    </row>
    <row r="1240">
      <c r="A1240" s="404" t="n">
        <v>50</v>
      </c>
      <c r="B1240" s="404" t="n">
        <v>0</v>
      </c>
      <c r="C1240" s="404" t="n">
        <v>0</v>
      </c>
      <c r="D1240" s="404" t="n">
        <v>1</v>
      </c>
      <c r="E1240" s="404" t="n">
        <v>217</v>
      </c>
      <c r="F1240" s="404">
        <f>ROUND(Source!AU1221,O1240)</f>
        <v/>
      </c>
      <c r="G1240" s="404" t="inlineStr">
        <is>
          <t>Прочие</t>
        </is>
      </c>
      <c r="H1240" s="404" t="inlineStr">
        <is>
          <t>Прочие работы с НР и СП</t>
        </is>
      </c>
      <c r="I1240" s="404" t="n"/>
      <c r="J1240" s="404" t="n"/>
      <c r="K1240" s="404" t="n">
        <v>217</v>
      </c>
      <c r="L1240" s="404" t="n">
        <v>18</v>
      </c>
      <c r="M1240" s="404" t="n">
        <v>3</v>
      </c>
      <c r="N1240" s="404" t="inlineStr"/>
      <c r="O1240" s="404" t="n">
        <v>0</v>
      </c>
      <c r="P1240" s="404" t="n"/>
      <c r="Q1240" s="404" t="n"/>
      <c r="R1240" s="404" t="n"/>
      <c r="S1240" s="404" t="n"/>
      <c r="T1240" s="404" t="n"/>
      <c r="U1240" s="404" t="n"/>
      <c r="V1240" s="404" t="n"/>
      <c r="W1240" s="404" t="n">
        <v>0</v>
      </c>
      <c r="X1240" s="404" t="n">
        <v>1</v>
      </c>
      <c r="Y1240" s="404" t="n">
        <v>0</v>
      </c>
      <c r="Z1240" s="404" t="n"/>
      <c r="AA1240" s="404" t="n"/>
      <c r="AB1240" s="404" t="n"/>
    </row>
    <row r="1241">
      <c r="A1241" s="404" t="n">
        <v>50</v>
      </c>
      <c r="B1241" s="404" t="n">
        <v>0</v>
      </c>
      <c r="C1241" s="404" t="n">
        <v>0</v>
      </c>
      <c r="D1241" s="404" t="n">
        <v>1</v>
      </c>
      <c r="E1241" s="404" t="n">
        <v>230</v>
      </c>
      <c r="F1241" s="404">
        <f>ROUND(Source!BA1221,O1241)</f>
        <v/>
      </c>
      <c r="G1241" s="404" t="inlineStr">
        <is>
          <t>ПрочиеЗатр</t>
        </is>
      </c>
      <c r="H1241" s="404" t="inlineStr">
        <is>
          <t>Прочие затраты по ТСН-2001.16</t>
        </is>
      </c>
      <c r="I1241" s="404" t="n"/>
      <c r="J1241" s="404" t="n"/>
      <c r="K1241" s="404" t="n">
        <v>230</v>
      </c>
      <c r="L1241" s="404" t="n">
        <v>19</v>
      </c>
      <c r="M1241" s="404" t="n">
        <v>3</v>
      </c>
      <c r="N1241" s="404" t="inlineStr"/>
      <c r="O1241" s="404" t="n">
        <v>0</v>
      </c>
      <c r="P1241" s="404" t="n"/>
      <c r="Q1241" s="404" t="n"/>
      <c r="R1241" s="404" t="n"/>
      <c r="S1241" s="404" t="n"/>
      <c r="T1241" s="404" t="n"/>
      <c r="U1241" s="404" t="n"/>
      <c r="V1241" s="404" t="n"/>
      <c r="W1241" s="404" t="n">
        <v>0</v>
      </c>
      <c r="X1241" s="404" t="n">
        <v>1</v>
      </c>
      <c r="Y1241" s="404" t="n">
        <v>0</v>
      </c>
      <c r="Z1241" s="404" t="n"/>
      <c r="AA1241" s="404" t="n"/>
      <c r="AB1241" s="404" t="n"/>
    </row>
    <row r="1242">
      <c r="A1242" s="404" t="n">
        <v>50</v>
      </c>
      <c r="B1242" s="404" t="n">
        <v>0</v>
      </c>
      <c r="C1242" s="404" t="n">
        <v>0</v>
      </c>
      <c r="D1242" s="404" t="n">
        <v>1</v>
      </c>
      <c r="E1242" s="404" t="n">
        <v>206</v>
      </c>
      <c r="F1242" s="404">
        <f>ROUND(Source!T1221,O1242)</f>
        <v/>
      </c>
      <c r="G1242" s="404" t="inlineStr">
        <is>
          <t>ВозврМат</t>
        </is>
      </c>
      <c r="H1242" s="404" t="inlineStr">
        <is>
          <t>Возврат материалов</t>
        </is>
      </c>
      <c r="I1242" s="404" t="n"/>
      <c r="J1242" s="404" t="n"/>
      <c r="K1242" s="404" t="n">
        <v>206</v>
      </c>
      <c r="L1242" s="404" t="n">
        <v>20</v>
      </c>
      <c r="M1242" s="404" t="n">
        <v>3</v>
      </c>
      <c r="N1242" s="404" t="inlineStr"/>
      <c r="O1242" s="404" t="n">
        <v>0</v>
      </c>
      <c r="P1242" s="404" t="n"/>
      <c r="Q1242" s="404" t="n"/>
      <c r="R1242" s="404" t="n"/>
      <c r="S1242" s="404" t="n"/>
      <c r="T1242" s="404" t="n"/>
      <c r="U1242" s="404" t="n"/>
      <c r="V1242" s="404" t="n"/>
      <c r="W1242" s="404" t="n">
        <v>0</v>
      </c>
      <c r="X1242" s="404" t="n">
        <v>1</v>
      </c>
      <c r="Y1242" s="404" t="n">
        <v>0</v>
      </c>
      <c r="Z1242" s="404" t="n"/>
      <c r="AA1242" s="404" t="n"/>
      <c r="AB1242" s="404" t="n"/>
    </row>
    <row r="1243">
      <c r="A1243" s="404" t="n">
        <v>50</v>
      </c>
      <c r="B1243" s="404" t="n">
        <v>0</v>
      </c>
      <c r="C1243" s="404" t="n">
        <v>0</v>
      </c>
      <c r="D1243" s="404" t="n">
        <v>1</v>
      </c>
      <c r="E1243" s="404" t="n">
        <v>207</v>
      </c>
      <c r="F1243" s="404">
        <f>ROUND(Source!U1221,O1243)</f>
        <v/>
      </c>
      <c r="G1243" s="404" t="inlineStr">
        <is>
          <t>ТрудСтр</t>
        </is>
      </c>
      <c r="H1243" s="404" t="inlineStr">
        <is>
          <t>Трудозатраты строителей</t>
        </is>
      </c>
      <c r="I1243" s="404" t="n"/>
      <c r="J1243" s="404" t="n"/>
      <c r="K1243" s="404" t="n">
        <v>207</v>
      </c>
      <c r="L1243" s="404" t="n">
        <v>21</v>
      </c>
      <c r="M1243" s="404" t="n">
        <v>3</v>
      </c>
      <c r="N1243" s="404" t="inlineStr"/>
      <c r="O1243" s="404" t="n">
        <v>7</v>
      </c>
      <c r="P1243" s="404" t="n"/>
      <c r="Q1243" s="404" t="n"/>
      <c r="R1243" s="404" t="n"/>
      <c r="S1243" s="404" t="n"/>
      <c r="T1243" s="404" t="n"/>
      <c r="U1243" s="404" t="n"/>
      <c r="V1243" s="404" t="n"/>
      <c r="W1243" s="404" t="n">
        <v>0</v>
      </c>
      <c r="X1243" s="404" t="n">
        <v>1</v>
      </c>
      <c r="Y1243" s="404" t="n">
        <v>0</v>
      </c>
      <c r="Z1243" s="404" t="n"/>
      <c r="AA1243" s="404" t="n"/>
      <c r="AB1243" s="404" t="n"/>
    </row>
    <row r="1244">
      <c r="A1244" s="404" t="n">
        <v>50</v>
      </c>
      <c r="B1244" s="404" t="n">
        <v>0</v>
      </c>
      <c r="C1244" s="404" t="n">
        <v>0</v>
      </c>
      <c r="D1244" s="404" t="n">
        <v>1</v>
      </c>
      <c r="E1244" s="404" t="n">
        <v>208</v>
      </c>
      <c r="F1244" s="404">
        <f>ROUND(Source!V1221,O1244)</f>
        <v/>
      </c>
      <c r="G1244" s="404" t="inlineStr">
        <is>
          <t>ТрудМаш</t>
        </is>
      </c>
      <c r="H1244" s="404" t="inlineStr">
        <is>
          <t>Трудозатраты машинистов</t>
        </is>
      </c>
      <c r="I1244" s="404" t="n"/>
      <c r="J1244" s="404" t="n"/>
      <c r="K1244" s="404" t="n">
        <v>208</v>
      </c>
      <c r="L1244" s="404" t="n">
        <v>22</v>
      </c>
      <c r="M1244" s="404" t="n">
        <v>3</v>
      </c>
      <c r="N1244" s="404" t="inlineStr"/>
      <c r="O1244" s="404" t="n">
        <v>7</v>
      </c>
      <c r="P1244" s="404" t="n"/>
      <c r="Q1244" s="404" t="n"/>
      <c r="R1244" s="404" t="n"/>
      <c r="S1244" s="404" t="n"/>
      <c r="T1244" s="404" t="n"/>
      <c r="U1244" s="404" t="n"/>
      <c r="V1244" s="404" t="n"/>
      <c r="W1244" s="404" t="n">
        <v>0</v>
      </c>
      <c r="X1244" s="404" t="n">
        <v>1</v>
      </c>
      <c r="Y1244" s="404" t="n">
        <v>0</v>
      </c>
      <c r="Z1244" s="404" t="n"/>
      <c r="AA1244" s="404" t="n"/>
      <c r="AB1244" s="404" t="n"/>
    </row>
    <row r="1245">
      <c r="A1245" s="404" t="n">
        <v>50</v>
      </c>
      <c r="B1245" s="404" t="n">
        <v>0</v>
      </c>
      <c r="C1245" s="404" t="n">
        <v>0</v>
      </c>
      <c r="D1245" s="404" t="n">
        <v>1</v>
      </c>
      <c r="E1245" s="404" t="n">
        <v>209</v>
      </c>
      <c r="F1245" s="404">
        <f>ROUND(Source!W1221,O1245)</f>
        <v/>
      </c>
      <c r="G1245" s="404" t="inlineStr">
        <is>
          <t>ТранспМат</t>
        </is>
      </c>
      <c r="H1245" s="404" t="inlineStr">
        <is>
          <t>Транспорт материалов</t>
        </is>
      </c>
      <c r="I1245" s="404" t="n"/>
      <c r="J1245" s="404" t="n"/>
      <c r="K1245" s="404" t="n">
        <v>209</v>
      </c>
      <c r="L1245" s="404" t="n">
        <v>23</v>
      </c>
      <c r="M1245" s="404" t="n">
        <v>3</v>
      </c>
      <c r="N1245" s="404" t="inlineStr"/>
      <c r="O1245" s="404" t="n">
        <v>0</v>
      </c>
      <c r="P1245" s="404" t="n"/>
      <c r="Q1245" s="404" t="n"/>
      <c r="R1245" s="404" t="n"/>
      <c r="S1245" s="404" t="n"/>
      <c r="T1245" s="404" t="n"/>
      <c r="U1245" s="404" t="n"/>
      <c r="V1245" s="404" t="n"/>
      <c r="W1245" s="404" t="n">
        <v>0</v>
      </c>
      <c r="X1245" s="404" t="n">
        <v>1</v>
      </c>
      <c r="Y1245" s="404" t="n">
        <v>0</v>
      </c>
      <c r="Z1245" s="404" t="n"/>
      <c r="AA1245" s="404" t="n"/>
      <c r="AB1245" s="404" t="n"/>
    </row>
    <row r="1246">
      <c r="A1246" s="404" t="n">
        <v>50</v>
      </c>
      <c r="B1246" s="404" t="n">
        <v>0</v>
      </c>
      <c r="C1246" s="404" t="n">
        <v>0</v>
      </c>
      <c r="D1246" s="404" t="n">
        <v>1</v>
      </c>
      <c r="E1246" s="404" t="n">
        <v>233</v>
      </c>
      <c r="F1246" s="404">
        <f>ROUND(Source!BD1221,O1246)</f>
        <v/>
      </c>
      <c r="G1246" s="404" t="inlineStr">
        <is>
          <t>Перевозка</t>
        </is>
      </c>
      <c r="H1246" s="404" t="inlineStr">
        <is>
          <t>Перевозка грузов</t>
        </is>
      </c>
      <c r="I1246" s="404" t="n"/>
      <c r="J1246" s="404" t="n"/>
      <c r="K1246" s="404" t="n">
        <v>233</v>
      </c>
      <c r="L1246" s="404" t="n">
        <v>24</v>
      </c>
      <c r="M1246" s="404" t="n">
        <v>3</v>
      </c>
      <c r="N1246" s="404" t="inlineStr"/>
      <c r="O1246" s="404" t="n">
        <v>0</v>
      </c>
      <c r="P1246" s="404" t="n"/>
      <c r="Q1246" s="404" t="n"/>
      <c r="R1246" s="404" t="n"/>
      <c r="S1246" s="404" t="n"/>
      <c r="T1246" s="404" t="n"/>
      <c r="U1246" s="404" t="n"/>
      <c r="V1246" s="404" t="n"/>
      <c r="W1246" s="404" t="n">
        <v>0</v>
      </c>
      <c r="X1246" s="404" t="n">
        <v>1</v>
      </c>
      <c r="Y1246" s="404" t="n">
        <v>0</v>
      </c>
      <c r="Z1246" s="404" t="n"/>
      <c r="AA1246" s="404" t="n"/>
      <c r="AB1246" s="404" t="n"/>
    </row>
    <row r="1247">
      <c r="A1247" s="404" t="n">
        <v>50</v>
      </c>
      <c r="B1247" s="404" t="n">
        <v>0</v>
      </c>
      <c r="C1247" s="404" t="n">
        <v>0</v>
      </c>
      <c r="D1247" s="404" t="n">
        <v>1</v>
      </c>
      <c r="E1247" s="404" t="n">
        <v>210</v>
      </c>
      <c r="F1247" s="404">
        <f>ROUND(Source!X1221,O1247)</f>
        <v/>
      </c>
      <c r="G1247" s="404" t="inlineStr">
        <is>
          <t>НР</t>
        </is>
      </c>
      <c r="H1247" s="404" t="inlineStr">
        <is>
          <t>Накладные расходы</t>
        </is>
      </c>
      <c r="I1247" s="404" t="n"/>
      <c r="J1247" s="404" t="n"/>
      <c r="K1247" s="404" t="n">
        <v>210</v>
      </c>
      <c r="L1247" s="404" t="n">
        <v>25</v>
      </c>
      <c r="M1247" s="404" t="n">
        <v>3</v>
      </c>
      <c r="N1247" s="404" t="inlineStr"/>
      <c r="O1247" s="404" t="n">
        <v>0</v>
      </c>
      <c r="P1247" s="404" t="n"/>
      <c r="Q1247" s="404" t="n"/>
      <c r="R1247" s="404" t="n"/>
      <c r="S1247" s="404" t="n"/>
      <c r="T1247" s="404" t="n"/>
      <c r="U1247" s="404" t="n"/>
      <c r="V1247" s="404" t="n"/>
      <c r="W1247" s="404" t="n">
        <v>0</v>
      </c>
      <c r="X1247" s="404" t="n">
        <v>1</v>
      </c>
      <c r="Y1247" s="404" t="n">
        <v>0</v>
      </c>
      <c r="Z1247" s="404" t="n"/>
      <c r="AA1247" s="404" t="n"/>
      <c r="AB1247" s="404" t="n"/>
    </row>
    <row r="1248">
      <c r="A1248" s="404" t="n">
        <v>50</v>
      </c>
      <c r="B1248" s="404" t="n">
        <v>0</v>
      </c>
      <c r="C1248" s="404" t="n">
        <v>0</v>
      </c>
      <c r="D1248" s="404" t="n">
        <v>1</v>
      </c>
      <c r="E1248" s="404" t="n">
        <v>211</v>
      </c>
      <c r="F1248" s="404">
        <f>ROUND(Source!Y1221,O1248)</f>
        <v/>
      </c>
      <c r="G1248" s="404" t="inlineStr">
        <is>
          <t>СмПриб</t>
        </is>
      </c>
      <c r="H1248" s="404" t="inlineStr">
        <is>
          <t>Сметная прибыль</t>
        </is>
      </c>
      <c r="I1248" s="404" t="n"/>
      <c r="J1248" s="404" t="n"/>
      <c r="K1248" s="404" t="n">
        <v>211</v>
      </c>
      <c r="L1248" s="404" t="n">
        <v>26</v>
      </c>
      <c r="M1248" s="404" t="n">
        <v>3</v>
      </c>
      <c r="N1248" s="404" t="inlineStr"/>
      <c r="O1248" s="404" t="n">
        <v>0</v>
      </c>
      <c r="P1248" s="404" t="n"/>
      <c r="Q1248" s="404" t="n"/>
      <c r="R1248" s="404" t="n"/>
      <c r="S1248" s="404" t="n"/>
      <c r="T1248" s="404" t="n"/>
      <c r="U1248" s="404" t="n"/>
      <c r="V1248" s="404" t="n"/>
      <c r="W1248" s="404" t="n">
        <v>0</v>
      </c>
      <c r="X1248" s="404" t="n">
        <v>1</v>
      </c>
      <c r="Y1248" s="404" t="n">
        <v>0</v>
      </c>
      <c r="Z1248" s="404" t="n"/>
      <c r="AA1248" s="404" t="n"/>
      <c r="AB1248" s="404" t="n"/>
    </row>
    <row r="1249">
      <c r="A1249" s="404" t="n">
        <v>50</v>
      </c>
      <c r="B1249" s="404" t="n">
        <v>0</v>
      </c>
      <c r="C1249" s="404" t="n">
        <v>0</v>
      </c>
      <c r="D1249" s="404" t="n">
        <v>1</v>
      </c>
      <c r="E1249" s="404" t="n">
        <v>224</v>
      </c>
      <c r="F1249" s="404">
        <f>ROUND(Source!AR1221,O1249)</f>
        <v/>
      </c>
      <c r="G1249" s="404" t="inlineStr">
        <is>
          <t>Всего</t>
        </is>
      </c>
      <c r="H1249" s="404" t="inlineStr">
        <is>
          <t>Всего с НР и СП</t>
        </is>
      </c>
      <c r="I1249" s="404" t="n"/>
      <c r="J1249" s="404" t="n"/>
      <c r="K1249" s="404" t="n">
        <v>224</v>
      </c>
      <c r="L1249" s="404" t="n">
        <v>27</v>
      </c>
      <c r="M1249" s="404" t="n">
        <v>3</v>
      </c>
      <c r="N1249" s="404" t="inlineStr"/>
      <c r="O1249" s="404" t="n">
        <v>0</v>
      </c>
      <c r="P1249" s="404" t="n"/>
      <c r="Q1249" s="404" t="n"/>
      <c r="R1249" s="404" t="n"/>
      <c r="S1249" s="404" t="n"/>
      <c r="T1249" s="404" t="n"/>
      <c r="U1249" s="404" t="n"/>
      <c r="V1249" s="404" t="n"/>
      <c r="W1249" s="404" t="n">
        <v>0</v>
      </c>
      <c r="X1249" s="404" t="n">
        <v>1</v>
      </c>
      <c r="Y1249" s="404" t="n">
        <v>0</v>
      </c>
      <c r="Z1249" s="404" t="n"/>
      <c r="AA1249" s="404" t="n"/>
      <c r="AB1249" s="404" t="n"/>
    </row>
    <row r="1250">
      <c r="A1250" s="404" t="n">
        <v>50</v>
      </c>
      <c r="B1250" s="404" t="n">
        <v>0</v>
      </c>
      <c r="C1250" s="404" t="n">
        <v>0</v>
      </c>
      <c r="D1250" s="404" t="n">
        <v>2</v>
      </c>
      <c r="E1250" s="404" t="n">
        <v>0</v>
      </c>
      <c r="F1250" s="404">
        <f>ROUND(F1249,O1250)</f>
        <v/>
      </c>
      <c r="G1250" s="404" t="inlineStr">
        <is>
          <t>и1</t>
        </is>
      </c>
      <c r="H1250" s="404" t="inlineStr">
        <is>
          <t>Итого</t>
        </is>
      </c>
      <c r="I1250" s="404" t="n"/>
      <c r="J1250" s="404" t="n"/>
      <c r="K1250" s="404" t="n">
        <v>212</v>
      </c>
      <c r="L1250" s="404" t="n">
        <v>28</v>
      </c>
      <c r="M1250" s="404" t="n">
        <v>0</v>
      </c>
      <c r="N1250" s="404" t="inlineStr"/>
      <c r="O1250" s="404" t="n">
        <v>0</v>
      </c>
      <c r="P1250" s="404" t="n"/>
      <c r="Q1250" s="404" t="n"/>
      <c r="R1250" s="404" t="n"/>
      <c r="S1250" s="404" t="n"/>
      <c r="T1250" s="404" t="n"/>
      <c r="U1250" s="404" t="n"/>
      <c r="V1250" s="404" t="n"/>
      <c r="W1250" s="404" t="n">
        <v>0</v>
      </c>
      <c r="X1250" s="404" t="n">
        <v>1</v>
      </c>
      <c r="Y1250" s="404" t="n">
        <v>0</v>
      </c>
      <c r="Z1250" s="404" t="n"/>
      <c r="AA1250" s="404" t="n"/>
      <c r="AB1250" s="404" t="n"/>
    </row>
    <row r="1251">
      <c r="A1251" s="404" t="n">
        <v>50</v>
      </c>
      <c r="B1251" s="404" t="n">
        <v>0</v>
      </c>
      <c r="C1251" s="404" t="n">
        <v>0</v>
      </c>
      <c r="D1251" s="404" t="n">
        <v>2</v>
      </c>
      <c r="E1251" s="404" t="n">
        <v>0</v>
      </c>
      <c r="F1251" s="404">
        <f>ROUND(F1250*0.22,O1251)</f>
        <v/>
      </c>
      <c r="G1251" s="404" t="inlineStr">
        <is>
          <t>и2</t>
        </is>
      </c>
      <c r="H1251" s="404" t="inlineStr">
        <is>
          <t>НДС 22%</t>
        </is>
      </c>
      <c r="I1251" s="404" t="n"/>
      <c r="J1251" s="404" t="n"/>
      <c r="K1251" s="404" t="n">
        <v>212</v>
      </c>
      <c r="L1251" s="404" t="n">
        <v>29</v>
      </c>
      <c r="M1251" s="404" t="n">
        <v>0</v>
      </c>
      <c r="N1251" s="404" t="inlineStr"/>
      <c r="O1251" s="404" t="n">
        <v>0</v>
      </c>
      <c r="P1251" s="404" t="n"/>
      <c r="Q1251" s="404" t="n"/>
      <c r="R1251" s="404" t="n"/>
      <c r="S1251" s="404" t="n"/>
      <c r="T1251" s="404" t="n"/>
      <c r="U1251" s="404" t="n"/>
      <c r="V1251" s="404" t="n"/>
      <c r="W1251" s="404" t="n">
        <v>0</v>
      </c>
      <c r="X1251" s="404" t="n">
        <v>1</v>
      </c>
      <c r="Y1251" s="404" t="n">
        <v>0</v>
      </c>
      <c r="Z1251" s="404" t="n"/>
      <c r="AA1251" s="404" t="n"/>
      <c r="AB1251" s="404" t="n"/>
    </row>
    <row r="1252">
      <c r="A1252" s="404" t="n">
        <v>50</v>
      </c>
      <c r="B1252" s="404" t="n">
        <v>0</v>
      </c>
      <c r="C1252" s="404" t="n">
        <v>0</v>
      </c>
      <c r="D1252" s="404" t="n">
        <v>2</v>
      </c>
      <c r="E1252" s="404" t="n">
        <v>213</v>
      </c>
      <c r="F1252" s="404">
        <f>ROUND(F1250+F1251,O1252)</f>
        <v/>
      </c>
      <c r="G1252" s="404" t="inlineStr">
        <is>
          <t>и3</t>
        </is>
      </c>
      <c r="H1252" s="404" t="inlineStr">
        <is>
          <t>Всего</t>
        </is>
      </c>
      <c r="I1252" s="404" t="n"/>
      <c r="J1252" s="404" t="n"/>
      <c r="K1252" s="404" t="n">
        <v>212</v>
      </c>
      <c r="L1252" s="404" t="n">
        <v>30</v>
      </c>
      <c r="M1252" s="404" t="n">
        <v>0</v>
      </c>
      <c r="N1252" s="404" t="inlineStr"/>
      <c r="O1252" s="404" t="n">
        <v>0</v>
      </c>
      <c r="P1252" s="404" t="n"/>
      <c r="Q1252" s="404" t="n"/>
      <c r="R1252" s="404" t="n"/>
      <c r="S1252" s="404" t="n"/>
      <c r="T1252" s="404" t="n"/>
      <c r="U1252" s="404" t="n"/>
      <c r="V1252" s="404" t="n"/>
      <c r="W1252" s="404" t="n">
        <v>0</v>
      </c>
      <c r="X1252" s="404" t="n">
        <v>1</v>
      </c>
      <c r="Y1252" s="404" t="n">
        <v>0</v>
      </c>
      <c r="Z1252" s="404" t="n"/>
      <c r="AA1252" s="404" t="n"/>
      <c r="AB1252" s="404" t="n"/>
    </row>
    <row r="1253"/>
    <row r="1254">
      <c r="A1254" s="401" t="n">
        <v>3</v>
      </c>
      <c r="B1254" s="401" t="n">
        <v>0</v>
      </c>
      <c r="C1254" s="401" t="n"/>
      <c r="D1254" s="401">
        <f>ROW(A1263)</f>
        <v/>
      </c>
      <c r="E1254" s="401" t="n"/>
      <c r="F1254" s="401" t="inlineStr">
        <is>
          <t>Новая локальная смета</t>
        </is>
      </c>
      <c r="G1254" s="401" t="inlineStr">
        <is>
          <t>Молодежная 4</t>
        </is>
      </c>
      <c r="H1254" s="401" t="inlineStr"/>
      <c r="I1254" s="401" t="n">
        <v>0</v>
      </c>
      <c r="J1254" s="401" t="inlineStr"/>
      <c r="K1254" s="401" t="n">
        <v>0</v>
      </c>
      <c r="L1254" s="401" t="inlineStr">
        <is>
          <t>Новая локальная смета</t>
        </is>
      </c>
      <c r="M1254" s="401" t="inlineStr"/>
      <c r="N1254" s="401" t="n"/>
      <c r="O1254" s="401" t="n"/>
      <c r="P1254" s="401" t="n"/>
      <c r="Q1254" s="401" t="n"/>
      <c r="R1254" s="401" t="n"/>
      <c r="S1254" s="401" t="n">
        <v>0</v>
      </c>
      <c r="T1254" s="401" t="n"/>
      <c r="U1254" s="401" t="inlineStr"/>
      <c r="V1254" s="401" t="n">
        <v>0</v>
      </c>
      <c r="W1254" s="401" t="n"/>
      <c r="X1254" s="401" t="n"/>
      <c r="Y1254" s="401" t="n"/>
      <c r="Z1254" s="401" t="n"/>
      <c r="AA1254" s="401" t="n"/>
      <c r="AB1254" s="401" t="inlineStr"/>
      <c r="AC1254" s="401" t="inlineStr"/>
      <c r="AD1254" s="401" t="inlineStr"/>
      <c r="AE1254" s="401" t="inlineStr"/>
      <c r="AF1254" s="401" t="inlineStr"/>
      <c r="AG1254" s="401" t="inlineStr"/>
      <c r="AH1254" s="401" t="n"/>
      <c r="AI1254" s="401" t="n"/>
      <c r="AJ1254" s="401" t="n"/>
      <c r="AK1254" s="401" t="n"/>
      <c r="AL1254" s="401" t="n"/>
      <c r="AM1254" s="401" t="n"/>
      <c r="AN1254" s="401" t="n"/>
      <c r="AO1254" s="401" t="n"/>
      <c r="AP1254" s="401" t="inlineStr"/>
      <c r="AQ1254" s="401" t="inlineStr"/>
      <c r="AR1254" s="401" t="inlineStr"/>
      <c r="AS1254" s="401" t="n"/>
      <c r="AT1254" s="401" t="n"/>
      <c r="AU1254" s="401" t="n"/>
      <c r="AV1254" s="401" t="n"/>
      <c r="AW1254" s="401" t="n"/>
      <c r="AX1254" s="401" t="n"/>
      <c r="AY1254" s="401" t="n"/>
      <c r="AZ1254" s="401" t="inlineStr"/>
      <c r="BA1254" s="401" t="n"/>
      <c r="BB1254" s="401" t="inlineStr"/>
      <c r="BC1254" s="401" t="inlineStr"/>
      <c r="BD1254" s="401" t="inlineStr"/>
      <c r="BE1254" s="401" t="inlineStr"/>
      <c r="BF1254" s="401" t="inlineStr"/>
      <c r="BG1254" s="401" t="inlineStr"/>
      <c r="BH1254" s="401" t="inlineStr"/>
      <c r="BI1254" s="401" t="inlineStr"/>
      <c r="BJ1254" s="401" t="inlineStr"/>
      <c r="BK1254" s="401" t="inlineStr"/>
      <c r="BL1254" s="401" t="inlineStr"/>
      <c r="BM1254" s="401" t="inlineStr"/>
      <c r="BN1254" s="401" t="inlineStr"/>
      <c r="BO1254" s="401" t="inlineStr"/>
      <c r="BP1254" s="401" t="inlineStr"/>
      <c r="BQ1254" s="401" t="n"/>
      <c r="BR1254" s="401" t="n"/>
      <c r="BS1254" s="401" t="n"/>
      <c r="BT1254" s="401" t="n"/>
      <c r="BU1254" s="401" t="n"/>
      <c r="BV1254" s="401" t="n"/>
      <c r="BW1254" s="401" t="n"/>
      <c r="BX1254" s="401" t="n">
        <v>0</v>
      </c>
      <c r="BY1254" s="401" t="n"/>
      <c r="BZ1254" s="401" t="n"/>
      <c r="CA1254" s="401" t="n"/>
      <c r="CB1254" s="401" t="n"/>
      <c r="CC1254" s="401" t="n"/>
      <c r="CD1254" s="401" t="n"/>
      <c r="CE1254" s="401" t="n"/>
      <c r="CF1254" s="401" t="n">
        <v>0</v>
      </c>
      <c r="CG1254" s="401" t="n">
        <v>0</v>
      </c>
      <c r="CH1254" s="401" t="n"/>
      <c r="CI1254" s="401" t="inlineStr"/>
      <c r="CJ1254" s="401" t="inlineStr"/>
      <c r="CK1254" t="inlineStr"/>
      <c r="CL1254" t="inlineStr"/>
      <c r="CM1254" t="inlineStr"/>
      <c r="CN1254" t="inlineStr"/>
      <c r="CO1254" t="inlineStr"/>
      <c r="CP1254" t="inlineStr"/>
      <c r="CQ1254" t="inlineStr"/>
    </row>
    <row r="1255"/>
    <row r="1256">
      <c r="A1256" s="402" t="n">
        <v>52</v>
      </c>
      <c r="B1256" s="402">
        <f>B1263</f>
        <v/>
      </c>
      <c r="C1256" s="402">
        <f>C1263</f>
        <v/>
      </c>
      <c r="D1256" s="402">
        <f>D1263</f>
        <v/>
      </c>
      <c r="E1256" s="402">
        <f>E1263</f>
        <v/>
      </c>
      <c r="F1256" s="402">
        <f>F1263</f>
        <v/>
      </c>
      <c r="G1256" s="402">
        <f>G1263</f>
        <v/>
      </c>
      <c r="H1256" s="402" t="n"/>
      <c r="I1256" s="402" t="n"/>
      <c r="J1256" s="402" t="n"/>
      <c r="K1256" s="402" t="n"/>
      <c r="L1256" s="402" t="n"/>
      <c r="M1256" s="402" t="n"/>
      <c r="N1256" s="402" t="n"/>
      <c r="O1256" s="402">
        <f>O1263</f>
        <v/>
      </c>
      <c r="P1256" s="402">
        <f>P1263</f>
        <v/>
      </c>
      <c r="Q1256" s="402">
        <f>Q1263</f>
        <v/>
      </c>
      <c r="R1256" s="402">
        <f>R1263</f>
        <v/>
      </c>
      <c r="S1256" s="402">
        <f>S1263</f>
        <v/>
      </c>
      <c r="T1256" s="402">
        <f>T1263</f>
        <v/>
      </c>
      <c r="U1256" s="402">
        <f>U1263</f>
        <v/>
      </c>
      <c r="V1256" s="402">
        <f>V1263</f>
        <v/>
      </c>
      <c r="W1256" s="402">
        <f>W1263</f>
        <v/>
      </c>
      <c r="X1256" s="402">
        <f>X1263</f>
        <v/>
      </c>
      <c r="Y1256" s="402">
        <f>Y1263</f>
        <v/>
      </c>
      <c r="Z1256" s="402">
        <f>Z1263</f>
        <v/>
      </c>
      <c r="AA1256" s="402">
        <f>AA1263</f>
        <v/>
      </c>
      <c r="AB1256" s="402">
        <f>AB1263</f>
        <v/>
      </c>
      <c r="AC1256" s="402">
        <f>AC1263</f>
        <v/>
      </c>
      <c r="AD1256" s="402">
        <f>AD1263</f>
        <v/>
      </c>
      <c r="AE1256" s="402">
        <f>AE1263</f>
        <v/>
      </c>
      <c r="AF1256" s="402">
        <f>AF1263</f>
        <v/>
      </c>
      <c r="AG1256" s="402">
        <f>AG1263</f>
        <v/>
      </c>
      <c r="AH1256" s="402">
        <f>AH1263</f>
        <v/>
      </c>
      <c r="AI1256" s="402">
        <f>AI1263</f>
        <v/>
      </c>
      <c r="AJ1256" s="402">
        <f>AJ1263</f>
        <v/>
      </c>
      <c r="AK1256" s="402">
        <f>AK1263</f>
        <v/>
      </c>
      <c r="AL1256" s="402">
        <f>AL1263</f>
        <v/>
      </c>
      <c r="AM1256" s="402">
        <f>AM1263</f>
        <v/>
      </c>
      <c r="AN1256" s="402">
        <f>AN1263</f>
        <v/>
      </c>
      <c r="AO1256" s="402">
        <f>AO1263</f>
        <v/>
      </c>
      <c r="AP1256" s="402">
        <f>AP1263</f>
        <v/>
      </c>
      <c r="AQ1256" s="402">
        <f>AQ1263</f>
        <v/>
      </c>
      <c r="AR1256" s="402">
        <f>AR1263</f>
        <v/>
      </c>
      <c r="AS1256" s="402">
        <f>AS1263</f>
        <v/>
      </c>
      <c r="AT1256" s="402">
        <f>AT1263</f>
        <v/>
      </c>
      <c r="AU1256" s="402">
        <f>AU1263</f>
        <v/>
      </c>
      <c r="AV1256" s="402">
        <f>AV1263</f>
        <v/>
      </c>
      <c r="AW1256" s="402">
        <f>AW1263</f>
        <v/>
      </c>
      <c r="AX1256" s="402">
        <f>AX1263</f>
        <v/>
      </c>
      <c r="AY1256" s="402">
        <f>AY1263</f>
        <v/>
      </c>
      <c r="AZ1256" s="402">
        <f>AZ1263</f>
        <v/>
      </c>
      <c r="BA1256" s="402">
        <f>BA1263</f>
        <v/>
      </c>
      <c r="BB1256" s="402">
        <f>BB1263</f>
        <v/>
      </c>
      <c r="BC1256" s="402">
        <f>BC1263</f>
        <v/>
      </c>
      <c r="BD1256" s="402">
        <f>BD1263</f>
        <v/>
      </c>
      <c r="BE1256" s="402">
        <f>BE1263</f>
        <v/>
      </c>
      <c r="BF1256" s="402">
        <f>BF1263</f>
        <v/>
      </c>
      <c r="BG1256" s="402">
        <f>BG1263</f>
        <v/>
      </c>
      <c r="BH1256" s="402">
        <f>BH1263</f>
        <v/>
      </c>
      <c r="BI1256" s="402">
        <f>BI1263</f>
        <v/>
      </c>
      <c r="BJ1256" s="402">
        <f>BJ1263</f>
        <v/>
      </c>
      <c r="BK1256" s="402">
        <f>BK1263</f>
        <v/>
      </c>
      <c r="BL1256" s="402">
        <f>BL1263</f>
        <v/>
      </c>
      <c r="BM1256" s="402">
        <f>BM1263</f>
        <v/>
      </c>
      <c r="BN1256" s="402">
        <f>BN1263</f>
        <v/>
      </c>
      <c r="BO1256" s="402">
        <f>BO1263</f>
        <v/>
      </c>
      <c r="BP1256" s="402">
        <f>BP1263</f>
        <v/>
      </c>
      <c r="BQ1256" s="402">
        <f>BQ1263</f>
        <v/>
      </c>
      <c r="BR1256" s="402">
        <f>BR1263</f>
        <v/>
      </c>
      <c r="BS1256" s="402">
        <f>BS1263</f>
        <v/>
      </c>
      <c r="BT1256" s="402">
        <f>BT1263</f>
        <v/>
      </c>
      <c r="BU1256" s="402">
        <f>BU1263</f>
        <v/>
      </c>
      <c r="BV1256" s="402">
        <f>BV1263</f>
        <v/>
      </c>
      <c r="BW1256" s="402">
        <f>BW1263</f>
        <v/>
      </c>
      <c r="BX1256" s="402">
        <f>BX1263</f>
        <v/>
      </c>
      <c r="BY1256" s="402">
        <f>BY1263</f>
        <v/>
      </c>
      <c r="BZ1256" s="402">
        <f>BZ1263</f>
        <v/>
      </c>
      <c r="CA1256" s="402">
        <f>CA1263</f>
        <v/>
      </c>
      <c r="CB1256" s="402">
        <f>CB1263</f>
        <v/>
      </c>
      <c r="CC1256" s="402">
        <f>CC1263</f>
        <v/>
      </c>
      <c r="CD1256" s="402">
        <f>CD1263</f>
        <v/>
      </c>
      <c r="CE1256" s="402">
        <f>CE1263</f>
        <v/>
      </c>
      <c r="CF1256" s="402">
        <f>CF1263</f>
        <v/>
      </c>
      <c r="CG1256" s="402">
        <f>CG1263</f>
        <v/>
      </c>
      <c r="CH1256" s="402">
        <f>CH1263</f>
        <v/>
      </c>
      <c r="CI1256" s="402">
        <f>CI1263</f>
        <v/>
      </c>
      <c r="CJ1256" s="402">
        <f>CJ1263</f>
        <v/>
      </c>
      <c r="CK1256" s="402">
        <f>CK1263</f>
        <v/>
      </c>
      <c r="CL1256" s="402">
        <f>CL1263</f>
        <v/>
      </c>
      <c r="CM1256" s="402">
        <f>CM1263</f>
        <v/>
      </c>
      <c r="CN1256" s="402">
        <f>CN1263</f>
        <v/>
      </c>
      <c r="CO1256" s="402">
        <f>CO1263</f>
        <v/>
      </c>
      <c r="CP1256" s="402">
        <f>CP1263</f>
        <v/>
      </c>
      <c r="CQ1256" s="402">
        <f>CQ1263</f>
        <v/>
      </c>
      <c r="CR1256" s="402">
        <f>CR1263</f>
        <v/>
      </c>
      <c r="CS1256" s="402">
        <f>CS1263</f>
        <v/>
      </c>
      <c r="CT1256" s="402">
        <f>CT1263</f>
        <v/>
      </c>
      <c r="CU1256" s="402">
        <f>CU1263</f>
        <v/>
      </c>
      <c r="CV1256" s="402">
        <f>CV1263</f>
        <v/>
      </c>
      <c r="CW1256" s="402">
        <f>CW1263</f>
        <v/>
      </c>
      <c r="CX1256" s="402">
        <f>CX1263</f>
        <v/>
      </c>
      <c r="CY1256" s="402">
        <f>CY1263</f>
        <v/>
      </c>
      <c r="CZ1256" s="402">
        <f>CZ1263</f>
        <v/>
      </c>
      <c r="DA1256" s="402">
        <f>DA1263</f>
        <v/>
      </c>
      <c r="DB1256" s="402">
        <f>DB1263</f>
        <v/>
      </c>
      <c r="DC1256" s="402">
        <f>DC1263</f>
        <v/>
      </c>
      <c r="DD1256" s="402">
        <f>DD1263</f>
        <v/>
      </c>
      <c r="DE1256" s="402">
        <f>DE1263</f>
        <v/>
      </c>
      <c r="DF1256" s="402">
        <f>DF1263</f>
        <v/>
      </c>
      <c r="DG1256" s="403">
        <f>DG1263</f>
        <v/>
      </c>
      <c r="DH1256" s="403">
        <f>DH1263</f>
        <v/>
      </c>
      <c r="DI1256" s="403">
        <f>DI1263</f>
        <v/>
      </c>
      <c r="DJ1256" s="403">
        <f>DJ1263</f>
        <v/>
      </c>
      <c r="DK1256" s="403">
        <f>DK1263</f>
        <v/>
      </c>
      <c r="DL1256" s="403">
        <f>DL1263</f>
        <v/>
      </c>
      <c r="DM1256" s="403">
        <f>DM1263</f>
        <v/>
      </c>
      <c r="DN1256" s="403">
        <f>DN1263</f>
        <v/>
      </c>
      <c r="DO1256" s="403">
        <f>DO1263</f>
        <v/>
      </c>
      <c r="DP1256" s="403">
        <f>DP1263</f>
        <v/>
      </c>
      <c r="DQ1256" s="403">
        <f>DQ1263</f>
        <v/>
      </c>
      <c r="DR1256" s="403">
        <f>DR1263</f>
        <v/>
      </c>
      <c r="DS1256" s="403">
        <f>DS1263</f>
        <v/>
      </c>
      <c r="DT1256" s="403">
        <f>DT1263</f>
        <v/>
      </c>
      <c r="DU1256" s="403">
        <f>DU1263</f>
        <v/>
      </c>
      <c r="DV1256" s="403">
        <f>DV1263</f>
        <v/>
      </c>
      <c r="DW1256" s="403">
        <f>DW1263</f>
        <v/>
      </c>
      <c r="DX1256" s="403">
        <f>DX1263</f>
        <v/>
      </c>
      <c r="DY1256" s="403">
        <f>DY1263</f>
        <v/>
      </c>
      <c r="DZ1256" s="403">
        <f>DZ1263</f>
        <v/>
      </c>
      <c r="EA1256" s="403">
        <f>EA1263</f>
        <v/>
      </c>
      <c r="EB1256" s="403">
        <f>EB1263</f>
        <v/>
      </c>
      <c r="EC1256" s="403">
        <f>EC1263</f>
        <v/>
      </c>
      <c r="ED1256" s="403">
        <f>ED1263</f>
        <v/>
      </c>
      <c r="EE1256" s="403">
        <f>EE1263</f>
        <v/>
      </c>
      <c r="EF1256" s="403">
        <f>EF1263</f>
        <v/>
      </c>
      <c r="EG1256" s="403">
        <f>EG1263</f>
        <v/>
      </c>
      <c r="EH1256" s="403">
        <f>EH1263</f>
        <v/>
      </c>
      <c r="EI1256" s="403">
        <f>EI1263</f>
        <v/>
      </c>
      <c r="EJ1256" s="403">
        <f>EJ1263</f>
        <v/>
      </c>
      <c r="EK1256" s="403">
        <f>EK1263</f>
        <v/>
      </c>
      <c r="EL1256" s="403">
        <f>EL1263</f>
        <v/>
      </c>
      <c r="EM1256" s="403">
        <f>EM1263</f>
        <v/>
      </c>
      <c r="EN1256" s="403">
        <f>EN1263</f>
        <v/>
      </c>
      <c r="EO1256" s="403">
        <f>EO1263</f>
        <v/>
      </c>
      <c r="EP1256" s="403">
        <f>EP1263</f>
        <v/>
      </c>
      <c r="EQ1256" s="403">
        <f>EQ1263</f>
        <v/>
      </c>
      <c r="ER1256" s="403">
        <f>ER1263</f>
        <v/>
      </c>
      <c r="ES1256" s="403">
        <f>ES1263</f>
        <v/>
      </c>
      <c r="ET1256" s="403">
        <f>ET1263</f>
        <v/>
      </c>
      <c r="EU1256" s="403">
        <f>EU1263</f>
        <v/>
      </c>
      <c r="EV1256" s="403">
        <f>EV1263</f>
        <v/>
      </c>
      <c r="EW1256" s="403">
        <f>EW1263</f>
        <v/>
      </c>
      <c r="EX1256" s="403">
        <f>EX1263</f>
        <v/>
      </c>
      <c r="EY1256" s="403">
        <f>EY1263</f>
        <v/>
      </c>
      <c r="EZ1256" s="403">
        <f>EZ1263</f>
        <v/>
      </c>
      <c r="FA1256" s="403">
        <f>FA1263</f>
        <v/>
      </c>
      <c r="FB1256" s="403">
        <f>FB1263</f>
        <v/>
      </c>
      <c r="FC1256" s="403">
        <f>FC1263</f>
        <v/>
      </c>
      <c r="FD1256" s="403">
        <f>FD1263</f>
        <v/>
      </c>
      <c r="FE1256" s="403">
        <f>FE1263</f>
        <v/>
      </c>
      <c r="FF1256" s="403">
        <f>FF1263</f>
        <v/>
      </c>
      <c r="FG1256" s="403">
        <f>FG1263</f>
        <v/>
      </c>
      <c r="FH1256" s="403">
        <f>FH1263</f>
        <v/>
      </c>
      <c r="FI1256" s="403">
        <f>FI1263</f>
        <v/>
      </c>
      <c r="FJ1256" s="403">
        <f>FJ1263</f>
        <v/>
      </c>
      <c r="FK1256" s="403">
        <f>FK1263</f>
        <v/>
      </c>
      <c r="FL1256" s="403">
        <f>FL1263</f>
        <v/>
      </c>
      <c r="FM1256" s="403">
        <f>FM1263</f>
        <v/>
      </c>
      <c r="FN1256" s="403">
        <f>FN1263</f>
        <v/>
      </c>
      <c r="FO1256" s="403">
        <f>FO1263</f>
        <v/>
      </c>
      <c r="FP1256" s="403">
        <f>FP1263</f>
        <v/>
      </c>
      <c r="FQ1256" s="403">
        <f>FQ1263</f>
        <v/>
      </c>
      <c r="FR1256" s="403">
        <f>FR1263</f>
        <v/>
      </c>
      <c r="FS1256" s="403">
        <f>FS1263</f>
        <v/>
      </c>
      <c r="FT1256" s="403">
        <f>FT1263</f>
        <v/>
      </c>
      <c r="FU1256" s="403">
        <f>FU1263</f>
        <v/>
      </c>
      <c r="FV1256" s="403">
        <f>FV1263</f>
        <v/>
      </c>
      <c r="FW1256" s="403">
        <f>FW1263</f>
        <v/>
      </c>
      <c r="FX1256" s="403">
        <f>FX1263</f>
        <v/>
      </c>
      <c r="FY1256" s="403">
        <f>FY1263</f>
        <v/>
      </c>
      <c r="FZ1256" s="403">
        <f>FZ1263</f>
        <v/>
      </c>
      <c r="GA1256" s="403">
        <f>GA1263</f>
        <v/>
      </c>
      <c r="GB1256" s="403">
        <f>GB1263</f>
        <v/>
      </c>
      <c r="GC1256" s="403">
        <f>GC1263</f>
        <v/>
      </c>
      <c r="GD1256" s="403">
        <f>GD1263</f>
        <v/>
      </c>
      <c r="GE1256" s="403">
        <f>GE1263</f>
        <v/>
      </c>
      <c r="GF1256" s="403">
        <f>GF1263</f>
        <v/>
      </c>
      <c r="GG1256" s="403">
        <f>GG1263</f>
        <v/>
      </c>
      <c r="GH1256" s="403">
        <f>GH1263</f>
        <v/>
      </c>
      <c r="GI1256" s="403">
        <f>GI1263</f>
        <v/>
      </c>
      <c r="GJ1256" s="403">
        <f>GJ1263</f>
        <v/>
      </c>
      <c r="GK1256" s="403">
        <f>GK1263</f>
        <v/>
      </c>
      <c r="GL1256" s="403">
        <f>GL1263</f>
        <v/>
      </c>
      <c r="GM1256" s="403">
        <f>GM1263</f>
        <v/>
      </c>
      <c r="GN1256" s="403">
        <f>GN1263</f>
        <v/>
      </c>
      <c r="GO1256" s="403">
        <f>GO1263</f>
        <v/>
      </c>
      <c r="GP1256" s="403">
        <f>GP1263</f>
        <v/>
      </c>
      <c r="GQ1256" s="403">
        <f>GQ1263</f>
        <v/>
      </c>
      <c r="GR1256" s="403">
        <f>GR1263</f>
        <v/>
      </c>
      <c r="GS1256" s="403">
        <f>GS1263</f>
        <v/>
      </c>
      <c r="GT1256" s="403">
        <f>GT1263</f>
        <v/>
      </c>
      <c r="GU1256" s="403">
        <f>GU1263</f>
        <v/>
      </c>
      <c r="GV1256" s="403">
        <f>GV1263</f>
        <v/>
      </c>
      <c r="GW1256" s="403">
        <f>GW1263</f>
        <v/>
      </c>
      <c r="GX1256" s="403">
        <f>GX1263</f>
        <v/>
      </c>
    </row>
    <row r="1257"/>
    <row r="1258">
      <c r="A1258" t="n">
        <v>17</v>
      </c>
      <c r="B1258" t="n">
        <v>0</v>
      </c>
      <c r="C1258">
        <f>ROW(SmtRes!A620)</f>
        <v/>
      </c>
      <c r="D1258">
        <f>ROW(EtalonRes!A571)</f>
        <v/>
      </c>
      <c r="E1258" t="inlineStr">
        <is>
          <t>1</t>
        </is>
      </c>
      <c r="F1258" t="inlineStr">
        <is>
          <t>65-10-1</t>
        </is>
      </c>
      <c r="G1258" t="inlineStr">
        <is>
          <t>Очистка канализационной сети внутренней</t>
        </is>
      </c>
      <c r="H1258" t="inlineStr">
        <is>
          <t>100 м трубопровода</t>
        </is>
      </c>
      <c r="I1258">
        <f>ROUND(ROUND(45/100,4),7)</f>
        <v/>
      </c>
      <c r="J1258" t="n">
        <v>0</v>
      </c>
      <c r="K1258">
        <f>ROUND(ROUND(45/100,4),7)</f>
        <v/>
      </c>
      <c r="O1258">
        <f>ROUND(CP1258,0)</f>
        <v/>
      </c>
      <c r="P1258">
        <f>ROUND(CQ1258*I1258,0)</f>
        <v/>
      </c>
      <c r="Q1258">
        <f>(ROUND((ROUND(((ET1258)*I1258),0)*BB1258),0)+ROUND((ROUND(((AE1258-(EU1258))*I1258),0)*BS1258),0))</f>
        <v/>
      </c>
      <c r="R1258">
        <f>(ROUND((ROUND(((EU1258)*I1258),0)*BS1258),0)+ROUND((ROUND(((AE1258-(EU1258))*I1258),0)*BS1258),0))</f>
        <v/>
      </c>
      <c r="S1258">
        <f>ROUND(CT1258*I1258,0)</f>
        <v/>
      </c>
      <c r="T1258">
        <f>ROUND(CU1258*I1258,0)</f>
        <v/>
      </c>
      <c r="U1258">
        <f>ROUND(CV1258*I1258,7)</f>
        <v/>
      </c>
      <c r="V1258">
        <f>ROUND(CW1258*I1258,7)</f>
        <v/>
      </c>
      <c r="W1258">
        <f>ROUND(CX1258*I1258,0)</f>
        <v/>
      </c>
      <c r="X1258">
        <f>ROUND(CY1258,0)</f>
        <v/>
      </c>
      <c r="Y1258">
        <f>ROUND(CZ1258,0)</f>
        <v/>
      </c>
      <c r="AA1258" t="n">
        <v>78869116</v>
      </c>
      <c r="AB1258">
        <f>ROUND((AC1258+AD1258+AF1258),2)</f>
        <v/>
      </c>
      <c r="AC1258">
        <f>ROUND((ES1258),2)</f>
        <v/>
      </c>
      <c r="AD1258">
        <f>ROUND((((ET1258)-(EU1258))+AE1258),2)</f>
        <v/>
      </c>
      <c r="AE1258">
        <f>ROUND((EU1258),2)</f>
        <v/>
      </c>
      <c r="AF1258">
        <f>ROUND((EV1258),2)</f>
        <v/>
      </c>
      <c r="AG1258">
        <f>ROUND((AP1258),2)</f>
        <v/>
      </c>
      <c r="AH1258">
        <f>(EW1258)</f>
        <v/>
      </c>
      <c r="AI1258">
        <f>(EX1258)</f>
        <v/>
      </c>
      <c r="AJ1258">
        <f>(AS1258)</f>
        <v/>
      </c>
      <c r="AK1258" t="n">
        <v>403.3</v>
      </c>
      <c r="AL1258" t="n">
        <v>139.36</v>
      </c>
      <c r="AM1258" t="n">
        <v>0.87</v>
      </c>
      <c r="AN1258" t="n">
        <v>0</v>
      </c>
      <c r="AO1258" t="n">
        <v>263.07</v>
      </c>
      <c r="AP1258" t="n">
        <v>0</v>
      </c>
      <c r="AQ1258" t="n">
        <v>32.2</v>
      </c>
      <c r="AR1258" t="n">
        <v>0</v>
      </c>
      <c r="AS1258" t="n">
        <v>0</v>
      </c>
      <c r="AT1258" t="n">
        <v>103</v>
      </c>
      <c r="AU1258" t="n">
        <v>52</v>
      </c>
      <c r="AV1258" t="n">
        <v>1</v>
      </c>
      <c r="AW1258" t="n">
        <v>1</v>
      </c>
      <c r="AZ1258" t="n">
        <v>1</v>
      </c>
      <c r="BA1258" t="n">
        <v>52.25</v>
      </c>
      <c r="BB1258" t="n">
        <v>25.03</v>
      </c>
      <c r="BC1258" t="n">
        <v>11.85</v>
      </c>
      <c r="BD1258" t="inlineStr"/>
      <c r="BE1258" t="inlineStr"/>
      <c r="BF1258" t="inlineStr"/>
      <c r="BG1258" t="inlineStr"/>
      <c r="BH1258" t="n">
        <v>0</v>
      </c>
      <c r="BI1258" t="n">
        <v>1</v>
      </c>
      <c r="BJ1258" t="inlineStr">
        <is>
          <t>ТЕРр Московской обл., 65-10-1, приказ Минстроя России №675/пр от 28.02.2017 № 263/пр</t>
        </is>
      </c>
      <c r="BM1258" t="n">
        <v>65007</v>
      </c>
      <c r="BN1258" t="n">
        <v>0</v>
      </c>
      <c r="BO1258" t="inlineStr">
        <is>
          <t>65-10-1</t>
        </is>
      </c>
      <c r="BP1258" t="n">
        <v>1</v>
      </c>
      <c r="BQ1258" t="n">
        <v>6</v>
      </c>
      <c r="BR1258" t="n">
        <v>0</v>
      </c>
      <c r="BS1258" t="n">
        <v>52.25</v>
      </c>
      <c r="BT1258" t="n">
        <v>1</v>
      </c>
      <c r="BU1258" t="n">
        <v>1</v>
      </c>
      <c r="BV1258" t="n">
        <v>1</v>
      </c>
      <c r="BW1258" t="n">
        <v>1</v>
      </c>
      <c r="BX1258" t="n">
        <v>1</v>
      </c>
      <c r="BY1258" t="inlineStr"/>
      <c r="BZ1258" t="n">
        <v>103</v>
      </c>
      <c r="CA1258" t="n">
        <v>52</v>
      </c>
      <c r="CB1258" t="inlineStr"/>
      <c r="CE1258" t="n">
        <v>12</v>
      </c>
      <c r="CF1258" t="n">
        <v>0</v>
      </c>
      <c r="CG1258" t="n">
        <v>0</v>
      </c>
      <c r="CM1258" t="n">
        <v>0</v>
      </c>
      <c r="CN1258" t="inlineStr"/>
      <c r="CO1258" t="n">
        <v>0</v>
      </c>
      <c r="CP1258">
        <f>(P1258+Q1258+S1258)</f>
        <v/>
      </c>
      <c r="CQ1258">
        <f>AC1258*BC1258</f>
        <v/>
      </c>
      <c r="CR1258">
        <f>(ROUND((ROUND(((ET1258)*1),0)*BB1258),0)+ROUND((ROUND(((AE1258-(EU1258))*1),0)*BS1258),0))</f>
        <v/>
      </c>
      <c r="CS1258">
        <f>(ROUND((ROUND(((EU1258)*1),0)*BS1258),0)+ROUND((ROUND(((AE1258-(EU1258))*1),0)*BS1258),0))</f>
        <v/>
      </c>
      <c r="CT1258">
        <f>AF1258*BA1258</f>
        <v/>
      </c>
      <c r="CU1258">
        <f>AG1258</f>
        <v/>
      </c>
      <c r="CV1258">
        <f>AH1258</f>
        <v/>
      </c>
      <c r="CW1258">
        <f>AI1258</f>
        <v/>
      </c>
      <c r="CX1258">
        <f>AJ1258</f>
        <v/>
      </c>
      <c r="CY1258">
        <f>(((S1258+R1258)*AT1258)/100)</f>
        <v/>
      </c>
      <c r="CZ1258">
        <f>(((S1258+R1258)*AU1258)/100)</f>
        <v/>
      </c>
      <c r="DC1258" t="inlineStr"/>
      <c r="DD1258" t="inlineStr"/>
      <c r="DE1258" t="inlineStr"/>
      <c r="DF1258" t="inlineStr"/>
      <c r="DG1258" t="inlineStr"/>
      <c r="DH1258" t="inlineStr"/>
      <c r="DI1258" t="inlineStr"/>
      <c r="DJ1258" t="inlineStr"/>
      <c r="DK1258" t="inlineStr"/>
      <c r="DL1258" t="inlineStr"/>
      <c r="DM1258" t="inlineStr"/>
      <c r="DN1258" t="n">
        <v>0</v>
      </c>
      <c r="DO1258" t="n">
        <v>0</v>
      </c>
      <c r="DP1258" t="n">
        <v>1</v>
      </c>
      <c r="DQ1258" t="n">
        <v>1</v>
      </c>
      <c r="DU1258" t="n">
        <v>1013</v>
      </c>
      <c r="DV1258" t="inlineStr">
        <is>
          <t>100 м трубопровода</t>
        </is>
      </c>
      <c r="DW1258" t="inlineStr">
        <is>
          <t>100 м трубопровода</t>
        </is>
      </c>
      <c r="DX1258" t="n">
        <v>1</v>
      </c>
      <c r="DZ1258" t="inlineStr"/>
      <c r="EA1258" t="inlineStr"/>
      <c r="EB1258" t="inlineStr"/>
      <c r="EC1258" t="inlineStr"/>
      <c r="EE1258" t="n">
        <v>78726000</v>
      </c>
      <c r="EF1258" t="n">
        <v>6</v>
      </c>
      <c r="EG1258" t="inlineStr">
        <is>
          <t>Ремонтно-строительные работы</t>
        </is>
      </c>
      <c r="EH1258" t="n">
        <v>99</v>
      </c>
      <c r="EI1258" t="inlineStr">
        <is>
          <t>Внутренние санитарно-технические работы</t>
        </is>
      </c>
      <c r="EJ1258" t="n">
        <v>1</v>
      </c>
      <c r="EK1258" t="n">
        <v>65007</v>
      </c>
      <c r="EL1258" t="inlineStr">
        <is>
          <t>Внутренние санитарнотехнические работы: смена труб, санприборов, запорной арматуры и другое</t>
        </is>
      </c>
      <c r="EM1258" t="inlineStr">
        <is>
          <t>рФЕР-65</t>
        </is>
      </c>
      <c r="EO1258" t="inlineStr"/>
      <c r="EQ1258" t="n">
        <v>0</v>
      </c>
      <c r="ER1258" t="n">
        <v>403.3</v>
      </c>
      <c r="ES1258" t="n">
        <v>139.36</v>
      </c>
      <c r="ET1258" t="n">
        <v>0.87</v>
      </c>
      <c r="EU1258" t="n">
        <v>0</v>
      </c>
      <c r="EV1258" t="n">
        <v>263.07</v>
      </c>
      <c r="EW1258" t="n">
        <v>32.2</v>
      </c>
      <c r="EX1258" t="n">
        <v>0</v>
      </c>
      <c r="EY1258" t="n">
        <v>0</v>
      </c>
      <c r="FQ1258" t="n">
        <v>0</v>
      </c>
      <c r="FR1258" t="n">
        <v>0</v>
      </c>
      <c r="FS1258" t="n">
        <v>0</v>
      </c>
      <c r="FX1258" t="n">
        <v>103</v>
      </c>
      <c r="FY1258" t="n">
        <v>52</v>
      </c>
      <c r="GA1258" t="inlineStr"/>
      <c r="GD1258" t="n">
        <v>1</v>
      </c>
      <c r="GF1258" t="n">
        <v>-66904957</v>
      </c>
      <c r="GG1258" t="n">
        <v>2</v>
      </c>
      <c r="GH1258" t="n">
        <v>1</v>
      </c>
      <c r="GI1258" t="n">
        <v>2</v>
      </c>
      <c r="GJ1258" t="n">
        <v>0</v>
      </c>
      <c r="GK1258" t="n">
        <v>0</v>
      </c>
      <c r="GL1258">
        <f>ROUND(IF(AND(BH1258=3,BI1258=3,FS1258&lt;&gt;0),P1258,0),0)</f>
        <v/>
      </c>
      <c r="GM1258">
        <f>ROUND(O1258+X1258+Y1258,0)+GX1258</f>
        <v/>
      </c>
      <c r="GN1258">
        <f>IF(OR(BI1258=0,BI1258=1),GM1258-GX1258,0)</f>
        <v/>
      </c>
      <c r="GO1258">
        <f>IF(BI1258=2,GM1258-GX1258,0)</f>
        <v/>
      </c>
      <c r="GP1258">
        <f>IF(BI1258=4,GM1258-GX1258,0)</f>
        <v/>
      </c>
      <c r="GR1258" t="n">
        <v>0</v>
      </c>
      <c r="GS1258" t="n">
        <v>3</v>
      </c>
      <c r="GT1258" t="n">
        <v>0</v>
      </c>
      <c r="GU1258" t="inlineStr"/>
      <c r="GV1258">
        <f>ROUND((GT1258),2)</f>
        <v/>
      </c>
      <c r="GW1258" t="n">
        <v>1</v>
      </c>
      <c r="GX1258">
        <f>ROUND(HC1258*I1258,0)</f>
        <v/>
      </c>
      <c r="HA1258" t="n">
        <v>0</v>
      </c>
      <c r="HB1258" t="n">
        <v>0</v>
      </c>
      <c r="HC1258">
        <f>GV1258*GW1258</f>
        <v/>
      </c>
      <c r="HE1258" t="inlineStr"/>
      <c r="HF1258" t="inlineStr"/>
      <c r="HM1258" t="inlineStr"/>
      <c r="HN1258" t="inlineStr">
        <is>
          <t>Пр/812-099.2-1</t>
        </is>
      </c>
      <c r="HO1258" t="inlineStr">
        <is>
          <t>Пр/774-099.2</t>
        </is>
      </c>
      <c r="HP1258" t="inlineStr">
        <is>
          <t>Внутренние санитарнотехнические работы: смена труб, санприборов, запорной арматуры и другое</t>
        </is>
      </c>
      <c r="HQ1258" t="inlineStr">
        <is>
          <t>Внутренние санитарнотехнические работы: смена труб, санприборов, запорной арматуры и другое</t>
        </is>
      </c>
      <c r="HS1258" t="n">
        <v>0</v>
      </c>
      <c r="IK1258" t="n">
        <v>0</v>
      </c>
    </row>
    <row r="1259">
      <c r="A1259" t="n">
        <v>17</v>
      </c>
      <c r="B1259" t="n">
        <v>0</v>
      </c>
      <c r="C1259">
        <f>ROW(SmtRes!A623)</f>
        <v/>
      </c>
      <c r="D1259">
        <f>ROW(EtalonRes!A573)</f>
        <v/>
      </c>
      <c r="E1259" t="inlineStr">
        <is>
          <t>2</t>
        </is>
      </c>
      <c r="F1259" t="inlineStr">
        <is>
          <t>67-5-2</t>
        </is>
      </c>
      <c r="G1259" t="inlineStr">
        <is>
          <t>Смена ламп люминесцентных</t>
        </is>
      </c>
      <c r="H1259" t="inlineStr">
        <is>
          <t>100 шт.</t>
        </is>
      </c>
      <c r="I1259">
        <f>ROUND(ROUND(2/100,4),7)</f>
        <v/>
      </c>
      <c r="J1259" t="n">
        <v>0</v>
      </c>
      <c r="K1259">
        <f>ROUND(ROUND(2/100,4),7)</f>
        <v/>
      </c>
      <c r="O1259">
        <f>ROUND(CP1259,0)</f>
        <v/>
      </c>
      <c r="P1259">
        <f>ROUND(CQ1259*I1259,0)</f>
        <v/>
      </c>
      <c r="Q1259">
        <f>(ROUND((ROUND(((ET1259)*I1259),0)*BB1259),0)+ROUND((ROUND(((AE1259-(EU1259))*I1259),0)*BS1259),0))</f>
        <v/>
      </c>
      <c r="R1259">
        <f>(ROUND((ROUND(((EU1259)*I1259),0)*BS1259),0)+ROUND((ROUND(((AE1259-(EU1259))*I1259),0)*BS1259),0))</f>
        <v/>
      </c>
      <c r="S1259">
        <f>ROUND(CT1259*I1259,0)</f>
        <v/>
      </c>
      <c r="T1259">
        <f>ROUND(CU1259*I1259,0)</f>
        <v/>
      </c>
      <c r="U1259">
        <f>ROUND(CV1259*I1259,7)</f>
        <v/>
      </c>
      <c r="V1259">
        <f>ROUND(CW1259*I1259,7)</f>
        <v/>
      </c>
      <c r="W1259">
        <f>ROUND(CX1259*I1259,0)</f>
        <v/>
      </c>
      <c r="X1259">
        <f>ROUND(CY1259,0)</f>
        <v/>
      </c>
      <c r="Y1259">
        <f>ROUND(CZ1259,0)</f>
        <v/>
      </c>
      <c r="AA1259" t="n">
        <v>78869116</v>
      </c>
      <c r="AB1259">
        <f>ROUND((AC1259+AD1259+AF1259),2)</f>
        <v/>
      </c>
      <c r="AC1259">
        <f>ROUND((ES1259),2)</f>
        <v/>
      </c>
      <c r="AD1259">
        <f>ROUND((((ET1259)-(EU1259))+AE1259),2)</f>
        <v/>
      </c>
      <c r="AE1259">
        <f>ROUND((EU1259),2)</f>
        <v/>
      </c>
      <c r="AF1259">
        <f>ROUND((EV1259),2)</f>
        <v/>
      </c>
      <c r="AG1259">
        <f>ROUND((AP1259),2)</f>
        <v/>
      </c>
      <c r="AH1259">
        <f>(EW1259)</f>
        <v/>
      </c>
      <c r="AI1259">
        <f>(EX1259)</f>
        <v/>
      </c>
      <c r="AJ1259">
        <f>(AS1259)</f>
        <v/>
      </c>
      <c r="AK1259" t="n">
        <v>970.5700000000001</v>
      </c>
      <c r="AL1259" t="n">
        <v>852</v>
      </c>
      <c r="AM1259" t="n">
        <v>0</v>
      </c>
      <c r="AN1259" t="n">
        <v>0</v>
      </c>
      <c r="AO1259" t="n">
        <v>118.57</v>
      </c>
      <c r="AP1259" t="n">
        <v>0</v>
      </c>
      <c r="AQ1259" t="n">
        <v>13.9</v>
      </c>
      <c r="AR1259" t="n">
        <v>0</v>
      </c>
      <c r="AS1259" t="n">
        <v>0</v>
      </c>
      <c r="AT1259" t="n">
        <v>91</v>
      </c>
      <c r="AU1259" t="n">
        <v>48</v>
      </c>
      <c r="AV1259" t="n">
        <v>1</v>
      </c>
      <c r="AW1259" t="n">
        <v>1</v>
      </c>
      <c r="AZ1259" t="n">
        <v>1</v>
      </c>
      <c r="BA1259" t="n">
        <v>52.25</v>
      </c>
      <c r="BB1259" t="n">
        <v>1</v>
      </c>
      <c r="BC1259" t="n">
        <v>4.14</v>
      </c>
      <c r="BD1259" t="inlineStr"/>
      <c r="BE1259" t="inlineStr"/>
      <c r="BF1259" t="inlineStr"/>
      <c r="BG1259" t="inlineStr"/>
      <c r="BH1259" t="n">
        <v>0</v>
      </c>
      <c r="BI1259" t="n">
        <v>1</v>
      </c>
      <c r="BJ1259" t="inlineStr">
        <is>
          <t>ТЕРр Московской обл., 67-5-2, приказ Минстроя России №675/пр от 28.02.2017 № 263/пр</t>
        </is>
      </c>
      <c r="BM1259" t="n">
        <v>67001</v>
      </c>
      <c r="BN1259" t="n">
        <v>0</v>
      </c>
      <c r="BO1259" t="inlineStr">
        <is>
          <t>67-5-2</t>
        </is>
      </c>
      <c r="BP1259" t="n">
        <v>1</v>
      </c>
      <c r="BQ1259" t="n">
        <v>6</v>
      </c>
      <c r="BR1259" t="n">
        <v>0</v>
      </c>
      <c r="BS1259" t="n">
        <v>52.25</v>
      </c>
      <c r="BT1259" t="n">
        <v>1</v>
      </c>
      <c r="BU1259" t="n">
        <v>1</v>
      </c>
      <c r="BV1259" t="n">
        <v>1</v>
      </c>
      <c r="BW1259" t="n">
        <v>1</v>
      </c>
      <c r="BX1259" t="n">
        <v>1</v>
      </c>
      <c r="BY1259" t="inlineStr"/>
      <c r="BZ1259" t="n">
        <v>91</v>
      </c>
      <c r="CA1259" t="n">
        <v>48</v>
      </c>
      <c r="CB1259" t="inlineStr"/>
      <c r="CE1259" t="n">
        <v>12</v>
      </c>
      <c r="CF1259" t="n">
        <v>0</v>
      </c>
      <c r="CG1259" t="n">
        <v>0</v>
      </c>
      <c r="CM1259" t="n">
        <v>0</v>
      </c>
      <c r="CN1259" t="inlineStr"/>
      <c r="CO1259" t="n">
        <v>0</v>
      </c>
      <c r="CP1259">
        <f>(P1259+Q1259+S1259)</f>
        <v/>
      </c>
      <c r="CQ1259">
        <f>AC1259*BC1259</f>
        <v/>
      </c>
      <c r="CR1259">
        <f>(ROUND((ROUND(((ET1259)*1),0)*BB1259),0)+ROUND((ROUND(((AE1259-(EU1259))*1),0)*BS1259),0))</f>
        <v/>
      </c>
      <c r="CS1259">
        <f>(ROUND((ROUND(((EU1259)*1),0)*BS1259),0)+ROUND((ROUND(((AE1259-(EU1259))*1),0)*BS1259),0))</f>
        <v/>
      </c>
      <c r="CT1259">
        <f>AF1259*BA1259</f>
        <v/>
      </c>
      <c r="CU1259">
        <f>AG1259</f>
        <v/>
      </c>
      <c r="CV1259">
        <f>AH1259</f>
        <v/>
      </c>
      <c r="CW1259">
        <f>AI1259</f>
        <v/>
      </c>
      <c r="CX1259">
        <f>AJ1259</f>
        <v/>
      </c>
      <c r="CY1259">
        <f>(((S1259+R1259)*AT1259)/100)</f>
        <v/>
      </c>
      <c r="CZ1259">
        <f>(((S1259+R1259)*AU1259)/100)</f>
        <v/>
      </c>
      <c r="DC1259" t="inlineStr"/>
      <c r="DD1259" t="inlineStr"/>
      <c r="DE1259" t="inlineStr"/>
      <c r="DF1259" t="inlineStr"/>
      <c r="DG1259" t="inlineStr"/>
      <c r="DH1259" t="inlineStr"/>
      <c r="DI1259" t="inlineStr"/>
      <c r="DJ1259" t="inlineStr"/>
      <c r="DK1259" t="inlineStr"/>
      <c r="DL1259" t="inlineStr"/>
      <c r="DM1259" t="inlineStr"/>
      <c r="DN1259" t="n">
        <v>0</v>
      </c>
      <c r="DO1259" t="n">
        <v>0</v>
      </c>
      <c r="DP1259" t="n">
        <v>1</v>
      </c>
      <c r="DQ1259" t="n">
        <v>1</v>
      </c>
      <c r="DU1259" t="n">
        <v>1010</v>
      </c>
      <c r="DV1259" t="inlineStr">
        <is>
          <t>100 шт.</t>
        </is>
      </c>
      <c r="DW1259" t="inlineStr">
        <is>
          <t>100 шт.</t>
        </is>
      </c>
      <c r="DX1259" t="n">
        <v>100</v>
      </c>
      <c r="DZ1259" t="inlineStr"/>
      <c r="EA1259" t="inlineStr"/>
      <c r="EB1259" t="inlineStr"/>
      <c r="EC1259" t="inlineStr"/>
      <c r="EE1259" t="n">
        <v>78726030</v>
      </c>
      <c r="EF1259" t="n">
        <v>6</v>
      </c>
      <c r="EG1259" t="inlineStr">
        <is>
          <t>Ремонтно-строительные работы</t>
        </is>
      </c>
      <c r="EH1259" t="n">
        <v>101</v>
      </c>
      <c r="EI1259" t="inlineStr">
        <is>
          <t>Электромонтажные работы</t>
        </is>
      </c>
      <c r="EJ1259" t="n">
        <v>1</v>
      </c>
      <c r="EK1259" t="n">
        <v>67001</v>
      </c>
      <c r="EL1259" t="inlineStr">
        <is>
          <t>Электромонтажные работы</t>
        </is>
      </c>
      <c r="EM1259" t="inlineStr">
        <is>
          <t>рФЕР-67</t>
        </is>
      </c>
      <c r="EO1259" t="inlineStr"/>
      <c r="EQ1259" t="n">
        <v>0</v>
      </c>
      <c r="ER1259" t="n">
        <v>970.5700000000001</v>
      </c>
      <c r="ES1259" t="n">
        <v>852</v>
      </c>
      <c r="ET1259" t="n">
        <v>0</v>
      </c>
      <c r="EU1259" t="n">
        <v>0</v>
      </c>
      <c r="EV1259" t="n">
        <v>118.57</v>
      </c>
      <c r="EW1259" t="n">
        <v>13.9</v>
      </c>
      <c r="EX1259" t="n">
        <v>0</v>
      </c>
      <c r="EY1259" t="n">
        <v>0</v>
      </c>
      <c r="FQ1259" t="n">
        <v>0</v>
      </c>
      <c r="FR1259" t="n">
        <v>0</v>
      </c>
      <c r="FS1259" t="n">
        <v>0</v>
      </c>
      <c r="FX1259" t="n">
        <v>91</v>
      </c>
      <c r="FY1259" t="n">
        <v>48</v>
      </c>
      <c r="GA1259" t="inlineStr"/>
      <c r="GD1259" t="n">
        <v>1</v>
      </c>
      <c r="GF1259" t="n">
        <v>1400342257</v>
      </c>
      <c r="GG1259" t="n">
        <v>2</v>
      </c>
      <c r="GH1259" t="n">
        <v>1</v>
      </c>
      <c r="GI1259" t="n">
        <v>2</v>
      </c>
      <c r="GJ1259" t="n">
        <v>0</v>
      </c>
      <c r="GK1259" t="n">
        <v>0</v>
      </c>
      <c r="GL1259">
        <f>ROUND(IF(AND(BH1259=3,BI1259=3,FS1259&lt;&gt;0),P1259,0),0)</f>
        <v/>
      </c>
      <c r="GM1259">
        <f>ROUND(O1259+X1259+Y1259,0)+GX1259</f>
        <v/>
      </c>
      <c r="GN1259">
        <f>IF(OR(BI1259=0,BI1259=1),GM1259-GX1259,0)</f>
        <v/>
      </c>
      <c r="GO1259">
        <f>IF(BI1259=2,GM1259-GX1259,0)</f>
        <v/>
      </c>
      <c r="GP1259">
        <f>IF(BI1259=4,GM1259-GX1259,0)</f>
        <v/>
      </c>
      <c r="GR1259" t="n">
        <v>0</v>
      </c>
      <c r="GS1259" t="n">
        <v>3</v>
      </c>
      <c r="GT1259" t="n">
        <v>0</v>
      </c>
      <c r="GU1259" t="inlineStr"/>
      <c r="GV1259">
        <f>ROUND((GT1259),2)</f>
        <v/>
      </c>
      <c r="GW1259" t="n">
        <v>1</v>
      </c>
      <c r="GX1259">
        <f>ROUND(HC1259*I1259,0)</f>
        <v/>
      </c>
      <c r="HA1259" t="n">
        <v>0</v>
      </c>
      <c r="HB1259" t="n">
        <v>0</v>
      </c>
      <c r="HC1259">
        <f>GV1259*GW1259</f>
        <v/>
      </c>
      <c r="HE1259" t="inlineStr"/>
      <c r="HF1259" t="inlineStr"/>
      <c r="HM1259" t="inlineStr"/>
      <c r="HN1259" t="inlineStr">
        <is>
          <t>Пр/812-101.0-1</t>
        </is>
      </c>
      <c r="HO1259" t="inlineStr">
        <is>
          <t>Пр/774-101.0</t>
        </is>
      </c>
      <c r="HP1259" t="inlineStr">
        <is>
          <t>Электромонтажные работы</t>
        </is>
      </c>
      <c r="HQ1259" t="inlineStr">
        <is>
          <t>Электромонтажные работы</t>
        </is>
      </c>
      <c r="HS1259" t="n">
        <v>0</v>
      </c>
      <c r="IK1259" t="n">
        <v>0</v>
      </c>
    </row>
    <row r="1260">
      <c r="A1260" t="n">
        <v>18</v>
      </c>
      <c r="B1260" t="n">
        <v>0</v>
      </c>
      <c r="C1260" t="n">
        <v>623</v>
      </c>
      <c r="E1260" t="inlineStr">
        <is>
          <t>2,1</t>
        </is>
      </c>
      <c r="F1260" t="inlineStr">
        <is>
          <t>509-6744</t>
        </is>
      </c>
      <c r="G1260" t="inlineStr">
        <is>
          <t>Лампы люминесцентные компактные энергосберегающие с цоколем Е27 мощностью 55 Вт</t>
        </is>
      </c>
      <c r="H1260" t="inlineStr">
        <is>
          <t>шт.</t>
        </is>
      </c>
      <c r="I1260">
        <f>I1259*J1260</f>
        <v/>
      </c>
      <c r="J1260" t="n">
        <v>100</v>
      </c>
      <c r="K1260" t="n">
        <v>100</v>
      </c>
      <c r="O1260">
        <f>ROUND(CP1260,0)</f>
        <v/>
      </c>
      <c r="P1260">
        <f>ROUND(CQ1260*I1260,0)</f>
        <v/>
      </c>
      <c r="Q1260">
        <f>(ROUND((ROUND(((ET1260)*I1260),0)*BB1260),0)+ROUND((ROUND(((AE1260-(EU1260))*I1260),0)*BS1260),0))</f>
        <v/>
      </c>
      <c r="R1260">
        <f>(ROUND((ROUND(((EU1260)*I1260),0)*BS1260),0)+ROUND((ROUND(((AE1260-(EU1260))*I1260),0)*BS1260),0))</f>
        <v/>
      </c>
      <c r="S1260">
        <f>ROUND(CT1260*I1260,0)</f>
        <v/>
      </c>
      <c r="T1260">
        <f>ROUND(CU1260*I1260,0)</f>
        <v/>
      </c>
      <c r="U1260">
        <f>ROUND(CV1260*I1260,7)</f>
        <v/>
      </c>
      <c r="V1260">
        <f>ROUND(CW1260*I1260,7)</f>
        <v/>
      </c>
      <c r="W1260">
        <f>ROUND(CX1260*I1260,0)</f>
        <v/>
      </c>
      <c r="X1260">
        <f>ROUND(CY1260,0)</f>
        <v/>
      </c>
      <c r="Y1260">
        <f>ROUND(CZ1260,0)</f>
        <v/>
      </c>
      <c r="AA1260" t="n">
        <v>78869116</v>
      </c>
      <c r="AB1260">
        <f>ROUND((AC1260+AD1260+AF1260),2)</f>
        <v/>
      </c>
      <c r="AC1260">
        <f>ROUND((ES1260),2)</f>
        <v/>
      </c>
      <c r="AD1260">
        <f>ROUND((((ET1260)-(EU1260))+AE1260),2)</f>
        <v/>
      </c>
      <c r="AE1260">
        <f>ROUND((EU1260),2)</f>
        <v/>
      </c>
      <c r="AF1260">
        <f>ROUND((EV1260),2)</f>
        <v/>
      </c>
      <c r="AG1260">
        <f>ROUND((AP1260),2)</f>
        <v/>
      </c>
      <c r="AH1260">
        <f>(EW1260)</f>
        <v/>
      </c>
      <c r="AI1260">
        <f>(EX1260)</f>
        <v/>
      </c>
      <c r="AJ1260">
        <f>(AS1260)</f>
        <v/>
      </c>
      <c r="AK1260" t="n">
        <v>140.69</v>
      </c>
      <c r="AL1260" t="n">
        <v>140.69</v>
      </c>
      <c r="AM1260" t="n">
        <v>0</v>
      </c>
      <c r="AN1260" t="n">
        <v>0</v>
      </c>
      <c r="AO1260" t="n">
        <v>0</v>
      </c>
      <c r="AP1260" t="n">
        <v>0</v>
      </c>
      <c r="AQ1260" t="n">
        <v>0</v>
      </c>
      <c r="AR1260" t="n">
        <v>0</v>
      </c>
      <c r="AS1260" t="n">
        <v>0.02</v>
      </c>
      <c r="AT1260" t="n">
        <v>91</v>
      </c>
      <c r="AU1260" t="n">
        <v>48</v>
      </c>
      <c r="AV1260" t="n">
        <v>1</v>
      </c>
      <c r="AW1260" t="n">
        <v>1</v>
      </c>
      <c r="AZ1260" t="n">
        <v>1</v>
      </c>
      <c r="BA1260" t="n">
        <v>1</v>
      </c>
      <c r="BB1260" t="n">
        <v>1</v>
      </c>
      <c r="BC1260" t="n">
        <v>1.69</v>
      </c>
      <c r="BD1260" t="inlineStr"/>
      <c r="BE1260" t="inlineStr"/>
      <c r="BF1260" t="inlineStr"/>
      <c r="BG1260" t="inlineStr"/>
      <c r="BH1260" t="n">
        <v>3</v>
      </c>
      <c r="BI1260" t="n">
        <v>1</v>
      </c>
      <c r="BJ1260" t="inlineStr">
        <is>
          <t>ТССЦ Московской обл., 509-6744, приказ Минстроя России №675/пр от 28.02.2017 № 258/пр</t>
        </is>
      </c>
      <c r="BM1260" t="n">
        <v>67001</v>
      </c>
      <c r="BN1260" t="n">
        <v>0</v>
      </c>
      <c r="BO1260" t="inlineStr">
        <is>
          <t>509-6744</t>
        </is>
      </c>
      <c r="BP1260" t="n">
        <v>1</v>
      </c>
      <c r="BQ1260" t="n">
        <v>6</v>
      </c>
      <c r="BR1260" t="n">
        <v>0</v>
      </c>
      <c r="BS1260" t="n">
        <v>1</v>
      </c>
      <c r="BT1260" t="n">
        <v>1</v>
      </c>
      <c r="BU1260" t="n">
        <v>1</v>
      </c>
      <c r="BV1260" t="n">
        <v>1</v>
      </c>
      <c r="BW1260" t="n">
        <v>1</v>
      </c>
      <c r="BX1260" t="n">
        <v>1</v>
      </c>
      <c r="BY1260" t="inlineStr"/>
      <c r="BZ1260" t="n">
        <v>91</v>
      </c>
      <c r="CA1260" t="n">
        <v>48</v>
      </c>
      <c r="CB1260" t="inlineStr"/>
      <c r="CE1260" t="n">
        <v>12</v>
      </c>
      <c r="CF1260" t="n">
        <v>0</v>
      </c>
      <c r="CG1260" t="n">
        <v>0</v>
      </c>
      <c r="CM1260" t="n">
        <v>0</v>
      </c>
      <c r="CN1260" t="inlineStr"/>
      <c r="CO1260" t="n">
        <v>0</v>
      </c>
      <c r="CP1260">
        <f>(P1260+Q1260+S1260)</f>
        <v/>
      </c>
      <c r="CQ1260">
        <f>AC1260*BC1260</f>
        <v/>
      </c>
      <c r="CR1260">
        <f>(ROUND((ROUND(((ET1260)*1),0)*BB1260),0)+ROUND((ROUND(((AE1260-(EU1260))*1),0)*BS1260),0))</f>
        <v/>
      </c>
      <c r="CS1260">
        <f>(ROUND((ROUND(((EU1260)*1),0)*BS1260),0)+ROUND((ROUND(((AE1260-(EU1260))*1),0)*BS1260),0))</f>
        <v/>
      </c>
      <c r="CT1260">
        <f>AF1260*BA1260</f>
        <v/>
      </c>
      <c r="CU1260">
        <f>AG1260</f>
        <v/>
      </c>
      <c r="CV1260">
        <f>AH1260</f>
        <v/>
      </c>
      <c r="CW1260">
        <f>AI1260</f>
        <v/>
      </c>
      <c r="CX1260">
        <f>AJ1260</f>
        <v/>
      </c>
      <c r="CY1260">
        <f>(((S1260+R1260)*AT1260)/100)</f>
        <v/>
      </c>
      <c r="CZ1260">
        <f>(((S1260+R1260)*AU1260)/100)</f>
        <v/>
      </c>
      <c r="DC1260" t="inlineStr"/>
      <c r="DD1260" t="inlineStr"/>
      <c r="DE1260" t="inlineStr"/>
      <c r="DF1260" t="inlineStr"/>
      <c r="DG1260" t="inlineStr"/>
      <c r="DH1260" t="inlineStr"/>
      <c r="DI1260" t="inlineStr"/>
      <c r="DJ1260" t="inlineStr"/>
      <c r="DK1260" t="inlineStr"/>
      <c r="DL1260" t="inlineStr"/>
      <c r="DM1260" t="inlineStr"/>
      <c r="DN1260" t="n">
        <v>0</v>
      </c>
      <c r="DO1260" t="n">
        <v>0</v>
      </c>
      <c r="DP1260" t="n">
        <v>1</v>
      </c>
      <c r="DQ1260" t="n">
        <v>1</v>
      </c>
      <c r="DU1260" t="n">
        <v>1010</v>
      </c>
      <c r="DV1260" t="inlineStr">
        <is>
          <t>шт.</t>
        </is>
      </c>
      <c r="DW1260" t="inlineStr">
        <is>
          <t>шт.</t>
        </is>
      </c>
      <c r="DX1260" t="n">
        <v>1</v>
      </c>
      <c r="DZ1260" t="inlineStr"/>
      <c r="EA1260" t="inlineStr"/>
      <c r="EB1260" t="inlineStr"/>
      <c r="EC1260" t="inlineStr"/>
      <c r="EE1260" t="n">
        <v>78726030</v>
      </c>
      <c r="EF1260" t="n">
        <v>6</v>
      </c>
      <c r="EG1260" t="inlineStr">
        <is>
          <t>Ремонтно-строительные работы</t>
        </is>
      </c>
      <c r="EH1260" t="n">
        <v>101</v>
      </c>
      <c r="EI1260" t="inlineStr">
        <is>
          <t>Электромонтажные работы</t>
        </is>
      </c>
      <c r="EJ1260" t="n">
        <v>1</v>
      </c>
      <c r="EK1260" t="n">
        <v>67001</v>
      </c>
      <c r="EL1260" t="inlineStr">
        <is>
          <t>Электромонтажные работы</t>
        </is>
      </c>
      <c r="EM1260" t="inlineStr">
        <is>
          <t>рФЕР-67</t>
        </is>
      </c>
      <c r="EO1260" t="inlineStr"/>
      <c r="EQ1260" t="n">
        <v>0</v>
      </c>
      <c r="ER1260" t="n">
        <v>140.69</v>
      </c>
      <c r="ES1260" t="n">
        <v>140.69</v>
      </c>
      <c r="ET1260" t="n">
        <v>0</v>
      </c>
      <c r="EU1260" t="n">
        <v>0</v>
      </c>
      <c r="EV1260" t="n">
        <v>0</v>
      </c>
      <c r="EW1260" t="n">
        <v>0</v>
      </c>
      <c r="EX1260" t="n">
        <v>0</v>
      </c>
      <c r="FQ1260" t="n">
        <v>0</v>
      </c>
      <c r="FR1260" t="n">
        <v>0</v>
      </c>
      <c r="FS1260" t="n">
        <v>0</v>
      </c>
      <c r="FX1260" t="n">
        <v>91</v>
      </c>
      <c r="FY1260" t="n">
        <v>48</v>
      </c>
      <c r="GA1260" t="inlineStr"/>
      <c r="GD1260" t="n">
        <v>1</v>
      </c>
      <c r="GF1260" t="n">
        <v>-228955380</v>
      </c>
      <c r="GG1260" t="n">
        <v>2</v>
      </c>
      <c r="GH1260" t="n">
        <v>1</v>
      </c>
      <c r="GI1260" t="n">
        <v>2</v>
      </c>
      <c r="GJ1260" t="n">
        <v>0</v>
      </c>
      <c r="GK1260" t="n">
        <v>0</v>
      </c>
      <c r="GL1260">
        <f>ROUND(IF(AND(BH1260=3,BI1260=3,FS1260&lt;&gt;0),P1260,0),0)</f>
        <v/>
      </c>
      <c r="GM1260">
        <f>ROUND(O1260+X1260+Y1260,0)+GX1260</f>
        <v/>
      </c>
      <c r="GN1260">
        <f>IF(OR(BI1260=0,BI1260=1),GM1260-GX1260,0)</f>
        <v/>
      </c>
      <c r="GO1260">
        <f>IF(BI1260=2,GM1260-GX1260,0)</f>
        <v/>
      </c>
      <c r="GP1260">
        <f>IF(BI1260=4,GM1260-GX1260,0)</f>
        <v/>
      </c>
      <c r="GR1260" t="n">
        <v>0</v>
      </c>
      <c r="GS1260" t="n">
        <v>3</v>
      </c>
      <c r="GT1260" t="n">
        <v>0</v>
      </c>
      <c r="GU1260" t="inlineStr"/>
      <c r="GV1260">
        <f>ROUND((GT1260),2)</f>
        <v/>
      </c>
      <c r="GW1260" t="n">
        <v>1</v>
      </c>
      <c r="GX1260">
        <f>ROUND(HC1260*I1260,0)</f>
        <v/>
      </c>
      <c r="HA1260" t="n">
        <v>0</v>
      </c>
      <c r="HB1260" t="n">
        <v>0</v>
      </c>
      <c r="HC1260">
        <f>GV1260*GW1260</f>
        <v/>
      </c>
      <c r="HE1260" t="inlineStr"/>
      <c r="HF1260" t="inlineStr"/>
      <c r="HM1260" t="inlineStr"/>
      <c r="HN1260" t="inlineStr">
        <is>
          <t>Пр/812-101.0-1</t>
        </is>
      </c>
      <c r="HO1260" t="inlineStr">
        <is>
          <t>Пр/774-101.0</t>
        </is>
      </c>
      <c r="HP1260" t="inlineStr">
        <is>
          <t>Электромонтажные работы</t>
        </is>
      </c>
      <c r="HQ1260" t="inlineStr">
        <is>
          <t>Электромонтажные работы</t>
        </is>
      </c>
      <c r="HS1260" t="n">
        <v>0</v>
      </c>
      <c r="IK1260" t="n">
        <v>0</v>
      </c>
    </row>
    <row r="1261">
      <c r="A1261" t="n">
        <v>17</v>
      </c>
      <c r="B1261" t="n">
        <v>0</v>
      </c>
      <c r="C1261">
        <f>ROW(SmtRes!A629)</f>
        <v/>
      </c>
      <c r="D1261">
        <f>ROW(EtalonRes!A579)</f>
        <v/>
      </c>
      <c r="E1261" t="inlineStr">
        <is>
          <t>3</t>
        </is>
      </c>
      <c r="F1261" t="inlineStr">
        <is>
          <t>16-07-005-1</t>
        </is>
      </c>
      <c r="G126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61" t="inlineStr">
        <is>
          <t>100 м трубопровода</t>
        </is>
      </c>
      <c r="I1261">
        <f>ROUND(ROUND(90/100,4),7)</f>
        <v/>
      </c>
      <c r="J1261" t="n">
        <v>0</v>
      </c>
      <c r="K1261">
        <f>ROUND(ROUND(90/100,4),7)</f>
        <v/>
      </c>
      <c r="O1261">
        <f>ROUND(CP1261,0)</f>
        <v/>
      </c>
      <c r="P1261">
        <f>ROUND(CQ1261*I1261,0)</f>
        <v/>
      </c>
      <c r="Q1261">
        <f>(ROUND((ROUND((((ET1261*ROUND(7,7)))*I1261),0)*BB1261),0)+ROUND((ROUND(((AE1261-((EU1261*ROUND(7,7))))*I1261),0)*BS1261),0))</f>
        <v/>
      </c>
      <c r="R1261">
        <f>(ROUND((ROUND((((EU1261*ROUND(7,7)))*I1261),0)*BS1261),0)+ROUND((ROUND(((AE1261-((EU1261*ROUND(7,7))))*I1261),0)*BS1261),0))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78869116</v>
      </c>
      <c r="AB1261">
        <f>ROUND((AC1261+AD1261+AF1261),2)</f>
        <v/>
      </c>
      <c r="AC1261">
        <f>ROUND(((ES1261*ROUND(7,7))),2)</f>
        <v/>
      </c>
      <c r="AD1261">
        <f>ROUND(((((ET1261*ROUND(7,7)))-((EU1261*ROUND(7,7))))+AE1261),2)</f>
        <v/>
      </c>
      <c r="AE1261">
        <f>ROUND(((EU1261*ROUND(7,7))),2)</f>
        <v/>
      </c>
      <c r="AF1261">
        <f>ROUND(((EV1261*ROUND(7,7))),2)</f>
        <v/>
      </c>
      <c r="AG1261">
        <f>ROUND((AP1261),2)</f>
        <v/>
      </c>
      <c r="AH1261">
        <f>((EW1261*ROUND(7,7)))</f>
        <v/>
      </c>
      <c r="AI1261">
        <f>((EX1261*ROUND(7,7)))</f>
        <v/>
      </c>
      <c r="AJ1261">
        <f>(AS1261)</f>
        <v/>
      </c>
      <c r="AK1261" t="n">
        <v>107.11</v>
      </c>
      <c r="AL1261" t="n">
        <v>4.28</v>
      </c>
      <c r="AM1261" t="n">
        <v>44.51</v>
      </c>
      <c r="AN1261" t="n">
        <v>0</v>
      </c>
      <c r="AO1261" t="n">
        <v>58.32</v>
      </c>
      <c r="AP1261" t="n">
        <v>0</v>
      </c>
      <c r="AQ1261" t="n">
        <v>5.01</v>
      </c>
      <c r="AR1261" t="n">
        <v>0</v>
      </c>
      <c r="AS1261" t="n">
        <v>0</v>
      </c>
      <c r="AT1261" t="n">
        <v>121</v>
      </c>
      <c r="AU1261" t="n">
        <v>72</v>
      </c>
      <c r="AV1261" t="n">
        <v>1</v>
      </c>
      <c r="AW1261" t="n">
        <v>1</v>
      </c>
      <c r="AZ1261" t="n">
        <v>1</v>
      </c>
      <c r="BA1261" t="n">
        <v>52.25</v>
      </c>
      <c r="BB1261" t="n">
        <v>5.97</v>
      </c>
      <c r="BC1261" t="n">
        <v>11.38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 Московской обл., 16-07-005-1, приказ Минстроя России №675/пр от 28.02.2017 № 260/пр</t>
        </is>
      </c>
      <c r="BM1261" t="n">
        <v>16001</v>
      </c>
      <c r="BN1261" t="n">
        <v>0</v>
      </c>
      <c r="BO1261" t="inlineStr">
        <is>
          <t>16-07-005-1</t>
        </is>
      </c>
      <c r="BP1261" t="n">
        <v>1</v>
      </c>
      <c r="BQ1261" t="n">
        <v>2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121</v>
      </c>
      <c r="CA1261" t="n">
        <v>72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(ROUND((ROUND((((ET1261*ROUND(7,7)))*1),0)*BB1261),0)+ROUND((ROUND(((AE1261-((EU1261*ROUND(7,7))))*1),0)*BS1261),0))</f>
        <v/>
      </c>
      <c r="CS1261">
        <f>(ROUND((ROUND((((EU1261*ROUND(7,7)))*1),0)*BS1261),0)+ROUND((ROUND(((AE1261-((EU1261*ROUND(7,7))))*1),0)*BS1261),0))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>
        <is>
          <t>)*7</t>
        </is>
      </c>
      <c r="DE1261" t="inlineStr">
        <is>
          <t>)*7</t>
        </is>
      </c>
      <c r="DF1261" t="inlineStr">
        <is>
          <t>)*7</t>
        </is>
      </c>
      <c r="DG1261" t="inlineStr">
        <is>
          <t>)*7</t>
        </is>
      </c>
      <c r="DH1261" t="inlineStr"/>
      <c r="DI1261" t="inlineStr">
        <is>
          <t>)*7</t>
        </is>
      </c>
      <c r="DJ1261" t="inlineStr">
        <is>
          <t>)*7</t>
        </is>
      </c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1013</v>
      </c>
      <c r="DV1261" t="inlineStr">
        <is>
          <t>100 м трубопровода</t>
        </is>
      </c>
      <c r="DW1261" t="inlineStr">
        <is>
          <t>100 м трубопровода</t>
        </is>
      </c>
      <c r="DX1261" t="n">
        <v>1</v>
      </c>
      <c r="DZ1261" t="inlineStr"/>
      <c r="EA1261" t="inlineStr"/>
      <c r="EB1261" t="inlineStr"/>
      <c r="EC1261" t="inlineStr"/>
      <c r="EE1261" t="n">
        <v>78725882</v>
      </c>
      <c r="EF1261" t="n">
        <v>2</v>
      </c>
      <c r="EG1261" t="inlineStr">
        <is>
          <t>Общестроительные работы</t>
        </is>
      </c>
      <c r="EH1261" t="n">
        <v>16</v>
      </c>
      <c r="EI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61" t="n">
        <v>1</v>
      </c>
      <c r="EK1261" t="n">
        <v>16001</v>
      </c>
      <c r="EL1261" t="inlineStr">
        <is>
          <t>Трубопроводы внутренние</t>
        </is>
      </c>
      <c r="EM1261" t="inlineStr">
        <is>
          <t>ФЕР-16</t>
        </is>
      </c>
      <c r="EO1261" t="inlineStr"/>
      <c r="EQ1261" t="n">
        <v>0</v>
      </c>
      <c r="ER1261" t="n">
        <v>107.11</v>
      </c>
      <c r="ES1261" t="n">
        <v>4.28</v>
      </c>
      <c r="ET1261" t="n">
        <v>44.51</v>
      </c>
      <c r="EU1261" t="n">
        <v>0</v>
      </c>
      <c r="EV1261" t="n">
        <v>58.32</v>
      </c>
      <c r="EW1261" t="n">
        <v>5.01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121</v>
      </c>
      <c r="FY1261" t="n">
        <v>72</v>
      </c>
      <c r="GA1261" t="inlineStr"/>
      <c r="GD1261" t="n">
        <v>1</v>
      </c>
      <c r="GF1261" t="n">
        <v>635989612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Пр/812-016.0-1</t>
        </is>
      </c>
      <c r="HO1261" t="inlineStr">
        <is>
          <t>Пр/774-016.0</t>
        </is>
      </c>
      <c r="HP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61" t="n">
        <v>0</v>
      </c>
      <c r="IK1261" t="n">
        <v>0</v>
      </c>
    </row>
    <row r="1262"/>
    <row r="1263">
      <c r="A1263" s="402" t="n">
        <v>51</v>
      </c>
      <c r="B1263" s="402">
        <f>B1254</f>
        <v/>
      </c>
      <c r="C1263" s="402">
        <f>A1254</f>
        <v/>
      </c>
      <c r="D1263" s="402">
        <f>ROW(A1254)</f>
        <v/>
      </c>
      <c r="E1263" s="402" t="n"/>
      <c r="F1263" s="402">
        <f>IF(F1254&lt;&gt;"",F1254,"")</f>
        <v/>
      </c>
      <c r="G1263" s="402">
        <f>IF(G1254&lt;&gt;"",G1254,"")</f>
        <v/>
      </c>
      <c r="H1263" s="402" t="n">
        <v>0</v>
      </c>
      <c r="I1263" s="402" t="n"/>
      <c r="J1263" s="402" t="n"/>
      <c r="K1263" s="402" t="n"/>
      <c r="L1263" s="402" t="n"/>
      <c r="M1263" s="402" t="n"/>
      <c r="N1263" s="402" t="n"/>
      <c r="O1263" s="402" t="n">
        <v>0</v>
      </c>
      <c r="P1263" s="402" t="n">
        <v>0</v>
      </c>
      <c r="Q1263" s="402" t="n">
        <v>0</v>
      </c>
      <c r="R1263" s="402" t="n">
        <v>0</v>
      </c>
      <c r="S1263" s="402" t="n">
        <v>0</v>
      </c>
      <c r="T1263" s="402" t="n">
        <v>0</v>
      </c>
      <c r="U1263" s="402" t="n">
        <v>0</v>
      </c>
      <c r="V1263" s="402" t="n">
        <v>0</v>
      </c>
      <c r="W1263" s="402" t="n">
        <v>0</v>
      </c>
      <c r="X1263" s="402" t="n">
        <v>0</v>
      </c>
      <c r="Y1263" s="402" t="n">
        <v>0</v>
      </c>
      <c r="Z1263" s="402" t="n"/>
      <c r="AA1263" s="402" t="n"/>
      <c r="AB1263" s="402" t="n"/>
      <c r="AC1263" s="402" t="n"/>
      <c r="AD1263" s="402" t="n"/>
      <c r="AE1263" s="402" t="n"/>
      <c r="AF1263" s="402" t="n"/>
      <c r="AG1263" s="402" t="n"/>
      <c r="AH1263" s="402" t="n"/>
      <c r="AI1263" s="402" t="n"/>
      <c r="AJ1263" s="402" t="n"/>
      <c r="AK1263" s="402" t="n"/>
      <c r="AL1263" s="402" t="n"/>
      <c r="AM1263" s="402" t="n"/>
      <c r="AN1263" s="402" t="n"/>
      <c r="AO1263" s="402">
        <f>ROUND(BX1263,0)</f>
        <v/>
      </c>
      <c r="AP1263" s="402">
        <f>ROUND(BY1263,0)</f>
        <v/>
      </c>
      <c r="AQ1263" s="402">
        <f>ROUND(BZ1263,0)</f>
        <v/>
      </c>
      <c r="AR1263" s="402">
        <f>ROUND(CA1263,0)</f>
        <v/>
      </c>
      <c r="AS1263" s="402">
        <f>ROUND(CB1263,0)</f>
        <v/>
      </c>
      <c r="AT1263" s="402">
        <f>ROUND(CC1263,0)</f>
        <v/>
      </c>
      <c r="AU1263" s="402">
        <f>ROUND(CD1263,0)</f>
        <v/>
      </c>
      <c r="AV1263" s="402">
        <f>ROUND(CE1263,0)</f>
        <v/>
      </c>
      <c r="AW1263" s="402">
        <f>ROUND(CF1263,0)</f>
        <v/>
      </c>
      <c r="AX1263" s="402">
        <f>ROUND(CG1263,0)</f>
        <v/>
      </c>
      <c r="AY1263" s="402">
        <f>ROUND(CH1263,0)</f>
        <v/>
      </c>
      <c r="AZ1263" s="402">
        <f>ROUND(CI1263,0)</f>
        <v/>
      </c>
      <c r="BA1263" s="402">
        <f>ROUND(CJ1263,0)</f>
        <v/>
      </c>
      <c r="BB1263" s="402">
        <f>ROUND(CK1263,0)</f>
        <v/>
      </c>
      <c r="BC1263" s="402">
        <f>ROUND(CL1263,0)</f>
        <v/>
      </c>
      <c r="BD1263" s="402">
        <f>ROUND(CM1263,0)</f>
        <v/>
      </c>
      <c r="BE1263" s="402" t="n"/>
      <c r="BF1263" s="402" t="n"/>
      <c r="BG1263" s="402" t="n"/>
      <c r="BH1263" s="402" t="n"/>
      <c r="BI1263" s="402" t="n"/>
      <c r="BJ1263" s="402" t="n"/>
      <c r="BK1263" s="402" t="n"/>
      <c r="BL1263" s="402" t="n"/>
      <c r="BM1263" s="402" t="n"/>
      <c r="BN1263" s="402" t="n"/>
      <c r="BO1263" s="402" t="n"/>
      <c r="BP1263" s="402" t="n"/>
      <c r="BQ1263" s="402" t="n"/>
      <c r="BR1263" s="402" t="n"/>
      <c r="BS1263" s="402" t="n"/>
      <c r="BT1263" s="402" t="n"/>
      <c r="BU1263" s="402" t="n"/>
      <c r="BV1263" s="402" t="n"/>
      <c r="BW1263" s="402" t="n"/>
      <c r="BX1263" s="402" t="n"/>
      <c r="BY1263" s="402" t="n"/>
      <c r="BZ1263" s="402" t="n"/>
      <c r="CA1263" s="402" t="n"/>
      <c r="CB1263" s="402" t="n"/>
      <c r="CC1263" s="402" t="n"/>
      <c r="CD1263" s="402" t="n"/>
      <c r="CE1263" s="402" t="n"/>
      <c r="CF1263" s="402" t="n"/>
      <c r="CG1263" s="402" t="n"/>
      <c r="CH1263" s="402" t="n"/>
      <c r="CI1263" s="402" t="n"/>
      <c r="CJ1263" s="402" t="n"/>
      <c r="CK1263" s="402" t="n"/>
      <c r="CL1263" s="402" t="n"/>
      <c r="CM1263" s="402" t="n"/>
      <c r="CN1263" s="402" t="n"/>
      <c r="CO1263" s="402" t="n"/>
      <c r="CP1263" s="402" t="n"/>
      <c r="CQ1263" s="402" t="n"/>
      <c r="CR1263" s="402" t="n"/>
      <c r="CS1263" s="402" t="n"/>
      <c r="CT1263" s="402" t="n"/>
      <c r="CU1263" s="402" t="n"/>
      <c r="CV1263" s="402" t="n"/>
      <c r="CW1263" s="402" t="n"/>
      <c r="CX1263" s="402" t="n"/>
      <c r="CY1263" s="402" t="n"/>
      <c r="CZ1263" s="402" t="n"/>
      <c r="DA1263" s="402" t="n"/>
      <c r="DB1263" s="402" t="n"/>
      <c r="DC1263" s="402" t="n"/>
      <c r="DD1263" s="402" t="n"/>
      <c r="DE1263" s="402" t="n"/>
      <c r="DF1263" s="402" t="n"/>
      <c r="DG1263" s="403" t="n"/>
      <c r="DH1263" s="403" t="n"/>
      <c r="DI1263" s="403" t="n"/>
      <c r="DJ1263" s="403" t="n"/>
      <c r="DK1263" s="403" t="n"/>
      <c r="DL1263" s="403" t="n"/>
      <c r="DM1263" s="403" t="n"/>
      <c r="DN1263" s="403" t="n"/>
      <c r="DO1263" s="403" t="n"/>
      <c r="DP1263" s="403" t="n"/>
      <c r="DQ1263" s="403" t="n"/>
      <c r="DR1263" s="403" t="n"/>
      <c r="DS1263" s="403" t="n"/>
      <c r="DT1263" s="403" t="n"/>
      <c r="DU1263" s="403" t="n"/>
      <c r="DV1263" s="403" t="n"/>
      <c r="DW1263" s="403" t="n"/>
      <c r="DX1263" s="403" t="n"/>
      <c r="DY1263" s="403" t="n"/>
      <c r="DZ1263" s="403" t="n"/>
      <c r="EA1263" s="403" t="n"/>
      <c r="EB1263" s="403" t="n"/>
      <c r="EC1263" s="403" t="n"/>
      <c r="ED1263" s="403" t="n"/>
      <c r="EE1263" s="403" t="n"/>
      <c r="EF1263" s="403" t="n"/>
      <c r="EG1263" s="403" t="n"/>
      <c r="EH1263" s="403" t="n"/>
      <c r="EI1263" s="403" t="n"/>
      <c r="EJ1263" s="403" t="n"/>
      <c r="EK1263" s="403" t="n"/>
      <c r="EL1263" s="403" t="n"/>
      <c r="EM1263" s="403" t="n"/>
      <c r="EN1263" s="403" t="n"/>
      <c r="EO1263" s="403" t="n"/>
      <c r="EP1263" s="403" t="n"/>
      <c r="EQ1263" s="403" t="n"/>
      <c r="ER1263" s="403" t="n"/>
      <c r="ES1263" s="403" t="n"/>
      <c r="ET1263" s="403" t="n"/>
      <c r="EU1263" s="403" t="n"/>
      <c r="EV1263" s="403" t="n"/>
      <c r="EW1263" s="403" t="n"/>
      <c r="EX1263" s="403" t="n"/>
      <c r="EY1263" s="403" t="n"/>
      <c r="EZ1263" s="403" t="n"/>
      <c r="FA1263" s="403" t="n"/>
      <c r="FB1263" s="403" t="n"/>
      <c r="FC1263" s="403" t="n"/>
      <c r="FD1263" s="403" t="n"/>
      <c r="FE1263" s="403" t="n"/>
      <c r="FF1263" s="403" t="n"/>
      <c r="FG1263" s="403" t="n"/>
      <c r="FH1263" s="403" t="n"/>
      <c r="FI1263" s="403" t="n"/>
      <c r="FJ1263" s="403" t="n"/>
      <c r="FK1263" s="403" t="n"/>
      <c r="FL1263" s="403" t="n"/>
      <c r="FM1263" s="403" t="n"/>
      <c r="FN1263" s="403" t="n"/>
      <c r="FO1263" s="403" t="n"/>
      <c r="FP1263" s="403" t="n"/>
      <c r="FQ1263" s="403" t="n"/>
      <c r="FR1263" s="403" t="n"/>
      <c r="FS1263" s="403" t="n"/>
      <c r="FT1263" s="403" t="n"/>
      <c r="FU1263" s="403" t="n"/>
      <c r="FV1263" s="403" t="n"/>
      <c r="FW1263" s="403" t="n"/>
      <c r="FX1263" s="403" t="n"/>
      <c r="FY1263" s="403" t="n"/>
      <c r="FZ1263" s="403" t="n"/>
      <c r="GA1263" s="403" t="n"/>
      <c r="GB1263" s="403" t="n"/>
      <c r="GC1263" s="403" t="n"/>
      <c r="GD1263" s="403" t="n"/>
      <c r="GE1263" s="403" t="n"/>
      <c r="GF1263" s="403" t="n"/>
      <c r="GG1263" s="403" t="n"/>
      <c r="GH1263" s="403" t="n"/>
      <c r="GI1263" s="403" t="n"/>
      <c r="GJ1263" s="403" t="n"/>
      <c r="GK1263" s="403" t="n"/>
      <c r="GL1263" s="403" t="n"/>
      <c r="GM1263" s="403" t="n"/>
      <c r="GN1263" s="403" t="n"/>
      <c r="GO1263" s="403" t="n"/>
      <c r="GP1263" s="403" t="n"/>
      <c r="GQ1263" s="403" t="n"/>
      <c r="GR1263" s="403" t="n"/>
      <c r="GS1263" s="403" t="n"/>
      <c r="GT1263" s="403" t="n"/>
      <c r="GU1263" s="403" t="n"/>
      <c r="GV1263" s="403" t="n"/>
      <c r="GW1263" s="403" t="n"/>
      <c r="GX1263" s="403" t="n">
        <v>0</v>
      </c>
    </row>
    <row r="1264"/>
    <row r="1265">
      <c r="A1265" s="404" t="n">
        <v>50</v>
      </c>
      <c r="B1265" s="404" t="n">
        <v>0</v>
      </c>
      <c r="C1265" s="404" t="n">
        <v>0</v>
      </c>
      <c r="D1265" s="404" t="n">
        <v>1</v>
      </c>
      <c r="E1265" s="404" t="n">
        <v>201</v>
      </c>
      <c r="F1265" s="404">
        <f>ROUND(Source!O1263,O1265)</f>
        <v/>
      </c>
      <c r="G1265" s="404" t="inlineStr">
        <is>
          <t>ПЗ</t>
        </is>
      </c>
      <c r="H1265" s="404" t="inlineStr">
        <is>
          <t>Прямые затраты</t>
        </is>
      </c>
      <c r="I1265" s="404" t="n"/>
      <c r="J1265" s="404" t="n"/>
      <c r="K1265" s="404" t="n">
        <v>201</v>
      </c>
      <c r="L1265" s="404" t="n">
        <v>1</v>
      </c>
      <c r="M1265" s="404" t="n">
        <v>3</v>
      </c>
      <c r="N1265" s="404" t="inlineStr"/>
      <c r="O1265" s="404" t="n">
        <v>0</v>
      </c>
      <c r="P1265" s="404" t="n"/>
      <c r="Q1265" s="404" t="n"/>
      <c r="R1265" s="404" t="n"/>
      <c r="S1265" s="404" t="n"/>
      <c r="T1265" s="404" t="n"/>
      <c r="U1265" s="404" t="n"/>
      <c r="V1265" s="404" t="n"/>
      <c r="W1265" s="404" t="n">
        <v>0</v>
      </c>
      <c r="X1265" s="404" t="n">
        <v>1</v>
      </c>
      <c r="Y1265" s="404" t="n">
        <v>0</v>
      </c>
      <c r="Z1265" s="404" t="n"/>
      <c r="AA1265" s="404" t="n"/>
      <c r="AB1265" s="404" t="n"/>
    </row>
    <row r="1266">
      <c r="A1266" s="404" t="n">
        <v>50</v>
      </c>
      <c r="B1266" s="404" t="n">
        <v>0</v>
      </c>
      <c r="C1266" s="404" t="n">
        <v>0</v>
      </c>
      <c r="D1266" s="404" t="n">
        <v>1</v>
      </c>
      <c r="E1266" s="404" t="n">
        <v>202</v>
      </c>
      <c r="F1266" s="404">
        <f>ROUND(Source!P1263,O1266)</f>
        <v/>
      </c>
      <c r="G1266" s="404" t="inlineStr">
        <is>
          <t>СтМатОб</t>
        </is>
      </c>
      <c r="H1266" s="404" t="inlineStr">
        <is>
          <t>Стоимость материальных ресурсов (всего)</t>
        </is>
      </c>
      <c r="I1266" s="404" t="n"/>
      <c r="J1266" s="404" t="n"/>
      <c r="K1266" s="404" t="n">
        <v>202</v>
      </c>
      <c r="L1266" s="404" t="n">
        <v>2</v>
      </c>
      <c r="M1266" s="404" t="n">
        <v>3</v>
      </c>
      <c r="N1266" s="404" t="inlineStr"/>
      <c r="O1266" s="404" t="n">
        <v>0</v>
      </c>
      <c r="P1266" s="404" t="n"/>
      <c r="Q1266" s="404" t="n"/>
      <c r="R1266" s="404" t="n"/>
      <c r="S1266" s="404" t="n"/>
      <c r="T1266" s="404" t="n"/>
      <c r="U1266" s="404" t="n"/>
      <c r="V1266" s="404" t="n"/>
      <c r="W1266" s="404" t="n">
        <v>0</v>
      </c>
      <c r="X1266" s="404" t="n">
        <v>1</v>
      </c>
      <c r="Y1266" s="404" t="n">
        <v>0</v>
      </c>
      <c r="Z1266" s="404" t="n"/>
      <c r="AA1266" s="404" t="n"/>
      <c r="AB1266" s="404" t="n"/>
    </row>
    <row r="1267">
      <c r="A1267" s="404" t="n">
        <v>50</v>
      </c>
      <c r="B1267" s="404" t="n">
        <v>0</v>
      </c>
      <c r="C1267" s="404" t="n">
        <v>0</v>
      </c>
      <c r="D1267" s="404" t="n">
        <v>1</v>
      </c>
      <c r="E1267" s="404" t="n">
        <v>222</v>
      </c>
      <c r="F1267" s="404">
        <f>ROUND(Source!AO1263,O1267)</f>
        <v/>
      </c>
      <c r="G1267" s="404" t="inlineStr">
        <is>
          <t>СтМатОбЗак</t>
        </is>
      </c>
      <c r="H1267" s="404" t="inlineStr">
        <is>
          <t>Стоимость материалов и оборудования заказчика</t>
        </is>
      </c>
      <c r="I1267" s="404" t="n"/>
      <c r="J1267" s="404" t="n"/>
      <c r="K1267" s="404" t="n">
        <v>222</v>
      </c>
      <c r="L1267" s="404" t="n">
        <v>3</v>
      </c>
      <c r="M1267" s="404" t="n">
        <v>3</v>
      </c>
      <c r="N1267" s="404" t="inlineStr"/>
      <c r="O1267" s="404" t="n">
        <v>0</v>
      </c>
      <c r="P1267" s="404" t="n"/>
      <c r="Q1267" s="404" t="n"/>
      <c r="R1267" s="404" t="n"/>
      <c r="S1267" s="404" t="n"/>
      <c r="T1267" s="404" t="n"/>
      <c r="U1267" s="404" t="n"/>
      <c r="V1267" s="404" t="n"/>
      <c r="W1267" s="404" t="n">
        <v>0</v>
      </c>
      <c r="X1267" s="404" t="n">
        <v>1</v>
      </c>
      <c r="Y1267" s="404" t="n">
        <v>0</v>
      </c>
      <c r="Z1267" s="404" t="n"/>
      <c r="AA1267" s="404" t="n"/>
      <c r="AB1267" s="404" t="n"/>
    </row>
    <row r="1268">
      <c r="A1268" s="404" t="n">
        <v>50</v>
      </c>
      <c r="B1268" s="404" t="n">
        <v>0</v>
      </c>
      <c r="C1268" s="404" t="n">
        <v>0</v>
      </c>
      <c r="D1268" s="404" t="n">
        <v>1</v>
      </c>
      <c r="E1268" s="404" t="n">
        <v>225</v>
      </c>
      <c r="F1268" s="404">
        <f>ROUND(Source!AV1263,O1268)</f>
        <v/>
      </c>
      <c r="G1268" s="404" t="inlineStr">
        <is>
          <t>СтМатОбПод</t>
        </is>
      </c>
      <c r="H1268" s="404" t="inlineStr">
        <is>
          <t>Стоимость материалов и оборудования подрядчика</t>
        </is>
      </c>
      <c r="I1268" s="404" t="n"/>
      <c r="J1268" s="404" t="n"/>
      <c r="K1268" s="404" t="n">
        <v>225</v>
      </c>
      <c r="L1268" s="404" t="n">
        <v>4</v>
      </c>
      <c r="M1268" s="404" t="n">
        <v>3</v>
      </c>
      <c r="N1268" s="404" t="inlineStr"/>
      <c r="O1268" s="404" t="n">
        <v>0</v>
      </c>
      <c r="P1268" s="404" t="n"/>
      <c r="Q1268" s="404" t="n"/>
      <c r="R1268" s="404" t="n"/>
      <c r="S1268" s="404" t="n"/>
      <c r="T1268" s="404" t="n"/>
      <c r="U1268" s="404" t="n"/>
      <c r="V1268" s="404" t="n"/>
      <c r="W1268" s="404" t="n">
        <v>0</v>
      </c>
      <c r="X1268" s="404" t="n">
        <v>1</v>
      </c>
      <c r="Y1268" s="404" t="n">
        <v>0</v>
      </c>
      <c r="Z1268" s="404" t="n"/>
      <c r="AA1268" s="404" t="n"/>
      <c r="AB1268" s="404" t="n"/>
    </row>
    <row r="1269">
      <c r="A1269" s="404" t="n">
        <v>50</v>
      </c>
      <c r="B1269" s="404" t="n">
        <v>0</v>
      </c>
      <c r="C1269" s="404" t="n">
        <v>0</v>
      </c>
      <c r="D1269" s="404" t="n">
        <v>1</v>
      </c>
      <c r="E1269" s="404" t="n">
        <v>226</v>
      </c>
      <c r="F1269" s="404">
        <f>ROUND(Source!AW1263,O1269)</f>
        <v/>
      </c>
      <c r="G1269" s="404" t="inlineStr">
        <is>
          <t>СтМат</t>
        </is>
      </c>
      <c r="H1269" s="404" t="inlineStr">
        <is>
          <t>Стоимость материалов (всего)</t>
        </is>
      </c>
      <c r="I1269" s="404" t="n"/>
      <c r="J1269" s="404" t="n"/>
      <c r="K1269" s="404" t="n">
        <v>226</v>
      </c>
      <c r="L1269" s="404" t="n">
        <v>5</v>
      </c>
      <c r="M1269" s="404" t="n">
        <v>3</v>
      </c>
      <c r="N1269" s="404" t="inlineStr"/>
      <c r="O1269" s="404" t="n">
        <v>0</v>
      </c>
      <c r="P1269" s="404" t="n"/>
      <c r="Q1269" s="404" t="n"/>
      <c r="R1269" s="404" t="n"/>
      <c r="S1269" s="404" t="n"/>
      <c r="T1269" s="404" t="n"/>
      <c r="U1269" s="404" t="n"/>
      <c r="V1269" s="404" t="n"/>
      <c r="W1269" s="404" t="n">
        <v>0</v>
      </c>
      <c r="X1269" s="404" t="n">
        <v>1</v>
      </c>
      <c r="Y1269" s="404" t="n">
        <v>0</v>
      </c>
      <c r="Z1269" s="404" t="n"/>
      <c r="AA1269" s="404" t="n"/>
      <c r="AB1269" s="404" t="n"/>
    </row>
    <row r="1270">
      <c r="A1270" s="404" t="n">
        <v>50</v>
      </c>
      <c r="B1270" s="404" t="n">
        <v>0</v>
      </c>
      <c r="C1270" s="404" t="n">
        <v>0</v>
      </c>
      <c r="D1270" s="404" t="n">
        <v>1</v>
      </c>
      <c r="E1270" s="404" t="n">
        <v>227</v>
      </c>
      <c r="F1270" s="404">
        <f>ROUND(Source!AX1263,O1270)</f>
        <v/>
      </c>
      <c r="G1270" s="404" t="inlineStr">
        <is>
          <t>СтМатЗак</t>
        </is>
      </c>
      <c r="H1270" s="404" t="inlineStr">
        <is>
          <t>Стоимость материалов заказчика</t>
        </is>
      </c>
      <c r="I1270" s="404" t="n"/>
      <c r="J1270" s="404" t="n"/>
      <c r="K1270" s="404" t="n">
        <v>227</v>
      </c>
      <c r="L1270" s="404" t="n">
        <v>6</v>
      </c>
      <c r="M1270" s="404" t="n">
        <v>3</v>
      </c>
      <c r="N1270" s="404" t="inlineStr"/>
      <c r="O1270" s="404" t="n">
        <v>0</v>
      </c>
      <c r="P1270" s="404" t="n"/>
      <c r="Q1270" s="404" t="n"/>
      <c r="R1270" s="404" t="n"/>
      <c r="S1270" s="404" t="n"/>
      <c r="T1270" s="404" t="n"/>
      <c r="U1270" s="404" t="n"/>
      <c r="V1270" s="404" t="n"/>
      <c r="W1270" s="404" t="n">
        <v>0</v>
      </c>
      <c r="X1270" s="404" t="n">
        <v>1</v>
      </c>
      <c r="Y1270" s="404" t="n">
        <v>0</v>
      </c>
      <c r="Z1270" s="404" t="n"/>
      <c r="AA1270" s="404" t="n"/>
      <c r="AB1270" s="404" t="n"/>
    </row>
    <row r="1271">
      <c r="A1271" s="404" t="n">
        <v>50</v>
      </c>
      <c r="B1271" s="404" t="n">
        <v>0</v>
      </c>
      <c r="C1271" s="404" t="n">
        <v>0</v>
      </c>
      <c r="D1271" s="404" t="n">
        <v>1</v>
      </c>
      <c r="E1271" s="404" t="n">
        <v>228</v>
      </c>
      <c r="F1271" s="404">
        <f>ROUND(Source!AY1263,O1271)</f>
        <v/>
      </c>
      <c r="G1271" s="404" t="inlineStr">
        <is>
          <t>СтМатПод</t>
        </is>
      </c>
      <c r="H1271" s="404" t="inlineStr">
        <is>
          <t>Стоимость материалов подрядчика</t>
        </is>
      </c>
      <c r="I1271" s="404" t="n"/>
      <c r="J1271" s="404" t="n"/>
      <c r="K1271" s="404" t="n">
        <v>228</v>
      </c>
      <c r="L1271" s="404" t="n">
        <v>7</v>
      </c>
      <c r="M1271" s="404" t="n">
        <v>3</v>
      </c>
      <c r="N1271" s="404" t="inlineStr"/>
      <c r="O1271" s="404" t="n">
        <v>0</v>
      </c>
      <c r="P1271" s="404" t="n"/>
      <c r="Q1271" s="404" t="n"/>
      <c r="R1271" s="404" t="n"/>
      <c r="S1271" s="404" t="n"/>
      <c r="T1271" s="404" t="n"/>
      <c r="U1271" s="404" t="n"/>
      <c r="V1271" s="404" t="n"/>
      <c r="W1271" s="404" t="n">
        <v>0</v>
      </c>
      <c r="X1271" s="404" t="n">
        <v>1</v>
      </c>
      <c r="Y1271" s="404" t="n">
        <v>0</v>
      </c>
      <c r="Z1271" s="404" t="n"/>
      <c r="AA1271" s="404" t="n"/>
      <c r="AB1271" s="404" t="n"/>
    </row>
    <row r="1272">
      <c r="A1272" s="404" t="n">
        <v>50</v>
      </c>
      <c r="B1272" s="404" t="n">
        <v>0</v>
      </c>
      <c r="C1272" s="404" t="n">
        <v>0</v>
      </c>
      <c r="D1272" s="404" t="n">
        <v>1</v>
      </c>
      <c r="E1272" s="404" t="n">
        <v>216</v>
      </c>
      <c r="F1272" s="404">
        <f>ROUND(Source!AP1263,O1272)</f>
        <v/>
      </c>
      <c r="G1272" s="404" t="inlineStr">
        <is>
          <t>Оборуд</t>
        </is>
      </c>
      <c r="H1272" s="404" t="inlineStr">
        <is>
          <t>Стоимость оборудования (всего)</t>
        </is>
      </c>
      <c r="I1272" s="404" t="n"/>
      <c r="J1272" s="404" t="n"/>
      <c r="K1272" s="404" t="n">
        <v>216</v>
      </c>
      <c r="L1272" s="404" t="n">
        <v>8</v>
      </c>
      <c r="M1272" s="404" t="n">
        <v>3</v>
      </c>
      <c r="N1272" s="404" t="inlineStr"/>
      <c r="O1272" s="404" t="n">
        <v>0</v>
      </c>
      <c r="P1272" s="404" t="n"/>
      <c r="Q1272" s="404" t="n"/>
      <c r="R1272" s="404" t="n"/>
      <c r="S1272" s="404" t="n"/>
      <c r="T1272" s="404" t="n"/>
      <c r="U1272" s="404" t="n"/>
      <c r="V1272" s="404" t="n"/>
      <c r="W1272" s="404" t="n">
        <v>0</v>
      </c>
      <c r="X1272" s="404" t="n">
        <v>1</v>
      </c>
      <c r="Y1272" s="404" t="n">
        <v>0</v>
      </c>
      <c r="Z1272" s="404" t="n"/>
      <c r="AA1272" s="404" t="n"/>
      <c r="AB1272" s="404" t="n"/>
    </row>
    <row r="1273">
      <c r="A1273" s="404" t="n">
        <v>50</v>
      </c>
      <c r="B1273" s="404" t="n">
        <v>0</v>
      </c>
      <c r="C1273" s="404" t="n">
        <v>0</v>
      </c>
      <c r="D1273" s="404" t="n">
        <v>1</v>
      </c>
      <c r="E1273" s="404" t="n">
        <v>223</v>
      </c>
      <c r="F1273" s="404">
        <f>ROUND(Source!AQ1263,O1273)</f>
        <v/>
      </c>
      <c r="G1273" s="404" t="inlineStr">
        <is>
          <t>ОборудЗак</t>
        </is>
      </c>
      <c r="H1273" s="404" t="inlineStr">
        <is>
          <t>Стоимость оборудования заказчика</t>
        </is>
      </c>
      <c r="I1273" s="404" t="n"/>
      <c r="J1273" s="404" t="n"/>
      <c r="K1273" s="404" t="n">
        <v>223</v>
      </c>
      <c r="L1273" s="404" t="n">
        <v>9</v>
      </c>
      <c r="M1273" s="404" t="n">
        <v>3</v>
      </c>
      <c r="N1273" s="404" t="inlineStr"/>
      <c r="O1273" s="404" t="n">
        <v>0</v>
      </c>
      <c r="P1273" s="404" t="n"/>
      <c r="Q1273" s="404" t="n"/>
      <c r="R1273" s="404" t="n"/>
      <c r="S1273" s="404" t="n"/>
      <c r="T1273" s="404" t="n"/>
      <c r="U1273" s="404" t="n"/>
      <c r="V1273" s="404" t="n"/>
      <c r="W1273" s="404" t="n">
        <v>0</v>
      </c>
      <c r="X1273" s="404" t="n">
        <v>1</v>
      </c>
      <c r="Y1273" s="404" t="n">
        <v>0</v>
      </c>
      <c r="Z1273" s="404" t="n"/>
      <c r="AA1273" s="404" t="n"/>
      <c r="AB1273" s="404" t="n"/>
    </row>
    <row r="1274">
      <c r="A1274" s="404" t="n">
        <v>50</v>
      </c>
      <c r="B1274" s="404" t="n">
        <v>0</v>
      </c>
      <c r="C1274" s="404" t="n">
        <v>0</v>
      </c>
      <c r="D1274" s="404" t="n">
        <v>1</v>
      </c>
      <c r="E1274" s="404" t="n">
        <v>229</v>
      </c>
      <c r="F1274" s="404">
        <f>ROUND(Source!AZ1263,O1274)</f>
        <v/>
      </c>
      <c r="G1274" s="404" t="inlineStr">
        <is>
          <t>ОборудПод</t>
        </is>
      </c>
      <c r="H1274" s="404" t="inlineStr">
        <is>
          <t>Стоимость оборудования подрядчика</t>
        </is>
      </c>
      <c r="I1274" s="404" t="n"/>
      <c r="J1274" s="404" t="n"/>
      <c r="K1274" s="404" t="n">
        <v>229</v>
      </c>
      <c r="L1274" s="404" t="n">
        <v>10</v>
      </c>
      <c r="M1274" s="404" t="n">
        <v>3</v>
      </c>
      <c r="N1274" s="404" t="inlineStr"/>
      <c r="O1274" s="404" t="n">
        <v>0</v>
      </c>
      <c r="P1274" s="404" t="n"/>
      <c r="Q1274" s="404" t="n"/>
      <c r="R1274" s="404" t="n"/>
      <c r="S1274" s="404" t="n"/>
      <c r="T1274" s="404" t="n"/>
      <c r="U1274" s="404" t="n"/>
      <c r="V1274" s="404" t="n"/>
      <c r="W1274" s="404" t="n">
        <v>0</v>
      </c>
      <c r="X1274" s="404" t="n">
        <v>1</v>
      </c>
      <c r="Y1274" s="404" t="n">
        <v>0</v>
      </c>
      <c r="Z1274" s="404" t="n"/>
      <c r="AA1274" s="404" t="n"/>
      <c r="AB1274" s="404" t="n"/>
    </row>
    <row r="1275">
      <c r="A1275" s="404" t="n">
        <v>50</v>
      </c>
      <c r="B1275" s="404" t="n">
        <v>0</v>
      </c>
      <c r="C1275" s="404" t="n">
        <v>0</v>
      </c>
      <c r="D1275" s="404" t="n">
        <v>1</v>
      </c>
      <c r="E1275" s="404" t="n">
        <v>203</v>
      </c>
      <c r="F1275" s="404">
        <f>ROUND(Source!Q1263,O1275)</f>
        <v/>
      </c>
      <c r="G1275" s="404" t="inlineStr">
        <is>
          <t>ЭММ</t>
        </is>
      </c>
      <c r="H1275" s="404" t="inlineStr">
        <is>
          <t>Эксплуатация машин</t>
        </is>
      </c>
      <c r="I1275" s="404" t="n"/>
      <c r="J1275" s="404" t="n"/>
      <c r="K1275" s="404" t="n">
        <v>203</v>
      </c>
      <c r="L1275" s="404" t="n">
        <v>11</v>
      </c>
      <c r="M1275" s="404" t="n">
        <v>3</v>
      </c>
      <c r="N1275" s="404" t="inlineStr"/>
      <c r="O1275" s="404" t="n">
        <v>0</v>
      </c>
      <c r="P1275" s="404" t="n"/>
      <c r="Q1275" s="404" t="n"/>
      <c r="R1275" s="404" t="n"/>
      <c r="S1275" s="404" t="n"/>
      <c r="T1275" s="404" t="n"/>
      <c r="U1275" s="404" t="n"/>
      <c r="V1275" s="404" t="n"/>
      <c r="W1275" s="404" t="n">
        <v>0</v>
      </c>
      <c r="X1275" s="404" t="n">
        <v>1</v>
      </c>
      <c r="Y1275" s="404" t="n">
        <v>0</v>
      </c>
      <c r="Z1275" s="404" t="n"/>
      <c r="AA1275" s="404" t="n"/>
      <c r="AB1275" s="404" t="n"/>
    </row>
    <row r="1276">
      <c r="A1276" s="404" t="n">
        <v>50</v>
      </c>
      <c r="B1276" s="404" t="n">
        <v>0</v>
      </c>
      <c r="C1276" s="404" t="n">
        <v>0</v>
      </c>
      <c r="D1276" s="404" t="n">
        <v>1</v>
      </c>
      <c r="E1276" s="404" t="n">
        <v>231</v>
      </c>
      <c r="F1276" s="404">
        <f>ROUND(Source!BB1263,O1276)</f>
        <v/>
      </c>
      <c r="G1276" s="404" t="inlineStr">
        <is>
          <t>ЭММсНРиСП</t>
        </is>
      </c>
      <c r="H1276" s="404" t="inlineStr">
        <is>
          <t>Эксплуатация машин по ТСН-2001.16</t>
        </is>
      </c>
      <c r="I1276" s="404" t="n"/>
      <c r="J1276" s="404" t="n"/>
      <c r="K1276" s="404" t="n">
        <v>231</v>
      </c>
      <c r="L1276" s="404" t="n">
        <v>12</v>
      </c>
      <c r="M1276" s="404" t="n">
        <v>3</v>
      </c>
      <c r="N1276" s="404" t="inlineStr"/>
      <c r="O1276" s="404" t="n">
        <v>0</v>
      </c>
      <c r="P1276" s="404" t="n"/>
      <c r="Q1276" s="404" t="n"/>
      <c r="R1276" s="404" t="n"/>
      <c r="S1276" s="404" t="n"/>
      <c r="T1276" s="404" t="n"/>
      <c r="U1276" s="404" t="n"/>
      <c r="V1276" s="404" t="n"/>
      <c r="W1276" s="404" t="n">
        <v>0</v>
      </c>
      <c r="X1276" s="404" t="n">
        <v>1</v>
      </c>
      <c r="Y1276" s="404" t="n">
        <v>0</v>
      </c>
      <c r="Z1276" s="404" t="n"/>
      <c r="AA1276" s="404" t="n"/>
      <c r="AB1276" s="404" t="n"/>
    </row>
    <row r="1277">
      <c r="A1277" s="404" t="n">
        <v>50</v>
      </c>
      <c r="B1277" s="404" t="n">
        <v>0</v>
      </c>
      <c r="C1277" s="404" t="n">
        <v>0</v>
      </c>
      <c r="D1277" s="404" t="n">
        <v>1</v>
      </c>
      <c r="E1277" s="404" t="n">
        <v>204</v>
      </c>
      <c r="F1277" s="404">
        <f>ROUND(Source!R1263,O1277)</f>
        <v/>
      </c>
      <c r="G1277" s="404" t="inlineStr">
        <is>
          <t>ЗПМ</t>
        </is>
      </c>
      <c r="H1277" s="404" t="inlineStr">
        <is>
          <t>ЗП машинистов</t>
        </is>
      </c>
      <c r="I1277" s="404" t="n"/>
      <c r="J1277" s="404" t="n"/>
      <c r="K1277" s="404" t="n">
        <v>204</v>
      </c>
      <c r="L1277" s="404" t="n">
        <v>13</v>
      </c>
      <c r="M1277" s="404" t="n">
        <v>3</v>
      </c>
      <c r="N1277" s="404" t="inlineStr"/>
      <c r="O1277" s="404" t="n">
        <v>0</v>
      </c>
      <c r="P1277" s="404" t="n"/>
      <c r="Q1277" s="404" t="n"/>
      <c r="R1277" s="404" t="n"/>
      <c r="S1277" s="404" t="n"/>
      <c r="T1277" s="404" t="n"/>
      <c r="U1277" s="404" t="n"/>
      <c r="V1277" s="404" t="n"/>
      <c r="W1277" s="404" t="n">
        <v>0</v>
      </c>
      <c r="X1277" s="404" t="n">
        <v>1</v>
      </c>
      <c r="Y1277" s="404" t="n">
        <v>0</v>
      </c>
      <c r="Z1277" s="404" t="n"/>
      <c r="AA1277" s="404" t="n"/>
      <c r="AB1277" s="404" t="n"/>
    </row>
    <row r="1278">
      <c r="A1278" s="404" t="n">
        <v>50</v>
      </c>
      <c r="B1278" s="404" t="n">
        <v>0</v>
      </c>
      <c r="C1278" s="404" t="n">
        <v>0</v>
      </c>
      <c r="D1278" s="404" t="n">
        <v>1</v>
      </c>
      <c r="E1278" s="404" t="n">
        <v>205</v>
      </c>
      <c r="F1278" s="404">
        <f>ROUND(Source!S1263,O1278)</f>
        <v/>
      </c>
      <c r="G1278" s="404" t="inlineStr">
        <is>
          <t>ОЗП</t>
        </is>
      </c>
      <c r="H1278" s="404" t="inlineStr">
        <is>
          <t>Основная ЗП рабочих</t>
        </is>
      </c>
      <c r="I1278" s="404" t="n"/>
      <c r="J1278" s="404" t="n"/>
      <c r="K1278" s="404" t="n">
        <v>205</v>
      </c>
      <c r="L1278" s="404" t="n">
        <v>14</v>
      </c>
      <c r="M1278" s="404" t="n">
        <v>3</v>
      </c>
      <c r="N1278" s="404" t="inlineStr"/>
      <c r="O1278" s="404" t="n">
        <v>0</v>
      </c>
      <c r="P1278" s="404" t="n"/>
      <c r="Q1278" s="404" t="n"/>
      <c r="R1278" s="404" t="n"/>
      <c r="S1278" s="404" t="n"/>
      <c r="T1278" s="404" t="n"/>
      <c r="U1278" s="404" t="n"/>
      <c r="V1278" s="404" t="n"/>
      <c r="W1278" s="404" t="n">
        <v>0</v>
      </c>
      <c r="X1278" s="404" t="n">
        <v>1</v>
      </c>
      <c r="Y1278" s="404" t="n">
        <v>0</v>
      </c>
      <c r="Z1278" s="404" t="n"/>
      <c r="AA1278" s="404" t="n"/>
      <c r="AB1278" s="404" t="n"/>
    </row>
    <row r="1279">
      <c r="A1279" s="404" t="n">
        <v>50</v>
      </c>
      <c r="B1279" s="404" t="n">
        <v>0</v>
      </c>
      <c r="C1279" s="404" t="n">
        <v>0</v>
      </c>
      <c r="D1279" s="404" t="n">
        <v>1</v>
      </c>
      <c r="E1279" s="404" t="n">
        <v>232</v>
      </c>
      <c r="F1279" s="404">
        <f>ROUND(Source!BC1263,O1279)</f>
        <v/>
      </c>
      <c r="G1279" s="404" t="inlineStr">
        <is>
          <t>ОЗПсНРиСП</t>
        </is>
      </c>
      <c r="H1279" s="404" t="inlineStr">
        <is>
          <t>Основная ЗП рабочих по ТСН-2001.16</t>
        </is>
      </c>
      <c r="I1279" s="404" t="n"/>
      <c r="J1279" s="404" t="n"/>
      <c r="K1279" s="404" t="n">
        <v>232</v>
      </c>
      <c r="L1279" s="404" t="n">
        <v>15</v>
      </c>
      <c r="M1279" s="404" t="n">
        <v>3</v>
      </c>
      <c r="N1279" s="404" t="inlineStr"/>
      <c r="O1279" s="404" t="n">
        <v>0</v>
      </c>
      <c r="P1279" s="404" t="n"/>
      <c r="Q1279" s="404" t="n"/>
      <c r="R1279" s="404" t="n"/>
      <c r="S1279" s="404" t="n"/>
      <c r="T1279" s="404" t="n"/>
      <c r="U1279" s="404" t="n"/>
      <c r="V1279" s="404" t="n"/>
      <c r="W1279" s="404" t="n">
        <v>0</v>
      </c>
      <c r="X1279" s="404" t="n">
        <v>1</v>
      </c>
      <c r="Y1279" s="404" t="n">
        <v>0</v>
      </c>
      <c r="Z1279" s="404" t="n"/>
      <c r="AA1279" s="404" t="n"/>
      <c r="AB1279" s="404" t="n"/>
    </row>
    <row r="1280">
      <c r="A1280" s="404" t="n">
        <v>50</v>
      </c>
      <c r="B1280" s="404" t="n">
        <v>0</v>
      </c>
      <c r="C1280" s="404" t="n">
        <v>0</v>
      </c>
      <c r="D1280" s="404" t="n">
        <v>1</v>
      </c>
      <c r="E1280" s="404" t="n">
        <v>214</v>
      </c>
      <c r="F1280" s="404">
        <f>ROUND(Source!AS1263,O1280)</f>
        <v/>
      </c>
      <c r="G1280" s="404" t="inlineStr">
        <is>
          <t>Строит</t>
        </is>
      </c>
      <c r="H1280" s="404" t="inlineStr">
        <is>
          <t>Строительные работы с НР и СП</t>
        </is>
      </c>
      <c r="I1280" s="404" t="n"/>
      <c r="J1280" s="404" t="n"/>
      <c r="K1280" s="404" t="n">
        <v>214</v>
      </c>
      <c r="L1280" s="404" t="n">
        <v>16</v>
      </c>
      <c r="M1280" s="404" t="n">
        <v>3</v>
      </c>
      <c r="N1280" s="404" t="inlineStr"/>
      <c r="O1280" s="404" t="n">
        <v>0</v>
      </c>
      <c r="P1280" s="404" t="n"/>
      <c r="Q1280" s="404" t="n"/>
      <c r="R1280" s="404" t="n"/>
      <c r="S1280" s="404" t="n"/>
      <c r="T1280" s="404" t="n"/>
      <c r="U1280" s="404" t="n"/>
      <c r="V1280" s="404" t="n"/>
      <c r="W1280" s="404" t="n">
        <v>0</v>
      </c>
      <c r="X1280" s="404" t="n">
        <v>1</v>
      </c>
      <c r="Y1280" s="404" t="n">
        <v>0</v>
      </c>
      <c r="Z1280" s="404" t="n"/>
      <c r="AA1280" s="404" t="n"/>
      <c r="AB1280" s="404" t="n"/>
    </row>
    <row r="1281">
      <c r="A1281" s="404" t="n">
        <v>50</v>
      </c>
      <c r="B1281" s="404" t="n">
        <v>0</v>
      </c>
      <c r="C1281" s="404" t="n">
        <v>0</v>
      </c>
      <c r="D1281" s="404" t="n">
        <v>1</v>
      </c>
      <c r="E1281" s="404" t="n">
        <v>215</v>
      </c>
      <c r="F1281" s="404">
        <f>ROUND(Source!AT1263,O1281)</f>
        <v/>
      </c>
      <c r="G1281" s="404" t="inlineStr">
        <is>
          <t>Монтаж</t>
        </is>
      </c>
      <c r="H1281" s="404" t="inlineStr">
        <is>
          <t>Монтажные работы с НР и СП</t>
        </is>
      </c>
      <c r="I1281" s="404" t="n"/>
      <c r="J1281" s="404" t="n"/>
      <c r="K1281" s="404" t="n">
        <v>215</v>
      </c>
      <c r="L1281" s="404" t="n">
        <v>17</v>
      </c>
      <c r="M1281" s="404" t="n">
        <v>3</v>
      </c>
      <c r="N1281" s="404" t="inlineStr"/>
      <c r="O1281" s="404" t="n">
        <v>0</v>
      </c>
      <c r="P1281" s="404" t="n"/>
      <c r="Q1281" s="404" t="n"/>
      <c r="R1281" s="404" t="n"/>
      <c r="S1281" s="404" t="n"/>
      <c r="T1281" s="404" t="n"/>
      <c r="U1281" s="404" t="n"/>
      <c r="V1281" s="404" t="n"/>
      <c r="W1281" s="404" t="n">
        <v>0</v>
      </c>
      <c r="X1281" s="404" t="n">
        <v>1</v>
      </c>
      <c r="Y1281" s="404" t="n">
        <v>0</v>
      </c>
      <c r="Z1281" s="404" t="n"/>
      <c r="AA1281" s="404" t="n"/>
      <c r="AB1281" s="404" t="n"/>
    </row>
    <row r="1282">
      <c r="A1282" s="404" t="n">
        <v>50</v>
      </c>
      <c r="B1282" s="404" t="n">
        <v>0</v>
      </c>
      <c r="C1282" s="404" t="n">
        <v>0</v>
      </c>
      <c r="D1282" s="404" t="n">
        <v>1</v>
      </c>
      <c r="E1282" s="404" t="n">
        <v>217</v>
      </c>
      <c r="F1282" s="404">
        <f>ROUND(Source!AU1263,O1282)</f>
        <v/>
      </c>
      <c r="G1282" s="404" t="inlineStr">
        <is>
          <t>Прочие</t>
        </is>
      </c>
      <c r="H1282" s="404" t="inlineStr">
        <is>
          <t>Прочие работы с НР и СП</t>
        </is>
      </c>
      <c r="I1282" s="404" t="n"/>
      <c r="J1282" s="404" t="n"/>
      <c r="K1282" s="404" t="n">
        <v>217</v>
      </c>
      <c r="L1282" s="404" t="n">
        <v>18</v>
      </c>
      <c r="M1282" s="404" t="n">
        <v>3</v>
      </c>
      <c r="N1282" s="404" t="inlineStr"/>
      <c r="O1282" s="404" t="n">
        <v>0</v>
      </c>
      <c r="P1282" s="404" t="n"/>
      <c r="Q1282" s="404" t="n"/>
      <c r="R1282" s="404" t="n"/>
      <c r="S1282" s="404" t="n"/>
      <c r="T1282" s="404" t="n"/>
      <c r="U1282" s="404" t="n"/>
      <c r="V1282" s="404" t="n"/>
      <c r="W1282" s="404" t="n">
        <v>0</v>
      </c>
      <c r="X1282" s="404" t="n">
        <v>1</v>
      </c>
      <c r="Y1282" s="404" t="n">
        <v>0</v>
      </c>
      <c r="Z1282" s="404" t="n"/>
      <c r="AA1282" s="404" t="n"/>
      <c r="AB1282" s="404" t="n"/>
    </row>
    <row r="1283">
      <c r="A1283" s="404" t="n">
        <v>50</v>
      </c>
      <c r="B1283" s="404" t="n">
        <v>0</v>
      </c>
      <c r="C1283" s="404" t="n">
        <v>0</v>
      </c>
      <c r="D1283" s="404" t="n">
        <v>1</v>
      </c>
      <c r="E1283" s="404" t="n">
        <v>230</v>
      </c>
      <c r="F1283" s="404">
        <f>ROUND(Source!BA1263,O1283)</f>
        <v/>
      </c>
      <c r="G1283" s="404" t="inlineStr">
        <is>
          <t>ПрочиеЗатр</t>
        </is>
      </c>
      <c r="H1283" s="404" t="inlineStr">
        <is>
          <t>Прочие затраты по ТСН-2001.16</t>
        </is>
      </c>
      <c r="I1283" s="404" t="n"/>
      <c r="J1283" s="404" t="n"/>
      <c r="K1283" s="404" t="n">
        <v>230</v>
      </c>
      <c r="L1283" s="404" t="n">
        <v>19</v>
      </c>
      <c r="M1283" s="404" t="n">
        <v>3</v>
      </c>
      <c r="N1283" s="404" t="inlineStr"/>
      <c r="O1283" s="404" t="n">
        <v>0</v>
      </c>
      <c r="P1283" s="404" t="n"/>
      <c r="Q1283" s="404" t="n"/>
      <c r="R1283" s="404" t="n"/>
      <c r="S1283" s="404" t="n"/>
      <c r="T1283" s="404" t="n"/>
      <c r="U1283" s="404" t="n"/>
      <c r="V1283" s="404" t="n"/>
      <c r="W1283" s="404" t="n">
        <v>0</v>
      </c>
      <c r="X1283" s="404" t="n">
        <v>1</v>
      </c>
      <c r="Y1283" s="404" t="n">
        <v>0</v>
      </c>
      <c r="Z1283" s="404" t="n"/>
      <c r="AA1283" s="404" t="n"/>
      <c r="AB1283" s="404" t="n"/>
    </row>
    <row r="1284">
      <c r="A1284" s="404" t="n">
        <v>50</v>
      </c>
      <c r="B1284" s="404" t="n">
        <v>0</v>
      </c>
      <c r="C1284" s="404" t="n">
        <v>0</v>
      </c>
      <c r="D1284" s="404" t="n">
        <v>1</v>
      </c>
      <c r="E1284" s="404" t="n">
        <v>206</v>
      </c>
      <c r="F1284" s="404">
        <f>ROUND(Source!T1263,O1284)</f>
        <v/>
      </c>
      <c r="G1284" s="404" t="inlineStr">
        <is>
          <t>ВозврМат</t>
        </is>
      </c>
      <c r="H1284" s="404" t="inlineStr">
        <is>
          <t>Возврат материалов</t>
        </is>
      </c>
      <c r="I1284" s="404" t="n"/>
      <c r="J1284" s="404" t="n"/>
      <c r="K1284" s="404" t="n">
        <v>206</v>
      </c>
      <c r="L1284" s="404" t="n">
        <v>20</v>
      </c>
      <c r="M1284" s="404" t="n">
        <v>3</v>
      </c>
      <c r="N1284" s="404" t="inlineStr"/>
      <c r="O1284" s="404" t="n">
        <v>0</v>
      </c>
      <c r="P1284" s="404" t="n"/>
      <c r="Q1284" s="404" t="n"/>
      <c r="R1284" s="404" t="n"/>
      <c r="S1284" s="404" t="n"/>
      <c r="T1284" s="404" t="n"/>
      <c r="U1284" s="404" t="n"/>
      <c r="V1284" s="404" t="n"/>
      <c r="W1284" s="404" t="n">
        <v>0</v>
      </c>
      <c r="X1284" s="404" t="n">
        <v>1</v>
      </c>
      <c r="Y1284" s="404" t="n">
        <v>0</v>
      </c>
      <c r="Z1284" s="404" t="n"/>
      <c r="AA1284" s="404" t="n"/>
      <c r="AB1284" s="404" t="n"/>
    </row>
    <row r="1285">
      <c r="A1285" s="404" t="n">
        <v>50</v>
      </c>
      <c r="B1285" s="404" t="n">
        <v>0</v>
      </c>
      <c r="C1285" s="404" t="n">
        <v>0</v>
      </c>
      <c r="D1285" s="404" t="n">
        <v>1</v>
      </c>
      <c r="E1285" s="404" t="n">
        <v>207</v>
      </c>
      <c r="F1285" s="404">
        <f>ROUND(Source!U1263,O1285)</f>
        <v/>
      </c>
      <c r="G1285" s="404" t="inlineStr">
        <is>
          <t>ТрудСтр</t>
        </is>
      </c>
      <c r="H1285" s="404" t="inlineStr">
        <is>
          <t>Трудозатраты строителей</t>
        </is>
      </c>
      <c r="I1285" s="404" t="n"/>
      <c r="J1285" s="404" t="n"/>
      <c r="K1285" s="404" t="n">
        <v>207</v>
      </c>
      <c r="L1285" s="404" t="n">
        <v>21</v>
      </c>
      <c r="M1285" s="404" t="n">
        <v>3</v>
      </c>
      <c r="N1285" s="404" t="inlineStr"/>
      <c r="O1285" s="404" t="n">
        <v>7</v>
      </c>
      <c r="P1285" s="404" t="n"/>
      <c r="Q1285" s="404" t="n"/>
      <c r="R1285" s="404" t="n"/>
      <c r="S1285" s="404" t="n"/>
      <c r="T1285" s="404" t="n"/>
      <c r="U1285" s="404" t="n"/>
      <c r="V1285" s="404" t="n"/>
      <c r="W1285" s="404" t="n">
        <v>0</v>
      </c>
      <c r="X1285" s="404" t="n">
        <v>1</v>
      </c>
      <c r="Y1285" s="404" t="n">
        <v>0</v>
      </c>
      <c r="Z1285" s="404" t="n"/>
      <c r="AA1285" s="404" t="n"/>
      <c r="AB1285" s="404" t="n"/>
    </row>
    <row r="1286">
      <c r="A1286" s="404" t="n">
        <v>50</v>
      </c>
      <c r="B1286" s="404" t="n">
        <v>0</v>
      </c>
      <c r="C1286" s="404" t="n">
        <v>0</v>
      </c>
      <c r="D1286" s="404" t="n">
        <v>1</v>
      </c>
      <c r="E1286" s="404" t="n">
        <v>208</v>
      </c>
      <c r="F1286" s="404">
        <f>ROUND(Source!V1263,O1286)</f>
        <v/>
      </c>
      <c r="G1286" s="404" t="inlineStr">
        <is>
          <t>ТрудМаш</t>
        </is>
      </c>
      <c r="H1286" s="404" t="inlineStr">
        <is>
          <t>Трудозатраты машинистов</t>
        </is>
      </c>
      <c r="I1286" s="404" t="n"/>
      <c r="J1286" s="404" t="n"/>
      <c r="K1286" s="404" t="n">
        <v>208</v>
      </c>
      <c r="L1286" s="404" t="n">
        <v>22</v>
      </c>
      <c r="M1286" s="404" t="n">
        <v>3</v>
      </c>
      <c r="N1286" s="404" t="inlineStr"/>
      <c r="O1286" s="404" t="n">
        <v>7</v>
      </c>
      <c r="P1286" s="404" t="n"/>
      <c r="Q1286" s="404" t="n"/>
      <c r="R1286" s="404" t="n"/>
      <c r="S1286" s="404" t="n"/>
      <c r="T1286" s="404" t="n"/>
      <c r="U1286" s="404" t="n"/>
      <c r="V1286" s="404" t="n"/>
      <c r="W1286" s="404" t="n">
        <v>0</v>
      </c>
      <c r="X1286" s="404" t="n">
        <v>1</v>
      </c>
      <c r="Y1286" s="404" t="n">
        <v>0</v>
      </c>
      <c r="Z1286" s="404" t="n"/>
      <c r="AA1286" s="404" t="n"/>
      <c r="AB1286" s="404" t="n"/>
    </row>
    <row r="1287">
      <c r="A1287" s="404" t="n">
        <v>50</v>
      </c>
      <c r="B1287" s="404" t="n">
        <v>0</v>
      </c>
      <c r="C1287" s="404" t="n">
        <v>0</v>
      </c>
      <c r="D1287" s="404" t="n">
        <v>1</v>
      </c>
      <c r="E1287" s="404" t="n">
        <v>209</v>
      </c>
      <c r="F1287" s="404">
        <f>ROUND(Source!W1263,O1287)</f>
        <v/>
      </c>
      <c r="G1287" s="404" t="inlineStr">
        <is>
          <t>ТранспМат</t>
        </is>
      </c>
      <c r="H1287" s="404" t="inlineStr">
        <is>
          <t>Транспорт материалов</t>
        </is>
      </c>
      <c r="I1287" s="404" t="n"/>
      <c r="J1287" s="404" t="n"/>
      <c r="K1287" s="404" t="n">
        <v>209</v>
      </c>
      <c r="L1287" s="404" t="n">
        <v>23</v>
      </c>
      <c r="M1287" s="404" t="n">
        <v>3</v>
      </c>
      <c r="N1287" s="404" t="inlineStr"/>
      <c r="O1287" s="404" t="n">
        <v>0</v>
      </c>
      <c r="P1287" s="404" t="n"/>
      <c r="Q1287" s="404" t="n"/>
      <c r="R1287" s="404" t="n"/>
      <c r="S1287" s="404" t="n"/>
      <c r="T1287" s="404" t="n"/>
      <c r="U1287" s="404" t="n"/>
      <c r="V1287" s="404" t="n"/>
      <c r="W1287" s="404" t="n">
        <v>0</v>
      </c>
      <c r="X1287" s="404" t="n">
        <v>1</v>
      </c>
      <c r="Y1287" s="404" t="n">
        <v>0</v>
      </c>
      <c r="Z1287" s="404" t="n"/>
      <c r="AA1287" s="404" t="n"/>
      <c r="AB1287" s="404" t="n"/>
    </row>
    <row r="1288">
      <c r="A1288" s="404" t="n">
        <v>50</v>
      </c>
      <c r="B1288" s="404" t="n">
        <v>0</v>
      </c>
      <c r="C1288" s="404" t="n">
        <v>0</v>
      </c>
      <c r="D1288" s="404" t="n">
        <v>1</v>
      </c>
      <c r="E1288" s="404" t="n">
        <v>233</v>
      </c>
      <c r="F1288" s="404">
        <f>ROUND(Source!BD1263,O1288)</f>
        <v/>
      </c>
      <c r="G1288" s="404" t="inlineStr">
        <is>
          <t>Перевозка</t>
        </is>
      </c>
      <c r="H1288" s="404" t="inlineStr">
        <is>
          <t>Перевозка грузов</t>
        </is>
      </c>
      <c r="I1288" s="404" t="n"/>
      <c r="J1288" s="404" t="n"/>
      <c r="K1288" s="404" t="n">
        <v>233</v>
      </c>
      <c r="L1288" s="404" t="n">
        <v>24</v>
      </c>
      <c r="M1288" s="404" t="n">
        <v>3</v>
      </c>
      <c r="N1288" s="404" t="inlineStr"/>
      <c r="O1288" s="404" t="n">
        <v>0</v>
      </c>
      <c r="P1288" s="404" t="n"/>
      <c r="Q1288" s="404" t="n"/>
      <c r="R1288" s="404" t="n"/>
      <c r="S1288" s="404" t="n"/>
      <c r="T1288" s="404" t="n"/>
      <c r="U1288" s="404" t="n"/>
      <c r="V1288" s="404" t="n"/>
      <c r="W1288" s="404" t="n">
        <v>0</v>
      </c>
      <c r="X1288" s="404" t="n">
        <v>1</v>
      </c>
      <c r="Y1288" s="404" t="n">
        <v>0</v>
      </c>
      <c r="Z1288" s="404" t="n"/>
      <c r="AA1288" s="404" t="n"/>
      <c r="AB1288" s="404" t="n"/>
    </row>
    <row r="1289">
      <c r="A1289" s="404" t="n">
        <v>50</v>
      </c>
      <c r="B1289" s="404" t="n">
        <v>0</v>
      </c>
      <c r="C1289" s="404" t="n">
        <v>0</v>
      </c>
      <c r="D1289" s="404" t="n">
        <v>1</v>
      </c>
      <c r="E1289" s="404" t="n">
        <v>210</v>
      </c>
      <c r="F1289" s="404">
        <f>ROUND(Source!X1263,O1289)</f>
        <v/>
      </c>
      <c r="G1289" s="404" t="inlineStr">
        <is>
          <t>НР</t>
        </is>
      </c>
      <c r="H1289" s="404" t="inlineStr">
        <is>
          <t>Накладные расходы</t>
        </is>
      </c>
      <c r="I1289" s="404" t="n"/>
      <c r="J1289" s="404" t="n"/>
      <c r="K1289" s="404" t="n">
        <v>210</v>
      </c>
      <c r="L1289" s="404" t="n">
        <v>25</v>
      </c>
      <c r="M1289" s="404" t="n">
        <v>3</v>
      </c>
      <c r="N1289" s="404" t="inlineStr"/>
      <c r="O1289" s="404" t="n">
        <v>0</v>
      </c>
      <c r="P1289" s="404" t="n"/>
      <c r="Q1289" s="404" t="n"/>
      <c r="R1289" s="404" t="n"/>
      <c r="S1289" s="404" t="n"/>
      <c r="T1289" s="404" t="n"/>
      <c r="U1289" s="404" t="n"/>
      <c r="V1289" s="404" t="n"/>
      <c r="W1289" s="404" t="n">
        <v>0</v>
      </c>
      <c r="X1289" s="404" t="n">
        <v>1</v>
      </c>
      <c r="Y1289" s="404" t="n">
        <v>0</v>
      </c>
      <c r="Z1289" s="404" t="n"/>
      <c r="AA1289" s="404" t="n"/>
      <c r="AB1289" s="404" t="n"/>
    </row>
    <row r="1290">
      <c r="A1290" s="404" t="n">
        <v>50</v>
      </c>
      <c r="B1290" s="404" t="n">
        <v>0</v>
      </c>
      <c r="C1290" s="404" t="n">
        <v>0</v>
      </c>
      <c r="D1290" s="404" t="n">
        <v>1</v>
      </c>
      <c r="E1290" s="404" t="n">
        <v>211</v>
      </c>
      <c r="F1290" s="404">
        <f>ROUND(Source!Y1263,O1290)</f>
        <v/>
      </c>
      <c r="G1290" s="404" t="inlineStr">
        <is>
          <t>СмПриб</t>
        </is>
      </c>
      <c r="H1290" s="404" t="inlineStr">
        <is>
          <t>Сметная прибыль</t>
        </is>
      </c>
      <c r="I1290" s="404" t="n"/>
      <c r="J1290" s="404" t="n"/>
      <c r="K1290" s="404" t="n">
        <v>211</v>
      </c>
      <c r="L1290" s="404" t="n">
        <v>26</v>
      </c>
      <c r="M1290" s="404" t="n">
        <v>3</v>
      </c>
      <c r="N1290" s="404" t="inlineStr"/>
      <c r="O1290" s="404" t="n">
        <v>0</v>
      </c>
      <c r="P1290" s="404" t="n"/>
      <c r="Q1290" s="404" t="n"/>
      <c r="R1290" s="404" t="n"/>
      <c r="S1290" s="404" t="n"/>
      <c r="T1290" s="404" t="n"/>
      <c r="U1290" s="404" t="n"/>
      <c r="V1290" s="404" t="n"/>
      <c r="W1290" s="404" t="n">
        <v>0</v>
      </c>
      <c r="X1290" s="404" t="n">
        <v>1</v>
      </c>
      <c r="Y1290" s="404" t="n">
        <v>0</v>
      </c>
      <c r="Z1290" s="404" t="n"/>
      <c r="AA1290" s="404" t="n"/>
      <c r="AB1290" s="404" t="n"/>
    </row>
    <row r="1291">
      <c r="A1291" s="404" t="n">
        <v>50</v>
      </c>
      <c r="B1291" s="404" t="n">
        <v>0</v>
      </c>
      <c r="C1291" s="404" t="n">
        <v>0</v>
      </c>
      <c r="D1291" s="404" t="n">
        <v>1</v>
      </c>
      <c r="E1291" s="404" t="n">
        <v>224</v>
      </c>
      <c r="F1291" s="404">
        <f>ROUND(Source!AR1263,O1291)</f>
        <v/>
      </c>
      <c r="G1291" s="404" t="inlineStr">
        <is>
          <t>Всего</t>
        </is>
      </c>
      <c r="H1291" s="404" t="inlineStr">
        <is>
          <t>Всего с НР и СП</t>
        </is>
      </c>
      <c r="I1291" s="404" t="n"/>
      <c r="J1291" s="404" t="n"/>
      <c r="K1291" s="404" t="n">
        <v>224</v>
      </c>
      <c r="L1291" s="404" t="n">
        <v>27</v>
      </c>
      <c r="M1291" s="404" t="n">
        <v>3</v>
      </c>
      <c r="N1291" s="404" t="inlineStr"/>
      <c r="O1291" s="404" t="n">
        <v>0</v>
      </c>
      <c r="P1291" s="404" t="n"/>
      <c r="Q1291" s="404" t="n"/>
      <c r="R1291" s="404" t="n"/>
      <c r="S1291" s="404" t="n"/>
      <c r="T1291" s="404" t="n"/>
      <c r="U1291" s="404" t="n"/>
      <c r="V1291" s="404" t="n"/>
      <c r="W1291" s="404" t="n">
        <v>0</v>
      </c>
      <c r="X1291" s="404" t="n">
        <v>1</v>
      </c>
      <c r="Y1291" s="404" t="n">
        <v>0</v>
      </c>
      <c r="Z1291" s="404" t="n"/>
      <c r="AA1291" s="404" t="n"/>
      <c r="AB1291" s="404" t="n"/>
    </row>
    <row r="1292">
      <c r="A1292" s="404" t="n">
        <v>50</v>
      </c>
      <c r="B1292" s="404" t="n">
        <v>0</v>
      </c>
      <c r="C1292" s="404" t="n">
        <v>0</v>
      </c>
      <c r="D1292" s="404" t="n">
        <v>2</v>
      </c>
      <c r="E1292" s="404" t="n">
        <v>0</v>
      </c>
      <c r="F1292" s="404">
        <f>ROUND(F1291,O1292)</f>
        <v/>
      </c>
      <c r="G1292" s="404" t="inlineStr">
        <is>
          <t>и1</t>
        </is>
      </c>
      <c r="H1292" s="404" t="inlineStr">
        <is>
          <t>Итого</t>
        </is>
      </c>
      <c r="I1292" s="404" t="n"/>
      <c r="J1292" s="404" t="n"/>
      <c r="K1292" s="404" t="n">
        <v>212</v>
      </c>
      <c r="L1292" s="404" t="n">
        <v>28</v>
      </c>
      <c r="M1292" s="404" t="n">
        <v>0</v>
      </c>
      <c r="N1292" s="404" t="inlineStr"/>
      <c r="O1292" s="404" t="n">
        <v>0</v>
      </c>
      <c r="P1292" s="404" t="n"/>
      <c r="Q1292" s="404" t="n"/>
      <c r="R1292" s="404" t="n"/>
      <c r="S1292" s="404" t="n"/>
      <c r="T1292" s="404" t="n"/>
      <c r="U1292" s="404" t="n"/>
      <c r="V1292" s="404" t="n"/>
      <c r="W1292" s="404" t="n">
        <v>0</v>
      </c>
      <c r="X1292" s="404" t="n">
        <v>1</v>
      </c>
      <c r="Y1292" s="404" t="n">
        <v>0</v>
      </c>
      <c r="Z1292" s="404" t="n"/>
      <c r="AA1292" s="404" t="n"/>
      <c r="AB1292" s="404" t="n"/>
    </row>
    <row r="1293">
      <c r="A1293" s="404" t="n">
        <v>50</v>
      </c>
      <c r="B1293" s="404" t="n">
        <v>0</v>
      </c>
      <c r="C1293" s="404" t="n">
        <v>0</v>
      </c>
      <c r="D1293" s="404" t="n">
        <v>2</v>
      </c>
      <c r="E1293" s="404" t="n">
        <v>0</v>
      </c>
      <c r="F1293" s="404">
        <f>ROUND(F1292*0.22,O1293)</f>
        <v/>
      </c>
      <c r="G1293" s="404" t="inlineStr">
        <is>
          <t>и2</t>
        </is>
      </c>
      <c r="H1293" s="404" t="inlineStr">
        <is>
          <t>НДС 22%</t>
        </is>
      </c>
      <c r="I1293" s="404" t="n"/>
      <c r="J1293" s="404" t="n"/>
      <c r="K1293" s="404" t="n">
        <v>212</v>
      </c>
      <c r="L1293" s="404" t="n">
        <v>29</v>
      </c>
      <c r="M1293" s="404" t="n">
        <v>0</v>
      </c>
      <c r="N1293" s="404" t="inlineStr"/>
      <c r="O1293" s="404" t="n">
        <v>0</v>
      </c>
      <c r="P1293" s="404" t="n"/>
      <c r="Q1293" s="404" t="n"/>
      <c r="R1293" s="404" t="n"/>
      <c r="S1293" s="404" t="n"/>
      <c r="T1293" s="404" t="n"/>
      <c r="U1293" s="404" t="n"/>
      <c r="V1293" s="404" t="n"/>
      <c r="W1293" s="404" t="n">
        <v>0</v>
      </c>
      <c r="X1293" s="404" t="n">
        <v>1</v>
      </c>
      <c r="Y1293" s="404" t="n">
        <v>0</v>
      </c>
      <c r="Z1293" s="404" t="n"/>
      <c r="AA1293" s="404" t="n"/>
      <c r="AB1293" s="404" t="n"/>
    </row>
    <row r="1294">
      <c r="A1294" s="404" t="n">
        <v>50</v>
      </c>
      <c r="B1294" s="404" t="n">
        <v>0</v>
      </c>
      <c r="C1294" s="404" t="n">
        <v>0</v>
      </c>
      <c r="D1294" s="404" t="n">
        <v>2</v>
      </c>
      <c r="E1294" s="404" t="n">
        <v>213</v>
      </c>
      <c r="F1294" s="404">
        <f>ROUND(F1292+F1293,O1294)</f>
        <v/>
      </c>
      <c r="G1294" s="404" t="inlineStr">
        <is>
          <t>и3</t>
        </is>
      </c>
      <c r="H1294" s="404" t="inlineStr">
        <is>
          <t>Всего</t>
        </is>
      </c>
      <c r="I1294" s="404" t="n"/>
      <c r="J1294" s="404" t="n"/>
      <c r="K1294" s="404" t="n">
        <v>212</v>
      </c>
      <c r="L1294" s="404" t="n">
        <v>30</v>
      </c>
      <c r="M1294" s="404" t="n">
        <v>0</v>
      </c>
      <c r="N1294" s="404" t="inlineStr"/>
      <c r="O1294" s="404" t="n">
        <v>0</v>
      </c>
      <c r="P1294" s="404" t="n"/>
      <c r="Q1294" s="404" t="n"/>
      <c r="R1294" s="404" t="n"/>
      <c r="S1294" s="404" t="n"/>
      <c r="T1294" s="404" t="n"/>
      <c r="U1294" s="404" t="n"/>
      <c r="V1294" s="404" t="n"/>
      <c r="W1294" s="404" t="n">
        <v>0</v>
      </c>
      <c r="X1294" s="404" t="n">
        <v>1</v>
      </c>
      <c r="Y1294" s="404" t="n">
        <v>0</v>
      </c>
      <c r="Z1294" s="404" t="n"/>
      <c r="AA1294" s="404" t="n"/>
      <c r="AB1294" s="404" t="n"/>
    </row>
    <row r="1295"/>
    <row r="1296">
      <c r="A1296" s="401" t="n">
        <v>3</v>
      </c>
      <c r="B1296" s="401" t="n">
        <v>0</v>
      </c>
      <c r="C1296" s="401" t="n"/>
      <c r="D1296" s="401">
        <f>ROW(A1306)</f>
        <v/>
      </c>
      <c r="E1296" s="401" t="n"/>
      <c r="F1296" s="401" t="inlineStr">
        <is>
          <t>Новая локальная смета</t>
        </is>
      </c>
      <c r="G1296" s="401" t="inlineStr">
        <is>
          <t>Молодежная 5</t>
        </is>
      </c>
      <c r="H1296" s="401" t="inlineStr"/>
      <c r="I1296" s="401" t="n">
        <v>0</v>
      </c>
      <c r="J1296" s="401" t="inlineStr"/>
      <c r="K1296" s="401" t="n">
        <v>0</v>
      </c>
      <c r="L1296" s="401" t="inlineStr">
        <is>
          <t>Новая локальная смета</t>
        </is>
      </c>
      <c r="M1296" s="401" t="inlineStr"/>
      <c r="N1296" s="401" t="n"/>
      <c r="O1296" s="401" t="n"/>
      <c r="P1296" s="401" t="n"/>
      <c r="Q1296" s="401" t="n"/>
      <c r="R1296" s="401" t="n"/>
      <c r="S1296" s="401" t="n">
        <v>0</v>
      </c>
      <c r="T1296" s="401" t="n"/>
      <c r="U1296" s="401" t="inlineStr"/>
      <c r="V1296" s="401" t="n">
        <v>0</v>
      </c>
      <c r="W1296" s="401" t="n"/>
      <c r="X1296" s="401" t="n"/>
      <c r="Y1296" s="401" t="n"/>
      <c r="Z1296" s="401" t="n"/>
      <c r="AA1296" s="401" t="n"/>
      <c r="AB1296" s="401" t="inlineStr"/>
      <c r="AC1296" s="401" t="inlineStr"/>
      <c r="AD1296" s="401" t="inlineStr"/>
      <c r="AE1296" s="401" t="inlineStr"/>
      <c r="AF1296" s="401" t="inlineStr"/>
      <c r="AG1296" s="401" t="inlineStr"/>
      <c r="AH1296" s="401" t="n"/>
      <c r="AI1296" s="401" t="n"/>
      <c r="AJ1296" s="401" t="n"/>
      <c r="AK1296" s="401" t="n"/>
      <c r="AL1296" s="401" t="n"/>
      <c r="AM1296" s="401" t="n"/>
      <c r="AN1296" s="401" t="n"/>
      <c r="AO1296" s="401" t="n"/>
      <c r="AP1296" s="401" t="inlineStr"/>
      <c r="AQ1296" s="401" t="inlineStr"/>
      <c r="AR1296" s="401" t="inlineStr"/>
      <c r="AS1296" s="401" t="n"/>
      <c r="AT1296" s="401" t="n"/>
      <c r="AU1296" s="401" t="n"/>
      <c r="AV1296" s="401" t="n"/>
      <c r="AW1296" s="401" t="n"/>
      <c r="AX1296" s="401" t="n"/>
      <c r="AY1296" s="401" t="n"/>
      <c r="AZ1296" s="401" t="inlineStr"/>
      <c r="BA1296" s="401" t="n"/>
      <c r="BB1296" s="401" t="inlineStr"/>
      <c r="BC1296" s="401" t="inlineStr"/>
      <c r="BD1296" s="401" t="inlineStr"/>
      <c r="BE1296" s="401" t="inlineStr"/>
      <c r="BF1296" s="401" t="inlineStr"/>
      <c r="BG1296" s="401" t="inlineStr"/>
      <c r="BH1296" s="401" t="inlineStr"/>
      <c r="BI1296" s="401" t="inlineStr"/>
      <c r="BJ1296" s="401" t="inlineStr"/>
      <c r="BK1296" s="401" t="inlineStr"/>
      <c r="BL1296" s="401" t="inlineStr"/>
      <c r="BM1296" s="401" t="inlineStr"/>
      <c r="BN1296" s="401" t="inlineStr"/>
      <c r="BO1296" s="401" t="inlineStr"/>
      <c r="BP1296" s="401" t="inlineStr"/>
      <c r="BQ1296" s="401" t="n"/>
      <c r="BR1296" s="401" t="n"/>
      <c r="BS1296" s="401" t="n"/>
      <c r="BT1296" s="401" t="n"/>
      <c r="BU1296" s="401" t="n"/>
      <c r="BV1296" s="401" t="n"/>
      <c r="BW1296" s="401" t="n"/>
      <c r="BX1296" s="401" t="n">
        <v>0</v>
      </c>
      <c r="BY1296" s="401" t="n"/>
      <c r="BZ1296" s="401" t="n"/>
      <c r="CA1296" s="401" t="n"/>
      <c r="CB1296" s="401" t="n"/>
      <c r="CC1296" s="401" t="n"/>
      <c r="CD1296" s="401" t="n"/>
      <c r="CE1296" s="401" t="n"/>
      <c r="CF1296" s="401" t="n">
        <v>0</v>
      </c>
      <c r="CG1296" s="401" t="n">
        <v>0</v>
      </c>
      <c r="CH1296" s="401" t="n"/>
      <c r="CI1296" s="401" t="inlineStr"/>
      <c r="CJ1296" s="401" t="inlineStr"/>
      <c r="CK1296" t="inlineStr"/>
      <c r="CL1296" t="inlineStr"/>
      <c r="CM1296" t="inlineStr"/>
      <c r="CN1296" t="inlineStr"/>
      <c r="CO1296" t="inlineStr"/>
      <c r="CP1296" t="inlineStr"/>
      <c r="CQ1296" t="inlineStr"/>
    </row>
    <row r="1297"/>
    <row r="1298">
      <c r="A1298" s="402" t="n">
        <v>52</v>
      </c>
      <c r="B1298" s="402">
        <f>B1306</f>
        <v/>
      </c>
      <c r="C1298" s="402">
        <f>C1306</f>
        <v/>
      </c>
      <c r="D1298" s="402">
        <f>D1306</f>
        <v/>
      </c>
      <c r="E1298" s="402">
        <f>E1306</f>
        <v/>
      </c>
      <c r="F1298" s="402">
        <f>F1306</f>
        <v/>
      </c>
      <c r="G1298" s="402">
        <f>G1306</f>
        <v/>
      </c>
      <c r="H1298" s="402" t="n"/>
      <c r="I1298" s="402" t="n"/>
      <c r="J1298" s="402" t="n"/>
      <c r="K1298" s="402" t="n"/>
      <c r="L1298" s="402" t="n"/>
      <c r="M1298" s="402" t="n"/>
      <c r="N1298" s="402" t="n"/>
      <c r="O1298" s="402">
        <f>O1306</f>
        <v/>
      </c>
      <c r="P1298" s="402">
        <f>P1306</f>
        <v/>
      </c>
      <c r="Q1298" s="402">
        <f>Q1306</f>
        <v/>
      </c>
      <c r="R1298" s="402">
        <f>R1306</f>
        <v/>
      </c>
      <c r="S1298" s="402">
        <f>S1306</f>
        <v/>
      </c>
      <c r="T1298" s="402">
        <f>T1306</f>
        <v/>
      </c>
      <c r="U1298" s="402">
        <f>U1306</f>
        <v/>
      </c>
      <c r="V1298" s="402">
        <f>V1306</f>
        <v/>
      </c>
      <c r="W1298" s="402">
        <f>W1306</f>
        <v/>
      </c>
      <c r="X1298" s="402">
        <f>X1306</f>
        <v/>
      </c>
      <c r="Y1298" s="402">
        <f>Y1306</f>
        <v/>
      </c>
      <c r="Z1298" s="402">
        <f>Z1306</f>
        <v/>
      </c>
      <c r="AA1298" s="402">
        <f>AA1306</f>
        <v/>
      </c>
      <c r="AB1298" s="402">
        <f>AB1306</f>
        <v/>
      </c>
      <c r="AC1298" s="402">
        <f>AC1306</f>
        <v/>
      </c>
      <c r="AD1298" s="402">
        <f>AD1306</f>
        <v/>
      </c>
      <c r="AE1298" s="402">
        <f>AE1306</f>
        <v/>
      </c>
      <c r="AF1298" s="402">
        <f>AF1306</f>
        <v/>
      </c>
      <c r="AG1298" s="402">
        <f>AG1306</f>
        <v/>
      </c>
      <c r="AH1298" s="402">
        <f>AH1306</f>
        <v/>
      </c>
      <c r="AI1298" s="402">
        <f>AI1306</f>
        <v/>
      </c>
      <c r="AJ1298" s="402">
        <f>AJ1306</f>
        <v/>
      </c>
      <c r="AK1298" s="402">
        <f>AK1306</f>
        <v/>
      </c>
      <c r="AL1298" s="402">
        <f>AL1306</f>
        <v/>
      </c>
      <c r="AM1298" s="402">
        <f>AM1306</f>
        <v/>
      </c>
      <c r="AN1298" s="402">
        <f>AN1306</f>
        <v/>
      </c>
      <c r="AO1298" s="402">
        <f>AO1306</f>
        <v/>
      </c>
      <c r="AP1298" s="402">
        <f>AP1306</f>
        <v/>
      </c>
      <c r="AQ1298" s="402">
        <f>AQ1306</f>
        <v/>
      </c>
      <c r="AR1298" s="402">
        <f>AR1306</f>
        <v/>
      </c>
      <c r="AS1298" s="402">
        <f>AS1306</f>
        <v/>
      </c>
      <c r="AT1298" s="402">
        <f>AT1306</f>
        <v/>
      </c>
      <c r="AU1298" s="402">
        <f>AU1306</f>
        <v/>
      </c>
      <c r="AV1298" s="402">
        <f>AV1306</f>
        <v/>
      </c>
      <c r="AW1298" s="402">
        <f>AW1306</f>
        <v/>
      </c>
      <c r="AX1298" s="402">
        <f>AX1306</f>
        <v/>
      </c>
      <c r="AY1298" s="402">
        <f>AY1306</f>
        <v/>
      </c>
      <c r="AZ1298" s="402">
        <f>AZ1306</f>
        <v/>
      </c>
      <c r="BA1298" s="402">
        <f>BA1306</f>
        <v/>
      </c>
      <c r="BB1298" s="402">
        <f>BB1306</f>
        <v/>
      </c>
      <c r="BC1298" s="402">
        <f>BC1306</f>
        <v/>
      </c>
      <c r="BD1298" s="402">
        <f>BD1306</f>
        <v/>
      </c>
      <c r="BE1298" s="402">
        <f>BE1306</f>
        <v/>
      </c>
      <c r="BF1298" s="402">
        <f>BF1306</f>
        <v/>
      </c>
      <c r="BG1298" s="402">
        <f>BG1306</f>
        <v/>
      </c>
      <c r="BH1298" s="402">
        <f>BH1306</f>
        <v/>
      </c>
      <c r="BI1298" s="402">
        <f>BI1306</f>
        <v/>
      </c>
      <c r="BJ1298" s="402">
        <f>BJ1306</f>
        <v/>
      </c>
      <c r="BK1298" s="402">
        <f>BK1306</f>
        <v/>
      </c>
      <c r="BL1298" s="402">
        <f>BL1306</f>
        <v/>
      </c>
      <c r="BM1298" s="402">
        <f>BM1306</f>
        <v/>
      </c>
      <c r="BN1298" s="402">
        <f>BN1306</f>
        <v/>
      </c>
      <c r="BO1298" s="402">
        <f>BO1306</f>
        <v/>
      </c>
      <c r="BP1298" s="402">
        <f>BP1306</f>
        <v/>
      </c>
      <c r="BQ1298" s="402">
        <f>BQ1306</f>
        <v/>
      </c>
      <c r="BR1298" s="402">
        <f>BR1306</f>
        <v/>
      </c>
      <c r="BS1298" s="402">
        <f>BS1306</f>
        <v/>
      </c>
      <c r="BT1298" s="402">
        <f>BT1306</f>
        <v/>
      </c>
      <c r="BU1298" s="402">
        <f>BU1306</f>
        <v/>
      </c>
      <c r="BV1298" s="402">
        <f>BV1306</f>
        <v/>
      </c>
      <c r="BW1298" s="402">
        <f>BW1306</f>
        <v/>
      </c>
      <c r="BX1298" s="402">
        <f>BX1306</f>
        <v/>
      </c>
      <c r="BY1298" s="402">
        <f>BY1306</f>
        <v/>
      </c>
      <c r="BZ1298" s="402">
        <f>BZ1306</f>
        <v/>
      </c>
      <c r="CA1298" s="402">
        <f>CA1306</f>
        <v/>
      </c>
      <c r="CB1298" s="402">
        <f>CB1306</f>
        <v/>
      </c>
      <c r="CC1298" s="402">
        <f>CC1306</f>
        <v/>
      </c>
      <c r="CD1298" s="402">
        <f>CD1306</f>
        <v/>
      </c>
      <c r="CE1298" s="402">
        <f>CE1306</f>
        <v/>
      </c>
      <c r="CF1298" s="402">
        <f>CF1306</f>
        <v/>
      </c>
      <c r="CG1298" s="402">
        <f>CG1306</f>
        <v/>
      </c>
      <c r="CH1298" s="402">
        <f>CH1306</f>
        <v/>
      </c>
      <c r="CI1298" s="402">
        <f>CI1306</f>
        <v/>
      </c>
      <c r="CJ1298" s="402">
        <f>CJ1306</f>
        <v/>
      </c>
      <c r="CK1298" s="402">
        <f>CK1306</f>
        <v/>
      </c>
      <c r="CL1298" s="402">
        <f>CL1306</f>
        <v/>
      </c>
      <c r="CM1298" s="402">
        <f>CM1306</f>
        <v/>
      </c>
      <c r="CN1298" s="402">
        <f>CN1306</f>
        <v/>
      </c>
      <c r="CO1298" s="402">
        <f>CO1306</f>
        <v/>
      </c>
      <c r="CP1298" s="402">
        <f>CP1306</f>
        <v/>
      </c>
      <c r="CQ1298" s="402">
        <f>CQ1306</f>
        <v/>
      </c>
      <c r="CR1298" s="402">
        <f>CR1306</f>
        <v/>
      </c>
      <c r="CS1298" s="402">
        <f>CS1306</f>
        <v/>
      </c>
      <c r="CT1298" s="402">
        <f>CT1306</f>
        <v/>
      </c>
      <c r="CU1298" s="402">
        <f>CU1306</f>
        <v/>
      </c>
      <c r="CV1298" s="402">
        <f>CV1306</f>
        <v/>
      </c>
      <c r="CW1298" s="402">
        <f>CW1306</f>
        <v/>
      </c>
      <c r="CX1298" s="402">
        <f>CX1306</f>
        <v/>
      </c>
      <c r="CY1298" s="402">
        <f>CY1306</f>
        <v/>
      </c>
      <c r="CZ1298" s="402">
        <f>CZ1306</f>
        <v/>
      </c>
      <c r="DA1298" s="402">
        <f>DA1306</f>
        <v/>
      </c>
      <c r="DB1298" s="402">
        <f>DB1306</f>
        <v/>
      </c>
      <c r="DC1298" s="402">
        <f>DC1306</f>
        <v/>
      </c>
      <c r="DD1298" s="402">
        <f>DD1306</f>
        <v/>
      </c>
      <c r="DE1298" s="402">
        <f>DE1306</f>
        <v/>
      </c>
      <c r="DF1298" s="402">
        <f>DF1306</f>
        <v/>
      </c>
      <c r="DG1298" s="403">
        <f>DG1306</f>
        <v/>
      </c>
      <c r="DH1298" s="403">
        <f>DH1306</f>
        <v/>
      </c>
      <c r="DI1298" s="403">
        <f>DI1306</f>
        <v/>
      </c>
      <c r="DJ1298" s="403">
        <f>DJ1306</f>
        <v/>
      </c>
      <c r="DK1298" s="403">
        <f>DK1306</f>
        <v/>
      </c>
      <c r="DL1298" s="403">
        <f>DL1306</f>
        <v/>
      </c>
      <c r="DM1298" s="403">
        <f>DM1306</f>
        <v/>
      </c>
      <c r="DN1298" s="403">
        <f>DN1306</f>
        <v/>
      </c>
      <c r="DO1298" s="403">
        <f>DO1306</f>
        <v/>
      </c>
      <c r="DP1298" s="403">
        <f>DP1306</f>
        <v/>
      </c>
      <c r="DQ1298" s="403">
        <f>DQ1306</f>
        <v/>
      </c>
      <c r="DR1298" s="403">
        <f>DR1306</f>
        <v/>
      </c>
      <c r="DS1298" s="403">
        <f>DS1306</f>
        <v/>
      </c>
      <c r="DT1298" s="403">
        <f>DT1306</f>
        <v/>
      </c>
      <c r="DU1298" s="403">
        <f>DU1306</f>
        <v/>
      </c>
      <c r="DV1298" s="403">
        <f>DV1306</f>
        <v/>
      </c>
      <c r="DW1298" s="403">
        <f>DW1306</f>
        <v/>
      </c>
      <c r="DX1298" s="403">
        <f>DX1306</f>
        <v/>
      </c>
      <c r="DY1298" s="403">
        <f>DY1306</f>
        <v/>
      </c>
      <c r="DZ1298" s="403">
        <f>DZ1306</f>
        <v/>
      </c>
      <c r="EA1298" s="403">
        <f>EA1306</f>
        <v/>
      </c>
      <c r="EB1298" s="403">
        <f>EB1306</f>
        <v/>
      </c>
      <c r="EC1298" s="403">
        <f>EC1306</f>
        <v/>
      </c>
      <c r="ED1298" s="403">
        <f>ED1306</f>
        <v/>
      </c>
      <c r="EE1298" s="403">
        <f>EE1306</f>
        <v/>
      </c>
      <c r="EF1298" s="403">
        <f>EF1306</f>
        <v/>
      </c>
      <c r="EG1298" s="403">
        <f>EG1306</f>
        <v/>
      </c>
      <c r="EH1298" s="403">
        <f>EH1306</f>
        <v/>
      </c>
      <c r="EI1298" s="403">
        <f>EI1306</f>
        <v/>
      </c>
      <c r="EJ1298" s="403">
        <f>EJ1306</f>
        <v/>
      </c>
      <c r="EK1298" s="403">
        <f>EK1306</f>
        <v/>
      </c>
      <c r="EL1298" s="403">
        <f>EL1306</f>
        <v/>
      </c>
      <c r="EM1298" s="403">
        <f>EM1306</f>
        <v/>
      </c>
      <c r="EN1298" s="403">
        <f>EN1306</f>
        <v/>
      </c>
      <c r="EO1298" s="403">
        <f>EO1306</f>
        <v/>
      </c>
      <c r="EP1298" s="403">
        <f>EP1306</f>
        <v/>
      </c>
      <c r="EQ1298" s="403">
        <f>EQ1306</f>
        <v/>
      </c>
      <c r="ER1298" s="403">
        <f>ER1306</f>
        <v/>
      </c>
      <c r="ES1298" s="403">
        <f>ES1306</f>
        <v/>
      </c>
      <c r="ET1298" s="403">
        <f>ET1306</f>
        <v/>
      </c>
      <c r="EU1298" s="403">
        <f>EU1306</f>
        <v/>
      </c>
      <c r="EV1298" s="403">
        <f>EV1306</f>
        <v/>
      </c>
      <c r="EW1298" s="403">
        <f>EW1306</f>
        <v/>
      </c>
      <c r="EX1298" s="403">
        <f>EX1306</f>
        <v/>
      </c>
      <c r="EY1298" s="403">
        <f>EY1306</f>
        <v/>
      </c>
      <c r="EZ1298" s="403">
        <f>EZ1306</f>
        <v/>
      </c>
      <c r="FA1298" s="403">
        <f>FA1306</f>
        <v/>
      </c>
      <c r="FB1298" s="403">
        <f>FB1306</f>
        <v/>
      </c>
      <c r="FC1298" s="403">
        <f>FC1306</f>
        <v/>
      </c>
      <c r="FD1298" s="403">
        <f>FD1306</f>
        <v/>
      </c>
      <c r="FE1298" s="403">
        <f>FE1306</f>
        <v/>
      </c>
      <c r="FF1298" s="403">
        <f>FF1306</f>
        <v/>
      </c>
      <c r="FG1298" s="403">
        <f>FG1306</f>
        <v/>
      </c>
      <c r="FH1298" s="403">
        <f>FH1306</f>
        <v/>
      </c>
      <c r="FI1298" s="403">
        <f>FI1306</f>
        <v/>
      </c>
      <c r="FJ1298" s="403">
        <f>FJ1306</f>
        <v/>
      </c>
      <c r="FK1298" s="403">
        <f>FK1306</f>
        <v/>
      </c>
      <c r="FL1298" s="403">
        <f>FL1306</f>
        <v/>
      </c>
      <c r="FM1298" s="403">
        <f>FM1306</f>
        <v/>
      </c>
      <c r="FN1298" s="403">
        <f>FN1306</f>
        <v/>
      </c>
      <c r="FO1298" s="403">
        <f>FO1306</f>
        <v/>
      </c>
      <c r="FP1298" s="403">
        <f>FP1306</f>
        <v/>
      </c>
      <c r="FQ1298" s="403">
        <f>FQ1306</f>
        <v/>
      </c>
      <c r="FR1298" s="403">
        <f>FR1306</f>
        <v/>
      </c>
      <c r="FS1298" s="403">
        <f>FS1306</f>
        <v/>
      </c>
      <c r="FT1298" s="403">
        <f>FT1306</f>
        <v/>
      </c>
      <c r="FU1298" s="403">
        <f>FU1306</f>
        <v/>
      </c>
      <c r="FV1298" s="403">
        <f>FV1306</f>
        <v/>
      </c>
      <c r="FW1298" s="403">
        <f>FW1306</f>
        <v/>
      </c>
      <c r="FX1298" s="403">
        <f>FX1306</f>
        <v/>
      </c>
      <c r="FY1298" s="403">
        <f>FY1306</f>
        <v/>
      </c>
      <c r="FZ1298" s="403">
        <f>FZ1306</f>
        <v/>
      </c>
      <c r="GA1298" s="403">
        <f>GA1306</f>
        <v/>
      </c>
      <c r="GB1298" s="403">
        <f>GB1306</f>
        <v/>
      </c>
      <c r="GC1298" s="403">
        <f>GC1306</f>
        <v/>
      </c>
      <c r="GD1298" s="403">
        <f>GD1306</f>
        <v/>
      </c>
      <c r="GE1298" s="403">
        <f>GE1306</f>
        <v/>
      </c>
      <c r="GF1298" s="403">
        <f>GF1306</f>
        <v/>
      </c>
      <c r="GG1298" s="403">
        <f>GG1306</f>
        <v/>
      </c>
      <c r="GH1298" s="403">
        <f>GH1306</f>
        <v/>
      </c>
      <c r="GI1298" s="403">
        <f>GI1306</f>
        <v/>
      </c>
      <c r="GJ1298" s="403">
        <f>GJ1306</f>
        <v/>
      </c>
      <c r="GK1298" s="403">
        <f>GK1306</f>
        <v/>
      </c>
      <c r="GL1298" s="403">
        <f>GL1306</f>
        <v/>
      </c>
      <c r="GM1298" s="403">
        <f>GM1306</f>
        <v/>
      </c>
      <c r="GN1298" s="403">
        <f>GN1306</f>
        <v/>
      </c>
      <c r="GO1298" s="403">
        <f>GO1306</f>
        <v/>
      </c>
      <c r="GP1298" s="403">
        <f>GP1306</f>
        <v/>
      </c>
      <c r="GQ1298" s="403">
        <f>GQ1306</f>
        <v/>
      </c>
      <c r="GR1298" s="403">
        <f>GR1306</f>
        <v/>
      </c>
      <c r="GS1298" s="403">
        <f>GS1306</f>
        <v/>
      </c>
      <c r="GT1298" s="403">
        <f>GT1306</f>
        <v/>
      </c>
      <c r="GU1298" s="403">
        <f>GU1306</f>
        <v/>
      </c>
      <c r="GV1298" s="403">
        <f>GV1306</f>
        <v/>
      </c>
      <c r="GW1298" s="403">
        <f>GW1306</f>
        <v/>
      </c>
      <c r="GX1298" s="403">
        <f>GX1306</f>
        <v/>
      </c>
    </row>
    <row r="1299"/>
    <row r="1300">
      <c r="A1300" t="n">
        <v>17</v>
      </c>
      <c r="B1300" t="n">
        <v>0</v>
      </c>
      <c r="C1300">
        <f>ROW(SmtRes!A634)</f>
        <v/>
      </c>
      <c r="D1300">
        <f>ROW(EtalonRes!A584)</f>
        <v/>
      </c>
      <c r="E1300" t="inlineStr">
        <is>
          <t>1</t>
        </is>
      </c>
      <c r="F1300" t="inlineStr">
        <is>
          <t>65-10-1</t>
        </is>
      </c>
      <c r="G1300" t="inlineStr">
        <is>
          <t>Очистка канализационной сети внутренней</t>
        </is>
      </c>
      <c r="H1300" t="inlineStr">
        <is>
          <t>100 м трубопровода</t>
        </is>
      </c>
      <c r="I1300">
        <f>ROUND(ROUND(45/100,4),7)</f>
        <v/>
      </c>
      <c r="J1300" t="n">
        <v>0</v>
      </c>
      <c r="K1300">
        <f>ROUND(ROUND(45/100,4),7)</f>
        <v/>
      </c>
      <c r="O1300">
        <f>ROUND(CP1300,0)</f>
        <v/>
      </c>
      <c r="P1300">
        <f>ROUND(CQ1300*I1300,0)</f>
        <v/>
      </c>
      <c r="Q1300">
        <f>(ROUND((ROUND(((ET1300)*I1300),0)*BB1300),0)+ROUND((ROUND(((AE1300-(EU1300))*I1300),0)*BS1300),0))</f>
        <v/>
      </c>
      <c r="R1300">
        <f>(ROUND((ROUND(((EU1300)*I1300),0)*BS1300),0)+ROUND((ROUND(((AE1300-(EU1300))*I1300),0)*BS1300),0))</f>
        <v/>
      </c>
      <c r="S1300">
        <f>ROUND(CT1300*I1300,0)</f>
        <v/>
      </c>
      <c r="T1300">
        <f>ROUND(CU1300*I1300,0)</f>
        <v/>
      </c>
      <c r="U1300">
        <f>ROUND(CV1300*I1300,7)</f>
        <v/>
      </c>
      <c r="V1300">
        <f>ROUND(CW1300*I1300,7)</f>
        <v/>
      </c>
      <c r="W1300">
        <f>ROUND(CX1300*I1300,0)</f>
        <v/>
      </c>
      <c r="X1300">
        <f>ROUND(CY1300,0)</f>
        <v/>
      </c>
      <c r="Y1300">
        <f>ROUND(CZ1300,0)</f>
        <v/>
      </c>
      <c r="AA1300" t="n">
        <v>78869116</v>
      </c>
      <c r="AB1300">
        <f>ROUND((AC1300+AD1300+AF1300),2)</f>
        <v/>
      </c>
      <c r="AC1300">
        <f>ROUND((ES1300),2)</f>
        <v/>
      </c>
      <c r="AD1300">
        <f>ROUND((((ET1300)-(EU1300))+AE1300),2)</f>
        <v/>
      </c>
      <c r="AE1300">
        <f>ROUND((EU1300),2)</f>
        <v/>
      </c>
      <c r="AF1300">
        <f>ROUND((EV1300),2)</f>
        <v/>
      </c>
      <c r="AG1300">
        <f>ROUND((AP1300),2)</f>
        <v/>
      </c>
      <c r="AH1300">
        <f>(EW1300)</f>
        <v/>
      </c>
      <c r="AI1300">
        <f>(EX1300)</f>
        <v/>
      </c>
      <c r="AJ1300">
        <f>(AS1300)</f>
        <v/>
      </c>
      <c r="AK1300" t="n">
        <v>403.3</v>
      </c>
      <c r="AL1300" t="n">
        <v>139.36</v>
      </c>
      <c r="AM1300" t="n">
        <v>0.87</v>
      </c>
      <c r="AN1300" t="n">
        <v>0</v>
      </c>
      <c r="AO1300" t="n">
        <v>263.07</v>
      </c>
      <c r="AP1300" t="n">
        <v>0</v>
      </c>
      <c r="AQ1300" t="n">
        <v>32.2</v>
      </c>
      <c r="AR1300" t="n">
        <v>0</v>
      </c>
      <c r="AS1300" t="n">
        <v>0</v>
      </c>
      <c r="AT1300" t="n">
        <v>103</v>
      </c>
      <c r="AU1300" t="n">
        <v>52</v>
      </c>
      <c r="AV1300" t="n">
        <v>1</v>
      </c>
      <c r="AW1300" t="n">
        <v>1</v>
      </c>
      <c r="AZ1300" t="n">
        <v>1</v>
      </c>
      <c r="BA1300" t="n">
        <v>52.25</v>
      </c>
      <c r="BB1300" t="n">
        <v>25.03</v>
      </c>
      <c r="BC1300" t="n">
        <v>11.85</v>
      </c>
      <c r="BD1300" t="inlineStr"/>
      <c r="BE1300" t="inlineStr"/>
      <c r="BF1300" t="inlineStr"/>
      <c r="BG1300" t="inlineStr"/>
      <c r="BH1300" t="n">
        <v>0</v>
      </c>
      <c r="BI1300" t="n">
        <v>1</v>
      </c>
      <c r="BJ1300" t="inlineStr">
        <is>
          <t>ТЕРр Московской обл., 65-10-1, приказ Минстроя России №675/пр от 28.02.2017 № 263/пр</t>
        </is>
      </c>
      <c r="BM1300" t="n">
        <v>65007</v>
      </c>
      <c r="BN1300" t="n">
        <v>0</v>
      </c>
      <c r="BO1300" t="inlineStr">
        <is>
          <t>65-10-1</t>
        </is>
      </c>
      <c r="BP1300" t="n">
        <v>1</v>
      </c>
      <c r="BQ1300" t="n">
        <v>6</v>
      </c>
      <c r="BR1300" t="n">
        <v>0</v>
      </c>
      <c r="BS1300" t="n">
        <v>52.25</v>
      </c>
      <c r="BT1300" t="n">
        <v>1</v>
      </c>
      <c r="BU1300" t="n">
        <v>1</v>
      </c>
      <c r="BV1300" t="n">
        <v>1</v>
      </c>
      <c r="BW1300" t="n">
        <v>1</v>
      </c>
      <c r="BX1300" t="n">
        <v>1</v>
      </c>
      <c r="BY1300" t="inlineStr"/>
      <c r="BZ1300" t="n">
        <v>103</v>
      </c>
      <c r="CA1300" t="n">
        <v>52</v>
      </c>
      <c r="CB1300" t="inlineStr"/>
      <c r="CE1300" t="n">
        <v>12</v>
      </c>
      <c r="CF1300" t="n">
        <v>0</v>
      </c>
      <c r="CG1300" t="n">
        <v>0</v>
      </c>
      <c r="CM1300" t="n">
        <v>0</v>
      </c>
      <c r="CN1300" t="inlineStr"/>
      <c r="CO1300" t="n">
        <v>0</v>
      </c>
      <c r="CP1300">
        <f>(P1300+Q1300+S1300)</f>
        <v/>
      </c>
      <c r="CQ1300">
        <f>AC1300*BC1300</f>
        <v/>
      </c>
      <c r="CR1300">
        <f>(ROUND((ROUND(((ET1300)*1),0)*BB1300),0)+ROUND((ROUND(((AE1300-(EU1300))*1),0)*BS1300),0))</f>
        <v/>
      </c>
      <c r="CS1300">
        <f>(ROUND((ROUND(((EU1300)*1),0)*BS1300),0)+ROUND((ROUND(((AE1300-(EU1300))*1),0)*BS1300),0))</f>
        <v/>
      </c>
      <c r="CT1300">
        <f>AF1300*BA1300</f>
        <v/>
      </c>
      <c r="CU1300">
        <f>AG1300</f>
        <v/>
      </c>
      <c r="CV1300">
        <f>AH1300</f>
        <v/>
      </c>
      <c r="CW1300">
        <f>AI1300</f>
        <v/>
      </c>
      <c r="CX1300">
        <f>AJ1300</f>
        <v/>
      </c>
      <c r="CY1300">
        <f>(((S1300+R1300)*AT1300)/100)</f>
        <v/>
      </c>
      <c r="CZ1300">
        <f>(((S1300+R1300)*AU1300)/100)</f>
        <v/>
      </c>
      <c r="DC1300" t="inlineStr"/>
      <c r="DD1300" t="inlineStr"/>
      <c r="DE1300" t="inlineStr"/>
      <c r="DF1300" t="inlineStr"/>
      <c r="DG1300" t="inlineStr"/>
      <c r="DH1300" t="inlineStr"/>
      <c r="DI1300" t="inlineStr"/>
      <c r="DJ1300" t="inlineStr"/>
      <c r="DK1300" t="inlineStr"/>
      <c r="DL1300" t="inlineStr"/>
      <c r="DM1300" t="inlineStr"/>
      <c r="DN1300" t="n">
        <v>0</v>
      </c>
      <c r="DO1300" t="n">
        <v>0</v>
      </c>
      <c r="DP1300" t="n">
        <v>1</v>
      </c>
      <c r="DQ1300" t="n">
        <v>1</v>
      </c>
      <c r="DU1300" t="n">
        <v>1013</v>
      </c>
      <c r="DV1300" t="inlineStr">
        <is>
          <t>100 м трубопровода</t>
        </is>
      </c>
      <c r="DW1300" t="inlineStr">
        <is>
          <t>100 м трубопровода</t>
        </is>
      </c>
      <c r="DX1300" t="n">
        <v>1</v>
      </c>
      <c r="DZ1300" t="inlineStr"/>
      <c r="EA1300" t="inlineStr"/>
      <c r="EB1300" t="inlineStr"/>
      <c r="EC1300" t="inlineStr"/>
      <c r="EE1300" t="n">
        <v>78726000</v>
      </c>
      <c r="EF1300" t="n">
        <v>6</v>
      </c>
      <c r="EG1300" t="inlineStr">
        <is>
          <t>Ремонтно-строительные работы</t>
        </is>
      </c>
      <c r="EH1300" t="n">
        <v>99</v>
      </c>
      <c r="EI1300" t="inlineStr">
        <is>
          <t>Внутренние санитарно-технические работы</t>
        </is>
      </c>
      <c r="EJ1300" t="n">
        <v>1</v>
      </c>
      <c r="EK1300" t="n">
        <v>65007</v>
      </c>
      <c r="EL1300" t="inlineStr">
        <is>
          <t>Внутренние санитарнотехнические работы: смена труб, санприборов, запорной арматуры и другое</t>
        </is>
      </c>
      <c r="EM1300" t="inlineStr">
        <is>
          <t>рФЕР-65</t>
        </is>
      </c>
      <c r="EO1300" t="inlineStr"/>
      <c r="EQ1300" t="n">
        <v>0</v>
      </c>
      <c r="ER1300" t="n">
        <v>403.3</v>
      </c>
      <c r="ES1300" t="n">
        <v>139.36</v>
      </c>
      <c r="ET1300" t="n">
        <v>0.87</v>
      </c>
      <c r="EU1300" t="n">
        <v>0</v>
      </c>
      <c r="EV1300" t="n">
        <v>263.07</v>
      </c>
      <c r="EW1300" t="n">
        <v>32.2</v>
      </c>
      <c r="EX1300" t="n">
        <v>0</v>
      </c>
      <c r="EY1300" t="n">
        <v>0</v>
      </c>
      <c r="FQ1300" t="n">
        <v>0</v>
      </c>
      <c r="FR1300" t="n">
        <v>0</v>
      </c>
      <c r="FS1300" t="n">
        <v>0</v>
      </c>
      <c r="FX1300" t="n">
        <v>103</v>
      </c>
      <c r="FY1300" t="n">
        <v>52</v>
      </c>
      <c r="GA1300" t="inlineStr"/>
      <c r="GD1300" t="n">
        <v>1</v>
      </c>
      <c r="GF1300" t="n">
        <v>-66904957</v>
      </c>
      <c r="GG1300" t="n">
        <v>2</v>
      </c>
      <c r="GH1300" t="n">
        <v>1</v>
      </c>
      <c r="GI1300" t="n">
        <v>2</v>
      </c>
      <c r="GJ1300" t="n">
        <v>0</v>
      </c>
      <c r="GK1300" t="n">
        <v>0</v>
      </c>
      <c r="GL1300">
        <f>ROUND(IF(AND(BH1300=3,BI1300=3,FS1300&lt;&gt;0),P1300,0),0)</f>
        <v/>
      </c>
      <c r="GM1300">
        <f>ROUND(O1300+X1300+Y1300,0)+GX1300</f>
        <v/>
      </c>
      <c r="GN1300">
        <f>IF(OR(BI1300=0,BI1300=1),GM1300-GX1300,0)</f>
        <v/>
      </c>
      <c r="GO1300">
        <f>IF(BI1300=2,GM1300-GX1300,0)</f>
        <v/>
      </c>
      <c r="GP1300">
        <f>IF(BI1300=4,GM1300-GX1300,0)</f>
        <v/>
      </c>
      <c r="GR1300" t="n">
        <v>0</v>
      </c>
      <c r="GS1300" t="n">
        <v>3</v>
      </c>
      <c r="GT1300" t="n">
        <v>0</v>
      </c>
      <c r="GU1300" t="inlineStr"/>
      <c r="GV1300">
        <f>ROUND((GT1300),2)</f>
        <v/>
      </c>
      <c r="GW1300" t="n">
        <v>1</v>
      </c>
      <c r="GX1300">
        <f>ROUND(HC1300*I1300,0)</f>
        <v/>
      </c>
      <c r="HA1300" t="n">
        <v>0</v>
      </c>
      <c r="HB1300" t="n">
        <v>0</v>
      </c>
      <c r="HC1300">
        <f>GV1300*GW1300</f>
        <v/>
      </c>
      <c r="HE1300" t="inlineStr"/>
      <c r="HF1300" t="inlineStr"/>
      <c r="HM1300" t="inlineStr"/>
      <c r="HN1300" t="inlineStr">
        <is>
          <t>Пр/812-099.2-1</t>
        </is>
      </c>
      <c r="HO1300" t="inlineStr">
        <is>
          <t>Пр/774-099.2</t>
        </is>
      </c>
      <c r="HP1300" t="inlineStr">
        <is>
          <t>Внутренние санитарнотехнические работы: смена труб, санприборов, запорной арматуры и другое</t>
        </is>
      </c>
      <c r="HQ1300" t="inlineStr">
        <is>
          <t>Внутренние санитарнотехнические работы: смена труб, санприборов, запорной арматуры и другое</t>
        </is>
      </c>
      <c r="HS1300" t="n">
        <v>0</v>
      </c>
      <c r="IK1300" t="n">
        <v>0</v>
      </c>
    </row>
    <row r="1301">
      <c r="A1301" t="n">
        <v>17</v>
      </c>
      <c r="B1301" t="n">
        <v>0</v>
      </c>
      <c r="C1301">
        <f>ROW(SmtRes!A638)</f>
        <v/>
      </c>
      <c r="D1301">
        <f>ROW(EtalonRes!A586)</f>
        <v/>
      </c>
      <c r="E1301" t="inlineStr">
        <is>
          <t>2</t>
        </is>
      </c>
      <c r="F1301" t="inlineStr">
        <is>
          <t>67-5-2</t>
        </is>
      </c>
      <c r="G1301" t="inlineStr">
        <is>
          <t>Смена ламп люминесцентных</t>
        </is>
      </c>
      <c r="H1301" t="inlineStr">
        <is>
          <t>100 шт.</t>
        </is>
      </c>
      <c r="I1301">
        <f>ROUND(ROUND(1/100,4),7)</f>
        <v/>
      </c>
      <c r="J1301" t="n">
        <v>0</v>
      </c>
      <c r="K1301">
        <f>ROUND(ROUND(1/100,4),7)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78869116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970.5700000000001</v>
      </c>
      <c r="AL1301" t="n">
        <v>852</v>
      </c>
      <c r="AM1301" t="n">
        <v>0</v>
      </c>
      <c r="AN1301" t="n">
        <v>0</v>
      </c>
      <c r="AO1301" t="n">
        <v>118.57</v>
      </c>
      <c r="AP1301" t="n">
        <v>0</v>
      </c>
      <c r="AQ1301" t="n">
        <v>13.9</v>
      </c>
      <c r="AR1301" t="n">
        <v>0</v>
      </c>
      <c r="AS1301" t="n">
        <v>0</v>
      </c>
      <c r="AT1301" t="n">
        <v>91</v>
      </c>
      <c r="AU1301" t="n">
        <v>48</v>
      </c>
      <c r="AV1301" t="n">
        <v>1</v>
      </c>
      <c r="AW1301" t="n">
        <v>1</v>
      </c>
      <c r="AZ1301" t="n">
        <v>1</v>
      </c>
      <c r="BA1301" t="n">
        <v>52.25</v>
      </c>
      <c r="BB1301" t="n">
        <v>1</v>
      </c>
      <c r="BC1301" t="n">
        <v>4.14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ТЕРр Московской обл., 67-5-2, приказ Минстроя России №675/пр от 28.02.2017 № 263/пр</t>
        </is>
      </c>
      <c r="BM1301" t="n">
        <v>67001</v>
      </c>
      <c r="BN1301" t="n">
        <v>0</v>
      </c>
      <c r="BO1301" t="inlineStr">
        <is>
          <t>67-5-2</t>
        </is>
      </c>
      <c r="BP1301" t="n">
        <v>1</v>
      </c>
      <c r="BQ1301" t="n">
        <v>6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91</v>
      </c>
      <c r="CA1301" t="n">
        <v>48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1010</v>
      </c>
      <c r="DV1301" t="inlineStr">
        <is>
          <t>100 шт.</t>
        </is>
      </c>
      <c r="DW1301" t="inlineStr">
        <is>
          <t>100 шт.</t>
        </is>
      </c>
      <c r="DX1301" t="n">
        <v>100</v>
      </c>
      <c r="DZ1301" t="inlineStr"/>
      <c r="EA1301" t="inlineStr"/>
      <c r="EB1301" t="inlineStr"/>
      <c r="EC1301" t="inlineStr"/>
      <c r="EE1301" t="n">
        <v>78726030</v>
      </c>
      <c r="EF1301" t="n">
        <v>6</v>
      </c>
      <c r="EG1301" t="inlineStr">
        <is>
          <t>Ремонтно-строительные работы</t>
        </is>
      </c>
      <c r="EH1301" t="n">
        <v>101</v>
      </c>
      <c r="EI1301" t="inlineStr">
        <is>
          <t>Электромонтажные работы</t>
        </is>
      </c>
      <c r="EJ1301" t="n">
        <v>1</v>
      </c>
      <c r="EK1301" t="n">
        <v>67001</v>
      </c>
      <c r="EL1301" t="inlineStr">
        <is>
          <t>Электромонтажные работы</t>
        </is>
      </c>
      <c r="EM1301" t="inlineStr">
        <is>
          <t>рФЕР-67</t>
        </is>
      </c>
      <c r="EO1301" t="inlineStr"/>
      <c r="EQ1301" t="n">
        <v>0</v>
      </c>
      <c r="ER1301" t="n">
        <v>970.5700000000001</v>
      </c>
      <c r="ES1301" t="n">
        <v>852</v>
      </c>
      <c r="ET1301" t="n">
        <v>0</v>
      </c>
      <c r="EU1301" t="n">
        <v>0</v>
      </c>
      <c r="EV1301" t="n">
        <v>118.57</v>
      </c>
      <c r="EW1301" t="n">
        <v>13.9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91</v>
      </c>
      <c r="FY1301" t="n">
        <v>48</v>
      </c>
      <c r="GA1301" t="inlineStr"/>
      <c r="GD1301" t="n">
        <v>1</v>
      </c>
      <c r="GF1301" t="n">
        <v>1400342257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Пр/812-101.0-1</t>
        </is>
      </c>
      <c r="HO1301" t="inlineStr">
        <is>
          <t>Пр/774-101.0</t>
        </is>
      </c>
      <c r="HP1301" t="inlineStr">
        <is>
          <t>Электромонтажные работы</t>
        </is>
      </c>
      <c r="HQ1301" t="inlineStr">
        <is>
          <t>Электромонтажные работы</t>
        </is>
      </c>
      <c r="HS1301" t="n">
        <v>0</v>
      </c>
      <c r="IK1301" t="n">
        <v>0</v>
      </c>
    </row>
    <row r="1302">
      <c r="A1302" t="n">
        <v>18</v>
      </c>
      <c r="B1302" t="n">
        <v>0</v>
      </c>
      <c r="C1302" t="n">
        <v>637</v>
      </c>
      <c r="E1302" t="inlineStr">
        <is>
          <t>2,1</t>
        </is>
      </c>
      <c r="F1302" t="inlineStr">
        <is>
          <t>509-6744</t>
        </is>
      </c>
      <c r="G1302" t="inlineStr">
        <is>
          <t>Лампы люминесцентные компактные энергосберегающие с цоколем Е27 мощностью 55 Вт</t>
        </is>
      </c>
      <c r="H1302" t="inlineStr">
        <is>
          <t>шт.</t>
        </is>
      </c>
      <c r="I1302">
        <f>I1301*J1302</f>
        <v/>
      </c>
      <c r="J1302" t="n">
        <v>100</v>
      </c>
      <c r="K1302" t="n">
        <v>100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78869116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140.69</v>
      </c>
      <c r="AL1302" t="n">
        <v>140.69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0.02</v>
      </c>
      <c r="AT1302" t="n">
        <v>91</v>
      </c>
      <c r="AU1302" t="n">
        <v>48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1.69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509-6744, приказ Минстроя России №675/пр от 28.02.2017 № 258/пр</t>
        </is>
      </c>
      <c r="BM1302" t="n">
        <v>67001</v>
      </c>
      <c r="BN1302" t="n">
        <v>0</v>
      </c>
      <c r="BO1302" t="inlineStr">
        <is>
          <t>509-6744</t>
        </is>
      </c>
      <c r="BP1302" t="n">
        <v>1</v>
      </c>
      <c r="BQ1302" t="n">
        <v>6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91</v>
      </c>
      <c r="CA1302" t="n">
        <v>48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78726030</v>
      </c>
      <c r="EF1302" t="n">
        <v>6</v>
      </c>
      <c r="EG1302" t="inlineStr">
        <is>
          <t>Ремонтно-строительные работы</t>
        </is>
      </c>
      <c r="EH1302" t="n">
        <v>101</v>
      </c>
      <c r="EI1302" t="inlineStr">
        <is>
          <t>Электромонтажные работы</t>
        </is>
      </c>
      <c r="EJ1302" t="n">
        <v>1</v>
      </c>
      <c r="EK1302" t="n">
        <v>67001</v>
      </c>
      <c r="EL1302" t="inlineStr">
        <is>
          <t>Электромонтажные работы</t>
        </is>
      </c>
      <c r="EM1302" t="inlineStr">
        <is>
          <t>рФЕР-67</t>
        </is>
      </c>
      <c r="EO1302" t="inlineStr"/>
      <c r="EQ1302" t="n">
        <v>0</v>
      </c>
      <c r="ER1302" t="n">
        <v>140.69</v>
      </c>
      <c r="ES1302" t="n">
        <v>140.69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91</v>
      </c>
      <c r="FY1302" t="n">
        <v>48</v>
      </c>
      <c r="GA1302" t="inlineStr"/>
      <c r="GD1302" t="n">
        <v>1</v>
      </c>
      <c r="GF1302" t="n">
        <v>-228955380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Пр/812-101.0-1</t>
        </is>
      </c>
      <c r="HO1302" t="inlineStr">
        <is>
          <t>Пр/774-101.0</t>
        </is>
      </c>
      <c r="HP1302" t="inlineStr">
        <is>
          <t>Электромонтажные работы</t>
        </is>
      </c>
      <c r="HQ1302" t="inlineStr">
        <is>
          <t>Электромонтажные работы</t>
        </is>
      </c>
      <c r="HS1302" t="n">
        <v>0</v>
      </c>
      <c r="IK1302" t="n">
        <v>0</v>
      </c>
    </row>
    <row r="1303">
      <c r="A1303" t="n">
        <v>18</v>
      </c>
      <c r="B1303" t="n">
        <v>0</v>
      </c>
      <c r="C1303" t="n">
        <v>638</v>
      </c>
      <c r="E1303" t="inlineStr">
        <is>
          <t>2,2</t>
        </is>
      </c>
      <c r="F1303" t="inlineStr">
        <is>
          <t>509-8001</t>
        </is>
      </c>
      <c r="G1303" t="inlineStr">
        <is>
          <t>Патроны потолочные</t>
        </is>
      </c>
      <c r="H1303" t="inlineStr">
        <is>
          <t>шт.</t>
        </is>
      </c>
      <c r="I1303">
        <f>I1301*J1303</f>
        <v/>
      </c>
      <c r="J1303" t="n">
        <v>100</v>
      </c>
      <c r="K1303" t="n">
        <v>100</v>
      </c>
      <c r="O1303">
        <f>ROUND(CP1303,0)</f>
        <v/>
      </c>
      <c r="P1303">
        <f>ROUND(CQ1303*I1303,0)</f>
        <v/>
      </c>
      <c r="Q1303">
        <f>(ROUND((ROUND(((ET1303)*I1303),0)*BB1303),0)+ROUND((ROUND(((AE1303-(EU1303))*I1303),0)*BS1303),0))</f>
        <v/>
      </c>
      <c r="R1303">
        <f>(ROUND((ROUND(((EU1303)*I1303),0)*BS1303),0)+ROUND((ROUND(((AE1303-(EU1303))*I1303),0)*BS1303),0))</f>
        <v/>
      </c>
      <c r="S1303">
        <f>ROUND(CT1303*I1303,0)</f>
        <v/>
      </c>
      <c r="T1303">
        <f>ROUND(CU1303*I1303,0)</f>
        <v/>
      </c>
      <c r="U1303">
        <f>ROUND(CV1303*I1303,7)</f>
        <v/>
      </c>
      <c r="V1303">
        <f>ROUND(CW1303*I1303,7)</f>
        <v/>
      </c>
      <c r="W1303">
        <f>ROUND(CX1303*I1303,0)</f>
        <v/>
      </c>
      <c r="X1303">
        <f>ROUND(CY1303,0)</f>
        <v/>
      </c>
      <c r="Y1303">
        <f>ROUND(CZ1303,0)</f>
        <v/>
      </c>
      <c r="AA1303" t="n">
        <v>78869116</v>
      </c>
      <c r="AB1303">
        <f>ROUND((AC1303+AD1303+AF1303),2)</f>
        <v/>
      </c>
      <c r="AC1303">
        <f>ROUND((ES1303),2)</f>
        <v/>
      </c>
      <c r="AD1303">
        <f>ROUND((((ET1303)-(EU1303))+AE1303),2)</f>
        <v/>
      </c>
      <c r="AE1303">
        <f>ROUND((EU1303),2)</f>
        <v/>
      </c>
      <c r="AF1303">
        <f>ROUND((EV1303),2)</f>
        <v/>
      </c>
      <c r="AG1303">
        <f>ROUND((AP1303),2)</f>
        <v/>
      </c>
      <c r="AH1303">
        <f>(EW1303)</f>
        <v/>
      </c>
      <c r="AI1303">
        <f>(EX1303)</f>
        <v/>
      </c>
      <c r="AJ1303">
        <f>(AS1303)</f>
        <v/>
      </c>
      <c r="AK1303" t="n">
        <v>5.25</v>
      </c>
      <c r="AL1303" t="n">
        <v>5.25</v>
      </c>
      <c r="AM1303" t="n">
        <v>0</v>
      </c>
      <c r="AN1303" t="n">
        <v>0</v>
      </c>
      <c r="AO1303" t="n">
        <v>0</v>
      </c>
      <c r="AP1303" t="n">
        <v>0</v>
      </c>
      <c r="AQ1303" t="n">
        <v>0</v>
      </c>
      <c r="AR1303" t="n">
        <v>0</v>
      </c>
      <c r="AS1303" t="n">
        <v>0.01</v>
      </c>
      <c r="AT1303" t="n">
        <v>91</v>
      </c>
      <c r="AU1303" t="n">
        <v>48</v>
      </c>
      <c r="AV1303" t="n">
        <v>1</v>
      </c>
      <c r="AW1303" t="n">
        <v>1</v>
      </c>
      <c r="AZ1303" t="n">
        <v>1</v>
      </c>
      <c r="BA1303" t="n">
        <v>1</v>
      </c>
      <c r="BB1303" t="n">
        <v>1</v>
      </c>
      <c r="BC1303" t="n">
        <v>4.53</v>
      </c>
      <c r="BD1303" t="inlineStr"/>
      <c r="BE1303" t="inlineStr"/>
      <c r="BF1303" t="inlineStr"/>
      <c r="BG1303" t="inlineStr"/>
      <c r="BH1303" t="n">
        <v>3</v>
      </c>
      <c r="BI1303" t="n">
        <v>1</v>
      </c>
      <c r="BJ1303" t="inlineStr">
        <is>
          <t>ТССЦ Московской обл., 509-8001, приказ Минстроя России №675/пр от 28.02.2017 № 258/пр</t>
        </is>
      </c>
      <c r="BM1303" t="n">
        <v>67001</v>
      </c>
      <c r="BN1303" t="n">
        <v>0</v>
      </c>
      <c r="BO1303" t="inlineStr">
        <is>
          <t>509-8001</t>
        </is>
      </c>
      <c r="BP1303" t="n">
        <v>1</v>
      </c>
      <c r="BQ1303" t="n">
        <v>6</v>
      </c>
      <c r="BR1303" t="n">
        <v>0</v>
      </c>
      <c r="BS1303" t="n">
        <v>1</v>
      </c>
      <c r="BT1303" t="n">
        <v>1</v>
      </c>
      <c r="BU1303" t="n">
        <v>1</v>
      </c>
      <c r="BV1303" t="n">
        <v>1</v>
      </c>
      <c r="BW1303" t="n">
        <v>1</v>
      </c>
      <c r="BX1303" t="n">
        <v>1</v>
      </c>
      <c r="BY1303" t="inlineStr"/>
      <c r="BZ1303" t="n">
        <v>91</v>
      </c>
      <c r="CA1303" t="n">
        <v>48</v>
      </c>
      <c r="CB1303" t="inlineStr"/>
      <c r="CE1303" t="n">
        <v>12</v>
      </c>
      <c r="CF1303" t="n">
        <v>0</v>
      </c>
      <c r="CG1303" t="n">
        <v>0</v>
      </c>
      <c r="CM1303" t="n">
        <v>0</v>
      </c>
      <c r="CN1303" t="inlineStr"/>
      <c r="CO1303" t="n">
        <v>0</v>
      </c>
      <c r="CP1303">
        <f>(P1303+Q1303+S1303)</f>
        <v/>
      </c>
      <c r="CQ1303">
        <f>AC1303*BC1303</f>
        <v/>
      </c>
      <c r="CR1303">
        <f>(ROUND((ROUND(((ET1303)*1),0)*BB1303),0)+ROUND((ROUND(((AE1303-(EU1303))*1),0)*BS1303),0))</f>
        <v/>
      </c>
      <c r="CS1303">
        <f>(ROUND((ROUND(((EU1303)*1),0)*BS1303),0)+ROUND((ROUND(((AE1303-(EU1303))*1),0)*BS1303),0))</f>
        <v/>
      </c>
      <c r="CT1303">
        <f>AF1303*BA1303</f>
        <v/>
      </c>
      <c r="CU1303">
        <f>AG1303</f>
        <v/>
      </c>
      <c r="CV1303">
        <f>AH1303</f>
        <v/>
      </c>
      <c r="CW1303">
        <f>AI1303</f>
        <v/>
      </c>
      <c r="CX1303">
        <f>AJ1303</f>
        <v/>
      </c>
      <c r="CY1303">
        <f>(((S1303+R1303)*AT1303)/100)</f>
        <v/>
      </c>
      <c r="CZ1303">
        <f>(((S1303+R1303)*AU1303)/100)</f>
        <v/>
      </c>
      <c r="DC1303" t="inlineStr"/>
      <c r="DD1303" t="inlineStr"/>
      <c r="DE1303" t="inlineStr"/>
      <c r="DF1303" t="inlineStr"/>
      <c r="DG1303" t="inlineStr"/>
      <c r="DH1303" t="inlineStr"/>
      <c r="DI1303" t="inlineStr"/>
      <c r="DJ1303" t="inlineStr"/>
      <c r="DK1303" t="inlineStr"/>
      <c r="DL1303" t="inlineStr"/>
      <c r="DM1303" t="inlineStr"/>
      <c r="DN1303" t="n">
        <v>0</v>
      </c>
      <c r="DO1303" t="n">
        <v>0</v>
      </c>
      <c r="DP1303" t="n">
        <v>1</v>
      </c>
      <c r="DQ1303" t="n">
        <v>1</v>
      </c>
      <c r="DU1303" t="n">
        <v>1010</v>
      </c>
      <c r="DV1303" t="inlineStr">
        <is>
          <t>шт.</t>
        </is>
      </c>
      <c r="DW1303" t="inlineStr">
        <is>
          <t>шт.</t>
        </is>
      </c>
      <c r="DX1303" t="n">
        <v>1</v>
      </c>
      <c r="DZ1303" t="inlineStr"/>
      <c r="EA1303" t="inlineStr"/>
      <c r="EB1303" t="inlineStr"/>
      <c r="EC1303" t="inlineStr"/>
      <c r="EE1303" t="n">
        <v>78726030</v>
      </c>
      <c r="EF1303" t="n">
        <v>6</v>
      </c>
      <c r="EG1303" t="inlineStr">
        <is>
          <t>Ремонтно-строительные работы</t>
        </is>
      </c>
      <c r="EH1303" t="n">
        <v>101</v>
      </c>
      <c r="EI1303" t="inlineStr">
        <is>
          <t>Электромонтажные работы</t>
        </is>
      </c>
      <c r="EJ1303" t="n">
        <v>1</v>
      </c>
      <c r="EK1303" t="n">
        <v>67001</v>
      </c>
      <c r="EL1303" t="inlineStr">
        <is>
          <t>Электромонтажные работы</t>
        </is>
      </c>
      <c r="EM1303" t="inlineStr">
        <is>
          <t>рФЕР-67</t>
        </is>
      </c>
      <c r="EO1303" t="inlineStr"/>
      <c r="EQ1303" t="n">
        <v>0</v>
      </c>
      <c r="ER1303" t="n">
        <v>5.25</v>
      </c>
      <c r="ES1303" t="n">
        <v>5.25</v>
      </c>
      <c r="ET1303" t="n">
        <v>0</v>
      </c>
      <c r="EU1303" t="n">
        <v>0</v>
      </c>
      <c r="EV1303" t="n">
        <v>0</v>
      </c>
      <c r="EW1303" t="n">
        <v>0</v>
      </c>
      <c r="EX1303" t="n">
        <v>0</v>
      </c>
      <c r="FQ1303" t="n">
        <v>0</v>
      </c>
      <c r="FR1303" t="n">
        <v>0</v>
      </c>
      <c r="FS1303" t="n">
        <v>0</v>
      </c>
      <c r="FX1303" t="n">
        <v>91</v>
      </c>
      <c r="FY1303" t="n">
        <v>48</v>
      </c>
      <c r="GA1303" t="inlineStr"/>
      <c r="GD1303" t="n">
        <v>1</v>
      </c>
      <c r="GF1303" t="n">
        <v>46131977</v>
      </c>
      <c r="GG1303" t="n">
        <v>2</v>
      </c>
      <c r="GH1303" t="n">
        <v>1</v>
      </c>
      <c r="GI1303" t="n">
        <v>2</v>
      </c>
      <c r="GJ1303" t="n">
        <v>0</v>
      </c>
      <c r="GK1303" t="n">
        <v>0</v>
      </c>
      <c r="GL1303">
        <f>ROUND(IF(AND(BH1303=3,BI1303=3,FS1303&lt;&gt;0),P1303,0),0)</f>
        <v/>
      </c>
      <c r="GM1303">
        <f>ROUND(O1303+X1303+Y1303,0)+GX1303</f>
        <v/>
      </c>
      <c r="GN1303">
        <f>IF(OR(BI1303=0,BI1303=1),GM1303-GX1303,0)</f>
        <v/>
      </c>
      <c r="GO1303">
        <f>IF(BI1303=2,GM1303-GX1303,0)</f>
        <v/>
      </c>
      <c r="GP1303">
        <f>IF(BI1303=4,GM1303-GX1303,0)</f>
        <v/>
      </c>
      <c r="GR1303" t="n">
        <v>0</v>
      </c>
      <c r="GS1303" t="n">
        <v>3</v>
      </c>
      <c r="GT1303" t="n">
        <v>0</v>
      </c>
      <c r="GU1303" t="inlineStr"/>
      <c r="GV1303">
        <f>ROUND((GT1303),2)</f>
        <v/>
      </c>
      <c r="GW1303" t="n">
        <v>1</v>
      </c>
      <c r="GX1303">
        <f>ROUND(HC1303*I1303,0)</f>
        <v/>
      </c>
      <c r="HA1303" t="n">
        <v>0</v>
      </c>
      <c r="HB1303" t="n">
        <v>0</v>
      </c>
      <c r="HC1303">
        <f>GV1303*GW1303</f>
        <v/>
      </c>
      <c r="HE1303" t="inlineStr"/>
      <c r="HF1303" t="inlineStr"/>
      <c r="HM1303" t="inlineStr"/>
      <c r="HN1303" t="inlineStr">
        <is>
          <t>Пр/812-101.0-1</t>
        </is>
      </c>
      <c r="HO1303" t="inlineStr">
        <is>
          <t>Пр/774-101.0</t>
        </is>
      </c>
      <c r="HP1303" t="inlineStr">
        <is>
          <t>Электромонтажные работы</t>
        </is>
      </c>
      <c r="HQ1303" t="inlineStr">
        <is>
          <t>Электромонтажные работы</t>
        </is>
      </c>
      <c r="HS1303" t="n">
        <v>0</v>
      </c>
      <c r="IK1303" t="n">
        <v>0</v>
      </c>
    </row>
    <row r="1304">
      <c r="A1304" t="n">
        <v>17</v>
      </c>
      <c r="B1304" t="n">
        <v>0</v>
      </c>
      <c r="C1304">
        <f>ROW(SmtRes!A644)</f>
        <v/>
      </c>
      <c r="D1304">
        <f>ROW(EtalonRes!A592)</f>
        <v/>
      </c>
      <c r="E1304" t="inlineStr">
        <is>
          <t>3</t>
        </is>
      </c>
      <c r="F1304" t="inlineStr">
        <is>
          <t>16-07-005-1</t>
        </is>
      </c>
      <c r="G1304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04" t="inlineStr">
        <is>
          <t>100 м трубопровода</t>
        </is>
      </c>
      <c r="I1304">
        <f>ROUND(ROUND(90/100,4),7)</f>
        <v/>
      </c>
      <c r="J1304" t="n">
        <v>0</v>
      </c>
      <c r="K1304">
        <f>ROUND(ROUND(90/100,4),7)</f>
        <v/>
      </c>
      <c r="O1304">
        <f>ROUND(CP1304,0)</f>
        <v/>
      </c>
      <c r="P1304">
        <f>ROUND(CQ1304*I1304,0)</f>
        <v/>
      </c>
      <c r="Q1304">
        <f>(ROUND((ROUND((((ET1304*ROUND(10,7)))*I1304),0)*BB1304),0)+ROUND((ROUND(((AE1304-((EU1304*ROUND(10,7))))*I1304),0)*BS1304),0))</f>
        <v/>
      </c>
      <c r="R1304">
        <f>(ROUND((ROUND((((EU1304*ROUND(10,7)))*I1304),0)*BS1304),0)+ROUND((ROUND(((AE1304-((EU1304*ROUND(10,7))))*I1304),0)*BS1304),0))</f>
        <v/>
      </c>
      <c r="S1304">
        <f>ROUND(CT1304*I1304,0)</f>
        <v/>
      </c>
      <c r="T1304">
        <f>ROUND(CU1304*I1304,0)</f>
        <v/>
      </c>
      <c r="U1304">
        <f>ROUND(CV1304*I1304,7)</f>
        <v/>
      </c>
      <c r="V1304">
        <f>ROUND(CW1304*I1304,7)</f>
        <v/>
      </c>
      <c r="W1304">
        <f>ROUND(CX1304*I1304,0)</f>
        <v/>
      </c>
      <c r="X1304">
        <f>ROUND(CY1304,0)</f>
        <v/>
      </c>
      <c r="Y1304">
        <f>ROUND(CZ1304,0)</f>
        <v/>
      </c>
      <c r="AA1304" t="n">
        <v>78869116</v>
      </c>
      <c r="AB1304">
        <f>ROUND((AC1304+AD1304+AF1304),2)</f>
        <v/>
      </c>
      <c r="AC1304">
        <f>ROUND(((ES1304*ROUND(10,7))),2)</f>
        <v/>
      </c>
      <c r="AD1304">
        <f>ROUND(((((ET1304*ROUND(10,7)))-((EU1304*ROUND(10,7))))+AE1304),2)</f>
        <v/>
      </c>
      <c r="AE1304">
        <f>ROUND(((EU1304*ROUND(10,7))),2)</f>
        <v/>
      </c>
      <c r="AF1304">
        <f>ROUND(((EV1304*ROUND(10,7))),2)</f>
        <v/>
      </c>
      <c r="AG1304">
        <f>ROUND((AP1304),2)</f>
        <v/>
      </c>
      <c r="AH1304">
        <f>((EW1304*ROUND(10,7)))</f>
        <v/>
      </c>
      <c r="AI1304">
        <f>((EX1304*ROUND(10,7)))</f>
        <v/>
      </c>
      <c r="AJ1304">
        <f>(AS1304)</f>
        <v/>
      </c>
      <c r="AK1304" t="n">
        <v>107.11</v>
      </c>
      <c r="AL1304" t="n">
        <v>4.28</v>
      </c>
      <c r="AM1304" t="n">
        <v>44.51</v>
      </c>
      <c r="AN1304" t="n">
        <v>0</v>
      </c>
      <c r="AO1304" t="n">
        <v>58.32</v>
      </c>
      <c r="AP1304" t="n">
        <v>0</v>
      </c>
      <c r="AQ1304" t="n">
        <v>5.01</v>
      </c>
      <c r="AR1304" t="n">
        <v>0</v>
      </c>
      <c r="AS1304" t="n">
        <v>0</v>
      </c>
      <c r="AT1304" t="n">
        <v>121</v>
      </c>
      <c r="AU1304" t="n">
        <v>72</v>
      </c>
      <c r="AV1304" t="n">
        <v>1</v>
      </c>
      <c r="AW1304" t="n">
        <v>1</v>
      </c>
      <c r="AZ1304" t="n">
        <v>1</v>
      </c>
      <c r="BA1304" t="n">
        <v>52.25</v>
      </c>
      <c r="BB1304" t="n">
        <v>5.97</v>
      </c>
      <c r="BC1304" t="n">
        <v>11.38</v>
      </c>
      <c r="BD1304" t="inlineStr"/>
      <c r="BE1304" t="inlineStr"/>
      <c r="BF1304" t="inlineStr"/>
      <c r="BG1304" t="inlineStr"/>
      <c r="BH1304" t="n">
        <v>0</v>
      </c>
      <c r="BI1304" t="n">
        <v>1</v>
      </c>
      <c r="BJ1304" t="inlineStr">
        <is>
          <t>ТЕР Московской обл., 16-07-005-1, приказ Минстроя России №675/пр от 28.02.2017 № 260/пр</t>
        </is>
      </c>
      <c r="BM1304" t="n">
        <v>16001</v>
      </c>
      <c r="BN1304" t="n">
        <v>0</v>
      </c>
      <c r="BO1304" t="inlineStr">
        <is>
          <t>16-07-005-1</t>
        </is>
      </c>
      <c r="BP1304" t="n">
        <v>1</v>
      </c>
      <c r="BQ1304" t="n">
        <v>2</v>
      </c>
      <c r="BR1304" t="n">
        <v>0</v>
      </c>
      <c r="BS1304" t="n">
        <v>52.25</v>
      </c>
      <c r="BT1304" t="n">
        <v>1</v>
      </c>
      <c r="BU1304" t="n">
        <v>1</v>
      </c>
      <c r="BV1304" t="n">
        <v>1</v>
      </c>
      <c r="BW1304" t="n">
        <v>1</v>
      </c>
      <c r="BX1304" t="n">
        <v>1</v>
      </c>
      <c r="BY1304" t="inlineStr"/>
      <c r="BZ1304" t="n">
        <v>121</v>
      </c>
      <c r="CA1304" t="n">
        <v>72</v>
      </c>
      <c r="CB1304" t="inlineStr"/>
      <c r="CE1304" t="n">
        <v>12</v>
      </c>
      <c r="CF1304" t="n">
        <v>0</v>
      </c>
      <c r="CG1304" t="n">
        <v>0</v>
      </c>
      <c r="CM1304" t="n">
        <v>0</v>
      </c>
      <c r="CN1304" t="inlineStr"/>
      <c r="CO1304" t="n">
        <v>0</v>
      </c>
      <c r="CP1304">
        <f>(P1304+Q1304+S1304)</f>
        <v/>
      </c>
      <c r="CQ1304">
        <f>AC1304*BC1304</f>
        <v/>
      </c>
      <c r="CR1304">
        <f>(ROUND((ROUND((((ET1304*ROUND(10,7)))*1),0)*BB1304),0)+ROUND((ROUND(((AE1304-((EU1304*ROUND(10,7))))*1),0)*BS1304),0))</f>
        <v/>
      </c>
      <c r="CS1304">
        <f>(ROUND((ROUND((((EU1304*ROUND(10,7)))*1),0)*BS1304),0)+ROUND((ROUND(((AE1304-((EU1304*ROUND(10,7))))*1),0)*BS1304),0))</f>
        <v/>
      </c>
      <c r="CT1304">
        <f>AF1304*BA1304</f>
        <v/>
      </c>
      <c r="CU1304">
        <f>AG1304</f>
        <v/>
      </c>
      <c r="CV1304">
        <f>AH1304</f>
        <v/>
      </c>
      <c r="CW1304">
        <f>AI1304</f>
        <v/>
      </c>
      <c r="CX1304">
        <f>AJ1304</f>
        <v/>
      </c>
      <c r="CY1304">
        <f>(((S1304+R1304)*AT1304)/100)</f>
        <v/>
      </c>
      <c r="CZ1304">
        <f>(((S1304+R1304)*AU1304)/100)</f>
        <v/>
      </c>
      <c r="DC1304" t="inlineStr"/>
      <c r="DD1304" t="inlineStr">
        <is>
          <t>)*10</t>
        </is>
      </c>
      <c r="DE1304" t="inlineStr">
        <is>
          <t>)*10</t>
        </is>
      </c>
      <c r="DF1304" t="inlineStr">
        <is>
          <t>)*10</t>
        </is>
      </c>
      <c r="DG1304" t="inlineStr">
        <is>
          <t>)*10</t>
        </is>
      </c>
      <c r="DH1304" t="inlineStr"/>
      <c r="DI1304" t="inlineStr">
        <is>
          <t>)*10</t>
        </is>
      </c>
      <c r="DJ1304" t="inlineStr">
        <is>
          <t>)*10</t>
        </is>
      </c>
      <c r="DK1304" t="inlineStr"/>
      <c r="DL1304" t="inlineStr"/>
      <c r="DM1304" t="inlineStr"/>
      <c r="DN1304" t="n">
        <v>0</v>
      </c>
      <c r="DO1304" t="n">
        <v>0</v>
      </c>
      <c r="DP1304" t="n">
        <v>1</v>
      </c>
      <c r="DQ1304" t="n">
        <v>1</v>
      </c>
      <c r="DU1304" t="n">
        <v>1013</v>
      </c>
      <c r="DV1304" t="inlineStr">
        <is>
          <t>100 м трубопровода</t>
        </is>
      </c>
      <c r="DW1304" t="inlineStr">
        <is>
          <t>100 м трубопровода</t>
        </is>
      </c>
      <c r="DX1304" t="n">
        <v>1</v>
      </c>
      <c r="DZ1304" t="inlineStr"/>
      <c r="EA1304" t="inlineStr"/>
      <c r="EB1304" t="inlineStr"/>
      <c r="EC1304" t="inlineStr"/>
      <c r="EE1304" t="n">
        <v>78725882</v>
      </c>
      <c r="EF1304" t="n">
        <v>2</v>
      </c>
      <c r="EG1304" t="inlineStr">
        <is>
          <t>Общестроительные работы</t>
        </is>
      </c>
      <c r="EH1304" t="n">
        <v>16</v>
      </c>
      <c r="EI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04" t="n">
        <v>1</v>
      </c>
      <c r="EK1304" t="n">
        <v>16001</v>
      </c>
      <c r="EL1304" t="inlineStr">
        <is>
          <t>Трубопроводы внутренние</t>
        </is>
      </c>
      <c r="EM1304" t="inlineStr">
        <is>
          <t>ФЕР-16</t>
        </is>
      </c>
      <c r="EO1304" t="inlineStr"/>
      <c r="EQ1304" t="n">
        <v>0</v>
      </c>
      <c r="ER1304" t="n">
        <v>107.11</v>
      </c>
      <c r="ES1304" t="n">
        <v>4.28</v>
      </c>
      <c r="ET1304" t="n">
        <v>44.51</v>
      </c>
      <c r="EU1304" t="n">
        <v>0</v>
      </c>
      <c r="EV1304" t="n">
        <v>58.32</v>
      </c>
      <c r="EW1304" t="n">
        <v>5.01</v>
      </c>
      <c r="EX1304" t="n">
        <v>0</v>
      </c>
      <c r="EY1304" t="n">
        <v>0</v>
      </c>
      <c r="FQ1304" t="n">
        <v>0</v>
      </c>
      <c r="FR1304" t="n">
        <v>0</v>
      </c>
      <c r="FS1304" t="n">
        <v>0</v>
      </c>
      <c r="FX1304" t="n">
        <v>121</v>
      </c>
      <c r="FY1304" t="n">
        <v>72</v>
      </c>
      <c r="GA1304" t="inlineStr"/>
      <c r="GD1304" t="n">
        <v>1</v>
      </c>
      <c r="GF1304" t="n">
        <v>635989612</v>
      </c>
      <c r="GG1304" t="n">
        <v>2</v>
      </c>
      <c r="GH1304" t="n">
        <v>1</v>
      </c>
      <c r="GI1304" t="n">
        <v>2</v>
      </c>
      <c r="GJ1304" t="n">
        <v>0</v>
      </c>
      <c r="GK1304" t="n">
        <v>0</v>
      </c>
      <c r="GL1304">
        <f>ROUND(IF(AND(BH1304=3,BI1304=3,FS1304&lt;&gt;0),P1304,0),0)</f>
        <v/>
      </c>
      <c r="GM1304">
        <f>ROUND(O1304+X1304+Y1304,0)+GX1304</f>
        <v/>
      </c>
      <c r="GN1304">
        <f>IF(OR(BI1304=0,BI1304=1),GM1304-GX1304,0)</f>
        <v/>
      </c>
      <c r="GO1304">
        <f>IF(BI1304=2,GM1304-GX1304,0)</f>
        <v/>
      </c>
      <c r="GP1304">
        <f>IF(BI1304=4,GM1304-GX1304,0)</f>
        <v/>
      </c>
      <c r="GR1304" t="n">
        <v>0</v>
      </c>
      <c r="GS1304" t="n">
        <v>3</v>
      </c>
      <c r="GT1304" t="n">
        <v>0</v>
      </c>
      <c r="GU1304" t="inlineStr"/>
      <c r="GV1304">
        <f>ROUND((GT1304),2)</f>
        <v/>
      </c>
      <c r="GW1304" t="n">
        <v>1</v>
      </c>
      <c r="GX1304">
        <f>ROUND(HC1304*I1304,0)</f>
        <v/>
      </c>
      <c r="HA1304" t="n">
        <v>0</v>
      </c>
      <c r="HB1304" t="n">
        <v>0</v>
      </c>
      <c r="HC1304">
        <f>GV1304*GW1304</f>
        <v/>
      </c>
      <c r="HE1304" t="inlineStr"/>
      <c r="HF1304" t="inlineStr"/>
      <c r="HM1304" t="inlineStr"/>
      <c r="HN1304" t="inlineStr">
        <is>
          <t>Пр/812-016.0-1</t>
        </is>
      </c>
      <c r="HO1304" t="inlineStr">
        <is>
          <t>Пр/774-016.0</t>
        </is>
      </c>
      <c r="HP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04" t="n">
        <v>0</v>
      </c>
      <c r="IK1304" t="n">
        <v>0</v>
      </c>
    </row>
    <row r="1305"/>
    <row r="1306">
      <c r="A1306" s="402" t="n">
        <v>51</v>
      </c>
      <c r="B1306" s="402">
        <f>B1296</f>
        <v/>
      </c>
      <c r="C1306" s="402">
        <f>A1296</f>
        <v/>
      </c>
      <c r="D1306" s="402">
        <f>ROW(A1296)</f>
        <v/>
      </c>
      <c r="E1306" s="402" t="n"/>
      <c r="F1306" s="402">
        <f>IF(F1296&lt;&gt;"",F1296,"")</f>
        <v/>
      </c>
      <c r="G1306" s="402">
        <f>IF(G1296&lt;&gt;"",G1296,"")</f>
        <v/>
      </c>
      <c r="H1306" s="402" t="n">
        <v>0</v>
      </c>
      <c r="I1306" s="402" t="n"/>
      <c r="J1306" s="402" t="n"/>
      <c r="K1306" s="402" t="n"/>
      <c r="L1306" s="402" t="n"/>
      <c r="M1306" s="402" t="n"/>
      <c r="N1306" s="402" t="n"/>
      <c r="O1306" s="402" t="n">
        <v>0</v>
      </c>
      <c r="P1306" s="402" t="n">
        <v>0</v>
      </c>
      <c r="Q1306" s="402" t="n">
        <v>0</v>
      </c>
      <c r="R1306" s="402" t="n">
        <v>0</v>
      </c>
      <c r="S1306" s="402" t="n">
        <v>0</v>
      </c>
      <c r="T1306" s="402" t="n">
        <v>0</v>
      </c>
      <c r="U1306" s="402" t="n">
        <v>0</v>
      </c>
      <c r="V1306" s="402" t="n">
        <v>0</v>
      </c>
      <c r="W1306" s="402" t="n">
        <v>0</v>
      </c>
      <c r="X1306" s="402" t="n">
        <v>0</v>
      </c>
      <c r="Y1306" s="402" t="n">
        <v>0</v>
      </c>
      <c r="Z1306" s="402" t="n"/>
      <c r="AA1306" s="402" t="n"/>
      <c r="AB1306" s="402" t="n"/>
      <c r="AC1306" s="402" t="n"/>
      <c r="AD1306" s="402" t="n"/>
      <c r="AE1306" s="402" t="n"/>
      <c r="AF1306" s="402" t="n"/>
      <c r="AG1306" s="402" t="n"/>
      <c r="AH1306" s="402" t="n"/>
      <c r="AI1306" s="402" t="n"/>
      <c r="AJ1306" s="402" t="n"/>
      <c r="AK1306" s="402" t="n"/>
      <c r="AL1306" s="402" t="n"/>
      <c r="AM1306" s="402" t="n"/>
      <c r="AN1306" s="402" t="n"/>
      <c r="AO1306" s="402">
        <f>ROUND(BX1306,0)</f>
        <v/>
      </c>
      <c r="AP1306" s="402">
        <f>ROUND(BY1306,0)</f>
        <v/>
      </c>
      <c r="AQ1306" s="402">
        <f>ROUND(BZ1306,0)</f>
        <v/>
      </c>
      <c r="AR1306" s="402">
        <f>ROUND(CA1306,0)</f>
        <v/>
      </c>
      <c r="AS1306" s="402">
        <f>ROUND(CB1306,0)</f>
        <v/>
      </c>
      <c r="AT1306" s="402">
        <f>ROUND(CC1306,0)</f>
        <v/>
      </c>
      <c r="AU1306" s="402">
        <f>ROUND(CD1306,0)</f>
        <v/>
      </c>
      <c r="AV1306" s="402">
        <f>ROUND(CE1306,0)</f>
        <v/>
      </c>
      <c r="AW1306" s="402">
        <f>ROUND(CF1306,0)</f>
        <v/>
      </c>
      <c r="AX1306" s="402">
        <f>ROUND(CG1306,0)</f>
        <v/>
      </c>
      <c r="AY1306" s="402">
        <f>ROUND(CH1306,0)</f>
        <v/>
      </c>
      <c r="AZ1306" s="402">
        <f>ROUND(CI1306,0)</f>
        <v/>
      </c>
      <c r="BA1306" s="402">
        <f>ROUND(CJ1306,0)</f>
        <v/>
      </c>
      <c r="BB1306" s="402">
        <f>ROUND(CK1306,0)</f>
        <v/>
      </c>
      <c r="BC1306" s="402">
        <f>ROUND(CL1306,0)</f>
        <v/>
      </c>
      <c r="BD1306" s="402">
        <f>ROUND(CM1306,0)</f>
        <v/>
      </c>
      <c r="BE1306" s="402" t="n"/>
      <c r="BF1306" s="402" t="n"/>
      <c r="BG1306" s="402" t="n"/>
      <c r="BH1306" s="402" t="n"/>
      <c r="BI1306" s="402" t="n"/>
      <c r="BJ1306" s="402" t="n"/>
      <c r="BK1306" s="402" t="n"/>
      <c r="BL1306" s="402" t="n"/>
      <c r="BM1306" s="402" t="n"/>
      <c r="BN1306" s="402" t="n"/>
      <c r="BO1306" s="402" t="n"/>
      <c r="BP1306" s="402" t="n"/>
      <c r="BQ1306" s="402" t="n"/>
      <c r="BR1306" s="402" t="n"/>
      <c r="BS1306" s="402" t="n"/>
      <c r="BT1306" s="402" t="n"/>
      <c r="BU1306" s="402" t="n"/>
      <c r="BV1306" s="402" t="n"/>
      <c r="BW1306" s="402" t="n"/>
      <c r="BX1306" s="402" t="n"/>
      <c r="BY1306" s="402" t="n"/>
      <c r="BZ1306" s="402" t="n"/>
      <c r="CA1306" s="402" t="n"/>
      <c r="CB1306" s="402" t="n"/>
      <c r="CC1306" s="402" t="n"/>
      <c r="CD1306" s="402" t="n"/>
      <c r="CE1306" s="402" t="n"/>
      <c r="CF1306" s="402" t="n"/>
      <c r="CG1306" s="402" t="n"/>
      <c r="CH1306" s="402" t="n"/>
      <c r="CI1306" s="402" t="n"/>
      <c r="CJ1306" s="402" t="n"/>
      <c r="CK1306" s="402" t="n"/>
      <c r="CL1306" s="402" t="n"/>
      <c r="CM1306" s="402" t="n"/>
      <c r="CN1306" s="402" t="n"/>
      <c r="CO1306" s="402" t="n"/>
      <c r="CP1306" s="402" t="n"/>
      <c r="CQ1306" s="402" t="n"/>
      <c r="CR1306" s="402" t="n"/>
      <c r="CS1306" s="402" t="n"/>
      <c r="CT1306" s="402" t="n"/>
      <c r="CU1306" s="402" t="n"/>
      <c r="CV1306" s="402" t="n"/>
      <c r="CW1306" s="402" t="n"/>
      <c r="CX1306" s="402" t="n"/>
      <c r="CY1306" s="402" t="n"/>
      <c r="CZ1306" s="402" t="n"/>
      <c r="DA1306" s="402" t="n"/>
      <c r="DB1306" s="402" t="n"/>
      <c r="DC1306" s="402" t="n"/>
      <c r="DD1306" s="402" t="n"/>
      <c r="DE1306" s="402" t="n"/>
      <c r="DF1306" s="402" t="n"/>
      <c r="DG1306" s="403" t="n"/>
      <c r="DH1306" s="403" t="n"/>
      <c r="DI1306" s="403" t="n"/>
      <c r="DJ1306" s="403" t="n"/>
      <c r="DK1306" s="403" t="n"/>
      <c r="DL1306" s="403" t="n"/>
      <c r="DM1306" s="403" t="n"/>
      <c r="DN1306" s="403" t="n"/>
      <c r="DO1306" s="403" t="n"/>
      <c r="DP1306" s="403" t="n"/>
      <c r="DQ1306" s="403" t="n"/>
      <c r="DR1306" s="403" t="n"/>
      <c r="DS1306" s="403" t="n"/>
      <c r="DT1306" s="403" t="n"/>
      <c r="DU1306" s="403" t="n"/>
      <c r="DV1306" s="403" t="n"/>
      <c r="DW1306" s="403" t="n"/>
      <c r="DX1306" s="403" t="n"/>
      <c r="DY1306" s="403" t="n"/>
      <c r="DZ1306" s="403" t="n"/>
      <c r="EA1306" s="403" t="n"/>
      <c r="EB1306" s="403" t="n"/>
      <c r="EC1306" s="403" t="n"/>
      <c r="ED1306" s="403" t="n"/>
      <c r="EE1306" s="403" t="n"/>
      <c r="EF1306" s="403" t="n"/>
      <c r="EG1306" s="403" t="n"/>
      <c r="EH1306" s="403" t="n"/>
      <c r="EI1306" s="403" t="n"/>
      <c r="EJ1306" s="403" t="n"/>
      <c r="EK1306" s="403" t="n"/>
      <c r="EL1306" s="403" t="n"/>
      <c r="EM1306" s="403" t="n"/>
      <c r="EN1306" s="403" t="n"/>
      <c r="EO1306" s="403" t="n"/>
      <c r="EP1306" s="403" t="n"/>
      <c r="EQ1306" s="403" t="n"/>
      <c r="ER1306" s="403" t="n"/>
      <c r="ES1306" s="403" t="n"/>
      <c r="ET1306" s="403" t="n"/>
      <c r="EU1306" s="403" t="n"/>
      <c r="EV1306" s="403" t="n"/>
      <c r="EW1306" s="403" t="n"/>
      <c r="EX1306" s="403" t="n"/>
      <c r="EY1306" s="403" t="n"/>
      <c r="EZ1306" s="403" t="n"/>
      <c r="FA1306" s="403" t="n"/>
      <c r="FB1306" s="403" t="n"/>
      <c r="FC1306" s="403" t="n"/>
      <c r="FD1306" s="403" t="n"/>
      <c r="FE1306" s="403" t="n"/>
      <c r="FF1306" s="403" t="n"/>
      <c r="FG1306" s="403" t="n"/>
      <c r="FH1306" s="403" t="n"/>
      <c r="FI1306" s="403" t="n"/>
      <c r="FJ1306" s="403" t="n"/>
      <c r="FK1306" s="403" t="n"/>
      <c r="FL1306" s="403" t="n"/>
      <c r="FM1306" s="403" t="n"/>
      <c r="FN1306" s="403" t="n"/>
      <c r="FO1306" s="403" t="n"/>
      <c r="FP1306" s="403" t="n"/>
      <c r="FQ1306" s="403" t="n"/>
      <c r="FR1306" s="403" t="n"/>
      <c r="FS1306" s="403" t="n"/>
      <c r="FT1306" s="403" t="n"/>
      <c r="FU1306" s="403" t="n"/>
      <c r="FV1306" s="403" t="n"/>
      <c r="FW1306" s="403" t="n"/>
      <c r="FX1306" s="403" t="n"/>
      <c r="FY1306" s="403" t="n"/>
      <c r="FZ1306" s="403" t="n"/>
      <c r="GA1306" s="403" t="n"/>
      <c r="GB1306" s="403" t="n"/>
      <c r="GC1306" s="403" t="n"/>
      <c r="GD1306" s="403" t="n"/>
      <c r="GE1306" s="403" t="n"/>
      <c r="GF1306" s="403" t="n"/>
      <c r="GG1306" s="403" t="n"/>
      <c r="GH1306" s="403" t="n"/>
      <c r="GI1306" s="403" t="n"/>
      <c r="GJ1306" s="403" t="n"/>
      <c r="GK1306" s="403" t="n"/>
      <c r="GL1306" s="403" t="n"/>
      <c r="GM1306" s="403" t="n"/>
      <c r="GN1306" s="403" t="n"/>
      <c r="GO1306" s="403" t="n"/>
      <c r="GP1306" s="403" t="n"/>
      <c r="GQ1306" s="403" t="n"/>
      <c r="GR1306" s="403" t="n"/>
      <c r="GS1306" s="403" t="n"/>
      <c r="GT1306" s="403" t="n"/>
      <c r="GU1306" s="403" t="n"/>
      <c r="GV1306" s="403" t="n"/>
      <c r="GW1306" s="403" t="n"/>
      <c r="GX1306" s="403" t="n">
        <v>0</v>
      </c>
    </row>
    <row r="1307"/>
    <row r="1308">
      <c r="A1308" s="404" t="n">
        <v>50</v>
      </c>
      <c r="B1308" s="404" t="n">
        <v>0</v>
      </c>
      <c r="C1308" s="404" t="n">
        <v>0</v>
      </c>
      <c r="D1308" s="404" t="n">
        <v>1</v>
      </c>
      <c r="E1308" s="404" t="n">
        <v>201</v>
      </c>
      <c r="F1308" s="404">
        <f>ROUND(Source!O1306,O1308)</f>
        <v/>
      </c>
      <c r="G1308" s="404" t="inlineStr">
        <is>
          <t>ПЗ</t>
        </is>
      </c>
      <c r="H1308" s="404" t="inlineStr">
        <is>
          <t>Прямые затраты</t>
        </is>
      </c>
      <c r="I1308" s="404" t="n"/>
      <c r="J1308" s="404" t="n"/>
      <c r="K1308" s="404" t="n">
        <v>201</v>
      </c>
      <c r="L1308" s="404" t="n">
        <v>1</v>
      </c>
      <c r="M1308" s="404" t="n">
        <v>3</v>
      </c>
      <c r="N1308" s="404" t="inlineStr"/>
      <c r="O1308" s="404" t="n">
        <v>0</v>
      </c>
      <c r="P1308" s="404" t="n"/>
      <c r="Q1308" s="404" t="n"/>
      <c r="R1308" s="404" t="n"/>
      <c r="S1308" s="404" t="n"/>
      <c r="T1308" s="404" t="n"/>
      <c r="U1308" s="404" t="n"/>
      <c r="V1308" s="404" t="n"/>
      <c r="W1308" s="404" t="n">
        <v>0</v>
      </c>
      <c r="X1308" s="404" t="n">
        <v>1</v>
      </c>
      <c r="Y1308" s="404" t="n">
        <v>0</v>
      </c>
      <c r="Z1308" s="404" t="n"/>
      <c r="AA1308" s="404" t="n"/>
      <c r="AB1308" s="404" t="n"/>
    </row>
    <row r="1309">
      <c r="A1309" s="404" t="n">
        <v>50</v>
      </c>
      <c r="B1309" s="404" t="n">
        <v>0</v>
      </c>
      <c r="C1309" s="404" t="n">
        <v>0</v>
      </c>
      <c r="D1309" s="404" t="n">
        <v>1</v>
      </c>
      <c r="E1309" s="404" t="n">
        <v>202</v>
      </c>
      <c r="F1309" s="404">
        <f>ROUND(Source!P1306,O1309)</f>
        <v/>
      </c>
      <c r="G1309" s="404" t="inlineStr">
        <is>
          <t>СтМатОб</t>
        </is>
      </c>
      <c r="H1309" s="404" t="inlineStr">
        <is>
          <t>Стоимость материальных ресурсов (всего)</t>
        </is>
      </c>
      <c r="I1309" s="404" t="n"/>
      <c r="J1309" s="404" t="n"/>
      <c r="K1309" s="404" t="n">
        <v>202</v>
      </c>
      <c r="L1309" s="404" t="n">
        <v>2</v>
      </c>
      <c r="M1309" s="404" t="n">
        <v>3</v>
      </c>
      <c r="N1309" s="404" t="inlineStr"/>
      <c r="O1309" s="404" t="n">
        <v>0</v>
      </c>
      <c r="P1309" s="404" t="n"/>
      <c r="Q1309" s="404" t="n"/>
      <c r="R1309" s="404" t="n"/>
      <c r="S1309" s="404" t="n"/>
      <c r="T1309" s="404" t="n"/>
      <c r="U1309" s="404" t="n"/>
      <c r="V1309" s="404" t="n"/>
      <c r="W1309" s="404" t="n">
        <v>0</v>
      </c>
      <c r="X1309" s="404" t="n">
        <v>1</v>
      </c>
      <c r="Y1309" s="404" t="n">
        <v>0</v>
      </c>
      <c r="Z1309" s="404" t="n"/>
      <c r="AA1309" s="404" t="n"/>
      <c r="AB1309" s="404" t="n"/>
    </row>
    <row r="1310">
      <c r="A1310" s="404" t="n">
        <v>50</v>
      </c>
      <c r="B1310" s="404" t="n">
        <v>0</v>
      </c>
      <c r="C1310" s="404" t="n">
        <v>0</v>
      </c>
      <c r="D1310" s="404" t="n">
        <v>1</v>
      </c>
      <c r="E1310" s="404" t="n">
        <v>222</v>
      </c>
      <c r="F1310" s="404">
        <f>ROUND(Source!AO1306,O1310)</f>
        <v/>
      </c>
      <c r="G1310" s="404" t="inlineStr">
        <is>
          <t>СтМатОбЗак</t>
        </is>
      </c>
      <c r="H1310" s="404" t="inlineStr">
        <is>
          <t>Стоимость материалов и оборудования заказчика</t>
        </is>
      </c>
      <c r="I1310" s="404" t="n"/>
      <c r="J1310" s="404" t="n"/>
      <c r="K1310" s="404" t="n">
        <v>222</v>
      </c>
      <c r="L1310" s="404" t="n">
        <v>3</v>
      </c>
      <c r="M1310" s="404" t="n">
        <v>3</v>
      </c>
      <c r="N1310" s="404" t="inlineStr"/>
      <c r="O1310" s="404" t="n">
        <v>0</v>
      </c>
      <c r="P1310" s="404" t="n"/>
      <c r="Q1310" s="404" t="n"/>
      <c r="R1310" s="404" t="n"/>
      <c r="S1310" s="404" t="n"/>
      <c r="T1310" s="404" t="n"/>
      <c r="U1310" s="404" t="n"/>
      <c r="V1310" s="404" t="n"/>
      <c r="W1310" s="404" t="n">
        <v>0</v>
      </c>
      <c r="X1310" s="404" t="n">
        <v>1</v>
      </c>
      <c r="Y1310" s="404" t="n">
        <v>0</v>
      </c>
      <c r="Z1310" s="404" t="n"/>
      <c r="AA1310" s="404" t="n"/>
      <c r="AB1310" s="404" t="n"/>
    </row>
    <row r="1311">
      <c r="A1311" s="404" t="n">
        <v>50</v>
      </c>
      <c r="B1311" s="404" t="n">
        <v>0</v>
      </c>
      <c r="C1311" s="404" t="n">
        <v>0</v>
      </c>
      <c r="D1311" s="404" t="n">
        <v>1</v>
      </c>
      <c r="E1311" s="404" t="n">
        <v>225</v>
      </c>
      <c r="F1311" s="404">
        <f>ROUND(Source!AV1306,O1311)</f>
        <v/>
      </c>
      <c r="G1311" s="404" t="inlineStr">
        <is>
          <t>СтМатОбПод</t>
        </is>
      </c>
      <c r="H1311" s="404" t="inlineStr">
        <is>
          <t>Стоимость материалов и оборудования подрядчика</t>
        </is>
      </c>
      <c r="I1311" s="404" t="n"/>
      <c r="J1311" s="404" t="n"/>
      <c r="K1311" s="404" t="n">
        <v>225</v>
      </c>
      <c r="L1311" s="404" t="n">
        <v>4</v>
      </c>
      <c r="M1311" s="404" t="n">
        <v>3</v>
      </c>
      <c r="N1311" s="404" t="inlineStr"/>
      <c r="O1311" s="404" t="n">
        <v>0</v>
      </c>
      <c r="P1311" s="404" t="n"/>
      <c r="Q1311" s="404" t="n"/>
      <c r="R1311" s="404" t="n"/>
      <c r="S1311" s="404" t="n"/>
      <c r="T1311" s="404" t="n"/>
      <c r="U1311" s="404" t="n"/>
      <c r="V1311" s="404" t="n"/>
      <c r="W1311" s="404" t="n">
        <v>0</v>
      </c>
      <c r="X1311" s="404" t="n">
        <v>1</v>
      </c>
      <c r="Y1311" s="404" t="n">
        <v>0</v>
      </c>
      <c r="Z1311" s="404" t="n"/>
      <c r="AA1311" s="404" t="n"/>
      <c r="AB1311" s="404" t="n"/>
    </row>
    <row r="1312">
      <c r="A1312" s="404" t="n">
        <v>50</v>
      </c>
      <c r="B1312" s="404" t="n">
        <v>0</v>
      </c>
      <c r="C1312" s="404" t="n">
        <v>0</v>
      </c>
      <c r="D1312" s="404" t="n">
        <v>1</v>
      </c>
      <c r="E1312" s="404" t="n">
        <v>226</v>
      </c>
      <c r="F1312" s="404">
        <f>ROUND(Source!AW1306,O1312)</f>
        <v/>
      </c>
      <c r="G1312" s="404" t="inlineStr">
        <is>
          <t>СтМат</t>
        </is>
      </c>
      <c r="H1312" s="404" t="inlineStr">
        <is>
          <t>Стоимость материалов (всего)</t>
        </is>
      </c>
      <c r="I1312" s="404" t="n"/>
      <c r="J1312" s="404" t="n"/>
      <c r="K1312" s="404" t="n">
        <v>226</v>
      </c>
      <c r="L1312" s="404" t="n">
        <v>5</v>
      </c>
      <c r="M1312" s="404" t="n">
        <v>3</v>
      </c>
      <c r="N1312" s="404" t="inlineStr"/>
      <c r="O1312" s="404" t="n">
        <v>0</v>
      </c>
      <c r="P1312" s="404" t="n"/>
      <c r="Q1312" s="404" t="n"/>
      <c r="R1312" s="404" t="n"/>
      <c r="S1312" s="404" t="n"/>
      <c r="T1312" s="404" t="n"/>
      <c r="U1312" s="404" t="n"/>
      <c r="V1312" s="404" t="n"/>
      <c r="W1312" s="404" t="n">
        <v>0</v>
      </c>
      <c r="X1312" s="404" t="n">
        <v>1</v>
      </c>
      <c r="Y1312" s="404" t="n">
        <v>0</v>
      </c>
      <c r="Z1312" s="404" t="n"/>
      <c r="AA1312" s="404" t="n"/>
      <c r="AB1312" s="404" t="n"/>
    </row>
    <row r="1313">
      <c r="A1313" s="404" t="n">
        <v>50</v>
      </c>
      <c r="B1313" s="404" t="n">
        <v>0</v>
      </c>
      <c r="C1313" s="404" t="n">
        <v>0</v>
      </c>
      <c r="D1313" s="404" t="n">
        <v>1</v>
      </c>
      <c r="E1313" s="404" t="n">
        <v>227</v>
      </c>
      <c r="F1313" s="404">
        <f>ROUND(Source!AX1306,O1313)</f>
        <v/>
      </c>
      <c r="G1313" s="404" t="inlineStr">
        <is>
          <t>СтМатЗак</t>
        </is>
      </c>
      <c r="H1313" s="404" t="inlineStr">
        <is>
          <t>Стоимость материалов заказчика</t>
        </is>
      </c>
      <c r="I1313" s="404" t="n"/>
      <c r="J1313" s="404" t="n"/>
      <c r="K1313" s="404" t="n">
        <v>227</v>
      </c>
      <c r="L1313" s="404" t="n">
        <v>6</v>
      </c>
      <c r="M1313" s="404" t="n">
        <v>3</v>
      </c>
      <c r="N1313" s="404" t="inlineStr"/>
      <c r="O1313" s="404" t="n">
        <v>0</v>
      </c>
      <c r="P1313" s="404" t="n"/>
      <c r="Q1313" s="404" t="n"/>
      <c r="R1313" s="404" t="n"/>
      <c r="S1313" s="404" t="n"/>
      <c r="T1313" s="404" t="n"/>
      <c r="U1313" s="404" t="n"/>
      <c r="V1313" s="404" t="n"/>
      <c r="W1313" s="404" t="n">
        <v>0</v>
      </c>
      <c r="X1313" s="404" t="n">
        <v>1</v>
      </c>
      <c r="Y1313" s="404" t="n">
        <v>0</v>
      </c>
      <c r="Z1313" s="404" t="n"/>
      <c r="AA1313" s="404" t="n"/>
      <c r="AB1313" s="404" t="n"/>
    </row>
    <row r="1314">
      <c r="A1314" s="404" t="n">
        <v>50</v>
      </c>
      <c r="B1314" s="404" t="n">
        <v>0</v>
      </c>
      <c r="C1314" s="404" t="n">
        <v>0</v>
      </c>
      <c r="D1314" s="404" t="n">
        <v>1</v>
      </c>
      <c r="E1314" s="404" t="n">
        <v>228</v>
      </c>
      <c r="F1314" s="404">
        <f>ROUND(Source!AY1306,O1314)</f>
        <v/>
      </c>
      <c r="G1314" s="404" t="inlineStr">
        <is>
          <t>СтМатПод</t>
        </is>
      </c>
      <c r="H1314" s="404" t="inlineStr">
        <is>
          <t>Стоимость материалов подрядчика</t>
        </is>
      </c>
      <c r="I1314" s="404" t="n"/>
      <c r="J1314" s="404" t="n"/>
      <c r="K1314" s="404" t="n">
        <v>228</v>
      </c>
      <c r="L1314" s="404" t="n">
        <v>7</v>
      </c>
      <c r="M1314" s="404" t="n">
        <v>3</v>
      </c>
      <c r="N1314" s="404" t="inlineStr"/>
      <c r="O1314" s="404" t="n">
        <v>0</v>
      </c>
      <c r="P1314" s="404" t="n"/>
      <c r="Q1314" s="404" t="n"/>
      <c r="R1314" s="404" t="n"/>
      <c r="S1314" s="404" t="n"/>
      <c r="T1314" s="404" t="n"/>
      <c r="U1314" s="404" t="n"/>
      <c r="V1314" s="404" t="n"/>
      <c r="W1314" s="404" t="n">
        <v>0</v>
      </c>
      <c r="X1314" s="404" t="n">
        <v>1</v>
      </c>
      <c r="Y1314" s="404" t="n">
        <v>0</v>
      </c>
      <c r="Z1314" s="404" t="n"/>
      <c r="AA1314" s="404" t="n"/>
      <c r="AB1314" s="404" t="n"/>
    </row>
    <row r="1315">
      <c r="A1315" s="404" t="n">
        <v>50</v>
      </c>
      <c r="B1315" s="404" t="n">
        <v>0</v>
      </c>
      <c r="C1315" s="404" t="n">
        <v>0</v>
      </c>
      <c r="D1315" s="404" t="n">
        <v>1</v>
      </c>
      <c r="E1315" s="404" t="n">
        <v>216</v>
      </c>
      <c r="F1315" s="404">
        <f>ROUND(Source!AP1306,O1315)</f>
        <v/>
      </c>
      <c r="G1315" s="404" t="inlineStr">
        <is>
          <t>Оборуд</t>
        </is>
      </c>
      <c r="H1315" s="404" t="inlineStr">
        <is>
          <t>Стоимость оборудования (всего)</t>
        </is>
      </c>
      <c r="I1315" s="404" t="n"/>
      <c r="J1315" s="404" t="n"/>
      <c r="K1315" s="404" t="n">
        <v>216</v>
      </c>
      <c r="L1315" s="404" t="n">
        <v>8</v>
      </c>
      <c r="M1315" s="404" t="n">
        <v>3</v>
      </c>
      <c r="N1315" s="404" t="inlineStr"/>
      <c r="O1315" s="404" t="n">
        <v>0</v>
      </c>
      <c r="P1315" s="404" t="n"/>
      <c r="Q1315" s="404" t="n"/>
      <c r="R1315" s="404" t="n"/>
      <c r="S1315" s="404" t="n"/>
      <c r="T1315" s="404" t="n"/>
      <c r="U1315" s="404" t="n"/>
      <c r="V1315" s="404" t="n"/>
      <c r="W1315" s="404" t="n">
        <v>0</v>
      </c>
      <c r="X1315" s="404" t="n">
        <v>1</v>
      </c>
      <c r="Y1315" s="404" t="n">
        <v>0</v>
      </c>
      <c r="Z1315" s="404" t="n"/>
      <c r="AA1315" s="404" t="n"/>
      <c r="AB1315" s="404" t="n"/>
    </row>
    <row r="1316">
      <c r="A1316" s="404" t="n">
        <v>50</v>
      </c>
      <c r="B1316" s="404" t="n">
        <v>0</v>
      </c>
      <c r="C1316" s="404" t="n">
        <v>0</v>
      </c>
      <c r="D1316" s="404" t="n">
        <v>1</v>
      </c>
      <c r="E1316" s="404" t="n">
        <v>223</v>
      </c>
      <c r="F1316" s="404">
        <f>ROUND(Source!AQ1306,O1316)</f>
        <v/>
      </c>
      <c r="G1316" s="404" t="inlineStr">
        <is>
          <t>ОборудЗак</t>
        </is>
      </c>
      <c r="H1316" s="404" t="inlineStr">
        <is>
          <t>Стоимость оборудования заказчика</t>
        </is>
      </c>
      <c r="I1316" s="404" t="n"/>
      <c r="J1316" s="404" t="n"/>
      <c r="K1316" s="404" t="n">
        <v>223</v>
      </c>
      <c r="L1316" s="404" t="n">
        <v>9</v>
      </c>
      <c r="M1316" s="404" t="n">
        <v>3</v>
      </c>
      <c r="N1316" s="404" t="inlineStr"/>
      <c r="O1316" s="404" t="n">
        <v>0</v>
      </c>
      <c r="P1316" s="404" t="n"/>
      <c r="Q1316" s="404" t="n"/>
      <c r="R1316" s="404" t="n"/>
      <c r="S1316" s="404" t="n"/>
      <c r="T1316" s="404" t="n"/>
      <c r="U1316" s="404" t="n"/>
      <c r="V1316" s="404" t="n"/>
      <c r="W1316" s="404" t="n">
        <v>0</v>
      </c>
      <c r="X1316" s="404" t="n">
        <v>1</v>
      </c>
      <c r="Y1316" s="404" t="n">
        <v>0</v>
      </c>
      <c r="Z1316" s="404" t="n"/>
      <c r="AA1316" s="404" t="n"/>
      <c r="AB1316" s="404" t="n"/>
    </row>
    <row r="1317">
      <c r="A1317" s="404" t="n">
        <v>50</v>
      </c>
      <c r="B1317" s="404" t="n">
        <v>0</v>
      </c>
      <c r="C1317" s="404" t="n">
        <v>0</v>
      </c>
      <c r="D1317" s="404" t="n">
        <v>1</v>
      </c>
      <c r="E1317" s="404" t="n">
        <v>229</v>
      </c>
      <c r="F1317" s="404">
        <f>ROUND(Source!AZ1306,O1317)</f>
        <v/>
      </c>
      <c r="G1317" s="404" t="inlineStr">
        <is>
          <t>ОборудПод</t>
        </is>
      </c>
      <c r="H1317" s="404" t="inlineStr">
        <is>
          <t>Стоимость оборудования подрядчика</t>
        </is>
      </c>
      <c r="I1317" s="404" t="n"/>
      <c r="J1317" s="404" t="n"/>
      <c r="K1317" s="404" t="n">
        <v>229</v>
      </c>
      <c r="L1317" s="404" t="n">
        <v>10</v>
      </c>
      <c r="M1317" s="404" t="n">
        <v>3</v>
      </c>
      <c r="N1317" s="404" t="inlineStr"/>
      <c r="O1317" s="404" t="n">
        <v>0</v>
      </c>
      <c r="P1317" s="404" t="n"/>
      <c r="Q1317" s="404" t="n"/>
      <c r="R1317" s="404" t="n"/>
      <c r="S1317" s="404" t="n"/>
      <c r="T1317" s="404" t="n"/>
      <c r="U1317" s="404" t="n"/>
      <c r="V1317" s="404" t="n"/>
      <c r="W1317" s="404" t="n">
        <v>0</v>
      </c>
      <c r="X1317" s="404" t="n">
        <v>1</v>
      </c>
      <c r="Y1317" s="404" t="n">
        <v>0</v>
      </c>
      <c r="Z1317" s="404" t="n"/>
      <c r="AA1317" s="404" t="n"/>
      <c r="AB1317" s="404" t="n"/>
    </row>
    <row r="1318">
      <c r="A1318" s="404" t="n">
        <v>50</v>
      </c>
      <c r="B1318" s="404" t="n">
        <v>0</v>
      </c>
      <c r="C1318" s="404" t="n">
        <v>0</v>
      </c>
      <c r="D1318" s="404" t="n">
        <v>1</v>
      </c>
      <c r="E1318" s="404" t="n">
        <v>203</v>
      </c>
      <c r="F1318" s="404">
        <f>ROUND(Source!Q1306,O1318)</f>
        <v/>
      </c>
      <c r="G1318" s="404" t="inlineStr">
        <is>
          <t>ЭММ</t>
        </is>
      </c>
      <c r="H1318" s="404" t="inlineStr">
        <is>
          <t>Эксплуатация машин</t>
        </is>
      </c>
      <c r="I1318" s="404" t="n"/>
      <c r="J1318" s="404" t="n"/>
      <c r="K1318" s="404" t="n">
        <v>203</v>
      </c>
      <c r="L1318" s="404" t="n">
        <v>11</v>
      </c>
      <c r="M1318" s="404" t="n">
        <v>3</v>
      </c>
      <c r="N1318" s="404" t="inlineStr"/>
      <c r="O1318" s="404" t="n">
        <v>0</v>
      </c>
      <c r="P1318" s="404" t="n"/>
      <c r="Q1318" s="404" t="n"/>
      <c r="R1318" s="404" t="n"/>
      <c r="S1318" s="404" t="n"/>
      <c r="T1318" s="404" t="n"/>
      <c r="U1318" s="404" t="n"/>
      <c r="V1318" s="404" t="n"/>
      <c r="W1318" s="404" t="n">
        <v>0</v>
      </c>
      <c r="X1318" s="404" t="n">
        <v>1</v>
      </c>
      <c r="Y1318" s="404" t="n">
        <v>0</v>
      </c>
      <c r="Z1318" s="404" t="n"/>
      <c r="AA1318" s="404" t="n"/>
      <c r="AB1318" s="404" t="n"/>
    </row>
    <row r="1319">
      <c r="A1319" s="404" t="n">
        <v>50</v>
      </c>
      <c r="B1319" s="404" t="n">
        <v>0</v>
      </c>
      <c r="C1319" s="404" t="n">
        <v>0</v>
      </c>
      <c r="D1319" s="404" t="n">
        <v>1</v>
      </c>
      <c r="E1319" s="404" t="n">
        <v>231</v>
      </c>
      <c r="F1319" s="404">
        <f>ROUND(Source!BB1306,O1319)</f>
        <v/>
      </c>
      <c r="G1319" s="404" t="inlineStr">
        <is>
          <t>ЭММсНРиСП</t>
        </is>
      </c>
      <c r="H1319" s="404" t="inlineStr">
        <is>
          <t>Эксплуатация машин по ТСН-2001.16</t>
        </is>
      </c>
      <c r="I1319" s="404" t="n"/>
      <c r="J1319" s="404" t="n"/>
      <c r="K1319" s="404" t="n">
        <v>231</v>
      </c>
      <c r="L1319" s="404" t="n">
        <v>12</v>
      </c>
      <c r="M1319" s="404" t="n">
        <v>3</v>
      </c>
      <c r="N1319" s="404" t="inlineStr"/>
      <c r="O1319" s="404" t="n">
        <v>0</v>
      </c>
      <c r="P1319" s="404" t="n"/>
      <c r="Q1319" s="404" t="n"/>
      <c r="R1319" s="404" t="n"/>
      <c r="S1319" s="404" t="n"/>
      <c r="T1319" s="404" t="n"/>
      <c r="U1319" s="404" t="n"/>
      <c r="V1319" s="404" t="n"/>
      <c r="W1319" s="404" t="n">
        <v>0</v>
      </c>
      <c r="X1319" s="404" t="n">
        <v>1</v>
      </c>
      <c r="Y1319" s="404" t="n">
        <v>0</v>
      </c>
      <c r="Z1319" s="404" t="n"/>
      <c r="AA1319" s="404" t="n"/>
      <c r="AB1319" s="404" t="n"/>
    </row>
    <row r="1320">
      <c r="A1320" s="404" t="n">
        <v>50</v>
      </c>
      <c r="B1320" s="404" t="n">
        <v>0</v>
      </c>
      <c r="C1320" s="404" t="n">
        <v>0</v>
      </c>
      <c r="D1320" s="404" t="n">
        <v>1</v>
      </c>
      <c r="E1320" s="404" t="n">
        <v>204</v>
      </c>
      <c r="F1320" s="404">
        <f>ROUND(Source!R1306,O1320)</f>
        <v/>
      </c>
      <c r="G1320" s="404" t="inlineStr">
        <is>
          <t>ЗПМ</t>
        </is>
      </c>
      <c r="H1320" s="404" t="inlineStr">
        <is>
          <t>ЗП машинистов</t>
        </is>
      </c>
      <c r="I1320" s="404" t="n"/>
      <c r="J1320" s="404" t="n"/>
      <c r="K1320" s="404" t="n">
        <v>204</v>
      </c>
      <c r="L1320" s="404" t="n">
        <v>13</v>
      </c>
      <c r="M1320" s="404" t="n">
        <v>3</v>
      </c>
      <c r="N1320" s="404" t="inlineStr"/>
      <c r="O1320" s="404" t="n">
        <v>0</v>
      </c>
      <c r="P1320" s="404" t="n"/>
      <c r="Q1320" s="404" t="n"/>
      <c r="R1320" s="404" t="n"/>
      <c r="S1320" s="404" t="n"/>
      <c r="T1320" s="404" t="n"/>
      <c r="U1320" s="404" t="n"/>
      <c r="V1320" s="404" t="n"/>
      <c r="W1320" s="404" t="n">
        <v>0</v>
      </c>
      <c r="X1320" s="404" t="n">
        <v>1</v>
      </c>
      <c r="Y1320" s="404" t="n">
        <v>0</v>
      </c>
      <c r="Z1320" s="404" t="n"/>
      <c r="AA1320" s="404" t="n"/>
      <c r="AB1320" s="404" t="n"/>
    </row>
    <row r="1321">
      <c r="A1321" s="404" t="n">
        <v>50</v>
      </c>
      <c r="B1321" s="404" t="n">
        <v>0</v>
      </c>
      <c r="C1321" s="404" t="n">
        <v>0</v>
      </c>
      <c r="D1321" s="404" t="n">
        <v>1</v>
      </c>
      <c r="E1321" s="404" t="n">
        <v>205</v>
      </c>
      <c r="F1321" s="404">
        <f>ROUND(Source!S1306,O1321)</f>
        <v/>
      </c>
      <c r="G1321" s="404" t="inlineStr">
        <is>
          <t>ОЗП</t>
        </is>
      </c>
      <c r="H1321" s="404" t="inlineStr">
        <is>
          <t>Основная ЗП рабочих</t>
        </is>
      </c>
      <c r="I1321" s="404" t="n"/>
      <c r="J1321" s="404" t="n"/>
      <c r="K1321" s="404" t="n">
        <v>205</v>
      </c>
      <c r="L1321" s="404" t="n">
        <v>14</v>
      </c>
      <c r="M1321" s="404" t="n">
        <v>3</v>
      </c>
      <c r="N1321" s="404" t="inlineStr"/>
      <c r="O1321" s="404" t="n">
        <v>0</v>
      </c>
      <c r="P1321" s="404" t="n"/>
      <c r="Q1321" s="404" t="n"/>
      <c r="R1321" s="404" t="n"/>
      <c r="S1321" s="404" t="n"/>
      <c r="T1321" s="404" t="n"/>
      <c r="U1321" s="404" t="n"/>
      <c r="V1321" s="404" t="n"/>
      <c r="W1321" s="404" t="n">
        <v>0</v>
      </c>
      <c r="X1321" s="404" t="n">
        <v>1</v>
      </c>
      <c r="Y1321" s="404" t="n">
        <v>0</v>
      </c>
      <c r="Z1321" s="404" t="n"/>
      <c r="AA1321" s="404" t="n"/>
      <c r="AB1321" s="404" t="n"/>
    </row>
    <row r="1322">
      <c r="A1322" s="404" t="n">
        <v>50</v>
      </c>
      <c r="B1322" s="404" t="n">
        <v>0</v>
      </c>
      <c r="C1322" s="404" t="n">
        <v>0</v>
      </c>
      <c r="D1322" s="404" t="n">
        <v>1</v>
      </c>
      <c r="E1322" s="404" t="n">
        <v>232</v>
      </c>
      <c r="F1322" s="404">
        <f>ROUND(Source!BC1306,O1322)</f>
        <v/>
      </c>
      <c r="G1322" s="404" t="inlineStr">
        <is>
          <t>ОЗПсНРиСП</t>
        </is>
      </c>
      <c r="H1322" s="404" t="inlineStr">
        <is>
          <t>Основная ЗП рабочих по ТСН-2001.16</t>
        </is>
      </c>
      <c r="I1322" s="404" t="n"/>
      <c r="J1322" s="404" t="n"/>
      <c r="K1322" s="404" t="n">
        <v>232</v>
      </c>
      <c r="L1322" s="404" t="n">
        <v>15</v>
      </c>
      <c r="M1322" s="404" t="n">
        <v>3</v>
      </c>
      <c r="N1322" s="404" t="inlineStr"/>
      <c r="O1322" s="404" t="n">
        <v>0</v>
      </c>
      <c r="P1322" s="404" t="n"/>
      <c r="Q1322" s="404" t="n"/>
      <c r="R1322" s="404" t="n"/>
      <c r="S1322" s="404" t="n"/>
      <c r="T1322" s="404" t="n"/>
      <c r="U1322" s="404" t="n"/>
      <c r="V1322" s="404" t="n"/>
      <c r="W1322" s="404" t="n">
        <v>0</v>
      </c>
      <c r="X1322" s="404" t="n">
        <v>1</v>
      </c>
      <c r="Y1322" s="404" t="n">
        <v>0</v>
      </c>
      <c r="Z1322" s="404" t="n"/>
      <c r="AA1322" s="404" t="n"/>
      <c r="AB1322" s="404" t="n"/>
    </row>
    <row r="1323">
      <c r="A1323" s="404" t="n">
        <v>50</v>
      </c>
      <c r="B1323" s="404" t="n">
        <v>0</v>
      </c>
      <c r="C1323" s="404" t="n">
        <v>0</v>
      </c>
      <c r="D1323" s="404" t="n">
        <v>1</v>
      </c>
      <c r="E1323" s="404" t="n">
        <v>214</v>
      </c>
      <c r="F1323" s="404">
        <f>ROUND(Source!AS1306,O1323)</f>
        <v/>
      </c>
      <c r="G1323" s="404" t="inlineStr">
        <is>
          <t>Строит</t>
        </is>
      </c>
      <c r="H1323" s="404" t="inlineStr">
        <is>
          <t>Строительные работы с НР и СП</t>
        </is>
      </c>
      <c r="I1323" s="404" t="n"/>
      <c r="J1323" s="404" t="n"/>
      <c r="K1323" s="404" t="n">
        <v>214</v>
      </c>
      <c r="L1323" s="404" t="n">
        <v>16</v>
      </c>
      <c r="M1323" s="404" t="n">
        <v>3</v>
      </c>
      <c r="N1323" s="404" t="inlineStr"/>
      <c r="O1323" s="404" t="n">
        <v>0</v>
      </c>
      <c r="P1323" s="404" t="n"/>
      <c r="Q1323" s="404" t="n"/>
      <c r="R1323" s="404" t="n"/>
      <c r="S1323" s="404" t="n"/>
      <c r="T1323" s="404" t="n"/>
      <c r="U1323" s="404" t="n"/>
      <c r="V1323" s="404" t="n"/>
      <c r="W1323" s="404" t="n">
        <v>0</v>
      </c>
      <c r="X1323" s="404" t="n">
        <v>1</v>
      </c>
      <c r="Y1323" s="404" t="n">
        <v>0</v>
      </c>
      <c r="Z1323" s="404" t="n"/>
      <c r="AA1323" s="404" t="n"/>
      <c r="AB1323" s="404" t="n"/>
    </row>
    <row r="1324">
      <c r="A1324" s="404" t="n">
        <v>50</v>
      </c>
      <c r="B1324" s="404" t="n">
        <v>0</v>
      </c>
      <c r="C1324" s="404" t="n">
        <v>0</v>
      </c>
      <c r="D1324" s="404" t="n">
        <v>1</v>
      </c>
      <c r="E1324" s="404" t="n">
        <v>215</v>
      </c>
      <c r="F1324" s="404">
        <f>ROUND(Source!AT1306,O1324)</f>
        <v/>
      </c>
      <c r="G1324" s="404" t="inlineStr">
        <is>
          <t>Монтаж</t>
        </is>
      </c>
      <c r="H1324" s="404" t="inlineStr">
        <is>
          <t>Монтажные работы с НР и СП</t>
        </is>
      </c>
      <c r="I1324" s="404" t="n"/>
      <c r="J1324" s="404" t="n"/>
      <c r="K1324" s="404" t="n">
        <v>215</v>
      </c>
      <c r="L1324" s="404" t="n">
        <v>17</v>
      </c>
      <c r="M1324" s="404" t="n">
        <v>3</v>
      </c>
      <c r="N1324" s="404" t="inlineStr"/>
      <c r="O1324" s="404" t="n">
        <v>0</v>
      </c>
      <c r="P1324" s="404" t="n"/>
      <c r="Q1324" s="404" t="n"/>
      <c r="R1324" s="404" t="n"/>
      <c r="S1324" s="404" t="n"/>
      <c r="T1324" s="404" t="n"/>
      <c r="U1324" s="404" t="n"/>
      <c r="V1324" s="404" t="n"/>
      <c r="W1324" s="404" t="n">
        <v>0</v>
      </c>
      <c r="X1324" s="404" t="n">
        <v>1</v>
      </c>
      <c r="Y1324" s="404" t="n">
        <v>0</v>
      </c>
      <c r="Z1324" s="404" t="n"/>
      <c r="AA1324" s="404" t="n"/>
      <c r="AB1324" s="404" t="n"/>
    </row>
    <row r="1325">
      <c r="A1325" s="404" t="n">
        <v>50</v>
      </c>
      <c r="B1325" s="404" t="n">
        <v>0</v>
      </c>
      <c r="C1325" s="404" t="n">
        <v>0</v>
      </c>
      <c r="D1325" s="404" t="n">
        <v>1</v>
      </c>
      <c r="E1325" s="404" t="n">
        <v>217</v>
      </c>
      <c r="F1325" s="404">
        <f>ROUND(Source!AU1306,O1325)</f>
        <v/>
      </c>
      <c r="G1325" s="404" t="inlineStr">
        <is>
          <t>Прочие</t>
        </is>
      </c>
      <c r="H1325" s="404" t="inlineStr">
        <is>
          <t>Прочие работы с НР и СП</t>
        </is>
      </c>
      <c r="I1325" s="404" t="n"/>
      <c r="J1325" s="404" t="n"/>
      <c r="K1325" s="404" t="n">
        <v>217</v>
      </c>
      <c r="L1325" s="404" t="n">
        <v>18</v>
      </c>
      <c r="M1325" s="404" t="n">
        <v>3</v>
      </c>
      <c r="N1325" s="404" t="inlineStr"/>
      <c r="O1325" s="404" t="n">
        <v>0</v>
      </c>
      <c r="P1325" s="404" t="n"/>
      <c r="Q1325" s="404" t="n"/>
      <c r="R1325" s="404" t="n"/>
      <c r="S1325" s="404" t="n"/>
      <c r="T1325" s="404" t="n"/>
      <c r="U1325" s="404" t="n"/>
      <c r="V1325" s="404" t="n"/>
      <c r="W1325" s="404" t="n">
        <v>0</v>
      </c>
      <c r="X1325" s="404" t="n">
        <v>1</v>
      </c>
      <c r="Y1325" s="404" t="n">
        <v>0</v>
      </c>
      <c r="Z1325" s="404" t="n"/>
      <c r="AA1325" s="404" t="n"/>
      <c r="AB1325" s="404" t="n"/>
    </row>
    <row r="1326">
      <c r="A1326" s="404" t="n">
        <v>50</v>
      </c>
      <c r="B1326" s="404" t="n">
        <v>0</v>
      </c>
      <c r="C1326" s="404" t="n">
        <v>0</v>
      </c>
      <c r="D1326" s="404" t="n">
        <v>1</v>
      </c>
      <c r="E1326" s="404" t="n">
        <v>230</v>
      </c>
      <c r="F1326" s="404">
        <f>ROUND(Source!BA1306,O1326)</f>
        <v/>
      </c>
      <c r="G1326" s="404" t="inlineStr">
        <is>
          <t>ПрочиеЗатр</t>
        </is>
      </c>
      <c r="H1326" s="404" t="inlineStr">
        <is>
          <t>Прочие затраты по ТСН-2001.16</t>
        </is>
      </c>
      <c r="I1326" s="404" t="n"/>
      <c r="J1326" s="404" t="n"/>
      <c r="K1326" s="404" t="n">
        <v>230</v>
      </c>
      <c r="L1326" s="404" t="n">
        <v>19</v>
      </c>
      <c r="M1326" s="404" t="n">
        <v>3</v>
      </c>
      <c r="N1326" s="404" t="inlineStr"/>
      <c r="O1326" s="404" t="n">
        <v>0</v>
      </c>
      <c r="P1326" s="404" t="n"/>
      <c r="Q1326" s="404" t="n"/>
      <c r="R1326" s="404" t="n"/>
      <c r="S1326" s="404" t="n"/>
      <c r="T1326" s="404" t="n"/>
      <c r="U1326" s="404" t="n"/>
      <c r="V1326" s="404" t="n"/>
      <c r="W1326" s="404" t="n">
        <v>0</v>
      </c>
      <c r="X1326" s="404" t="n">
        <v>1</v>
      </c>
      <c r="Y1326" s="404" t="n">
        <v>0</v>
      </c>
      <c r="Z1326" s="404" t="n"/>
      <c r="AA1326" s="404" t="n"/>
      <c r="AB1326" s="404" t="n"/>
    </row>
    <row r="1327">
      <c r="A1327" s="404" t="n">
        <v>50</v>
      </c>
      <c r="B1327" s="404" t="n">
        <v>0</v>
      </c>
      <c r="C1327" s="404" t="n">
        <v>0</v>
      </c>
      <c r="D1327" s="404" t="n">
        <v>1</v>
      </c>
      <c r="E1327" s="404" t="n">
        <v>206</v>
      </c>
      <c r="F1327" s="404">
        <f>ROUND(Source!T1306,O1327)</f>
        <v/>
      </c>
      <c r="G1327" s="404" t="inlineStr">
        <is>
          <t>ВозврМат</t>
        </is>
      </c>
      <c r="H1327" s="404" t="inlineStr">
        <is>
          <t>Возврат материалов</t>
        </is>
      </c>
      <c r="I1327" s="404" t="n"/>
      <c r="J1327" s="404" t="n"/>
      <c r="K1327" s="404" t="n">
        <v>206</v>
      </c>
      <c r="L1327" s="404" t="n">
        <v>20</v>
      </c>
      <c r="M1327" s="404" t="n">
        <v>3</v>
      </c>
      <c r="N1327" s="404" t="inlineStr"/>
      <c r="O1327" s="404" t="n">
        <v>0</v>
      </c>
      <c r="P1327" s="404" t="n"/>
      <c r="Q1327" s="404" t="n"/>
      <c r="R1327" s="404" t="n"/>
      <c r="S1327" s="404" t="n"/>
      <c r="T1327" s="404" t="n"/>
      <c r="U1327" s="404" t="n"/>
      <c r="V1327" s="404" t="n"/>
      <c r="W1327" s="404" t="n">
        <v>0</v>
      </c>
      <c r="X1327" s="404" t="n">
        <v>1</v>
      </c>
      <c r="Y1327" s="404" t="n">
        <v>0</v>
      </c>
      <c r="Z1327" s="404" t="n"/>
      <c r="AA1327" s="404" t="n"/>
      <c r="AB1327" s="404" t="n"/>
    </row>
    <row r="1328">
      <c r="A1328" s="404" t="n">
        <v>50</v>
      </c>
      <c r="B1328" s="404" t="n">
        <v>0</v>
      </c>
      <c r="C1328" s="404" t="n">
        <v>0</v>
      </c>
      <c r="D1328" s="404" t="n">
        <v>1</v>
      </c>
      <c r="E1328" s="404" t="n">
        <v>207</v>
      </c>
      <c r="F1328" s="404">
        <f>ROUND(Source!U1306,O1328)</f>
        <v/>
      </c>
      <c r="G1328" s="404" t="inlineStr">
        <is>
          <t>ТрудСтр</t>
        </is>
      </c>
      <c r="H1328" s="404" t="inlineStr">
        <is>
          <t>Трудозатраты строителей</t>
        </is>
      </c>
      <c r="I1328" s="404" t="n"/>
      <c r="J1328" s="404" t="n"/>
      <c r="K1328" s="404" t="n">
        <v>207</v>
      </c>
      <c r="L1328" s="404" t="n">
        <v>21</v>
      </c>
      <c r="M1328" s="404" t="n">
        <v>3</v>
      </c>
      <c r="N1328" s="404" t="inlineStr"/>
      <c r="O1328" s="404" t="n">
        <v>7</v>
      </c>
      <c r="P1328" s="404" t="n"/>
      <c r="Q1328" s="404" t="n"/>
      <c r="R1328" s="404" t="n"/>
      <c r="S1328" s="404" t="n"/>
      <c r="T1328" s="404" t="n"/>
      <c r="U1328" s="404" t="n"/>
      <c r="V1328" s="404" t="n"/>
      <c r="W1328" s="404" t="n">
        <v>0</v>
      </c>
      <c r="X1328" s="404" t="n">
        <v>1</v>
      </c>
      <c r="Y1328" s="404" t="n">
        <v>0</v>
      </c>
      <c r="Z1328" s="404" t="n"/>
      <c r="AA1328" s="404" t="n"/>
      <c r="AB1328" s="404" t="n"/>
    </row>
    <row r="1329">
      <c r="A1329" s="404" t="n">
        <v>50</v>
      </c>
      <c r="B1329" s="404" t="n">
        <v>0</v>
      </c>
      <c r="C1329" s="404" t="n">
        <v>0</v>
      </c>
      <c r="D1329" s="404" t="n">
        <v>1</v>
      </c>
      <c r="E1329" s="404" t="n">
        <v>208</v>
      </c>
      <c r="F1329" s="404">
        <f>ROUND(Source!V1306,O1329)</f>
        <v/>
      </c>
      <c r="G1329" s="404" t="inlineStr">
        <is>
          <t>ТрудМаш</t>
        </is>
      </c>
      <c r="H1329" s="404" t="inlineStr">
        <is>
          <t>Трудозатраты машинистов</t>
        </is>
      </c>
      <c r="I1329" s="404" t="n"/>
      <c r="J1329" s="404" t="n"/>
      <c r="K1329" s="404" t="n">
        <v>208</v>
      </c>
      <c r="L1329" s="404" t="n">
        <v>22</v>
      </c>
      <c r="M1329" s="404" t="n">
        <v>3</v>
      </c>
      <c r="N1329" s="404" t="inlineStr"/>
      <c r="O1329" s="404" t="n">
        <v>7</v>
      </c>
      <c r="P1329" s="404" t="n"/>
      <c r="Q1329" s="404" t="n"/>
      <c r="R1329" s="404" t="n"/>
      <c r="S1329" s="404" t="n"/>
      <c r="T1329" s="404" t="n"/>
      <c r="U1329" s="404" t="n"/>
      <c r="V1329" s="404" t="n"/>
      <c r="W1329" s="404" t="n">
        <v>0</v>
      </c>
      <c r="X1329" s="404" t="n">
        <v>1</v>
      </c>
      <c r="Y1329" s="404" t="n">
        <v>0</v>
      </c>
      <c r="Z1329" s="404" t="n"/>
      <c r="AA1329" s="404" t="n"/>
      <c r="AB1329" s="404" t="n"/>
    </row>
    <row r="1330">
      <c r="A1330" s="404" t="n">
        <v>50</v>
      </c>
      <c r="B1330" s="404" t="n">
        <v>0</v>
      </c>
      <c r="C1330" s="404" t="n">
        <v>0</v>
      </c>
      <c r="D1330" s="404" t="n">
        <v>1</v>
      </c>
      <c r="E1330" s="404" t="n">
        <v>209</v>
      </c>
      <c r="F1330" s="404">
        <f>ROUND(Source!W1306,O1330)</f>
        <v/>
      </c>
      <c r="G1330" s="404" t="inlineStr">
        <is>
          <t>ТранспМат</t>
        </is>
      </c>
      <c r="H1330" s="404" t="inlineStr">
        <is>
          <t>Транспорт материалов</t>
        </is>
      </c>
      <c r="I1330" s="404" t="n"/>
      <c r="J1330" s="404" t="n"/>
      <c r="K1330" s="404" t="n">
        <v>209</v>
      </c>
      <c r="L1330" s="404" t="n">
        <v>23</v>
      </c>
      <c r="M1330" s="404" t="n">
        <v>3</v>
      </c>
      <c r="N1330" s="404" t="inlineStr"/>
      <c r="O1330" s="404" t="n">
        <v>0</v>
      </c>
      <c r="P1330" s="404" t="n"/>
      <c r="Q1330" s="404" t="n"/>
      <c r="R1330" s="404" t="n"/>
      <c r="S1330" s="404" t="n"/>
      <c r="T1330" s="404" t="n"/>
      <c r="U1330" s="404" t="n"/>
      <c r="V1330" s="404" t="n"/>
      <c r="W1330" s="404" t="n">
        <v>0</v>
      </c>
      <c r="X1330" s="404" t="n">
        <v>1</v>
      </c>
      <c r="Y1330" s="404" t="n">
        <v>0</v>
      </c>
      <c r="Z1330" s="404" t="n"/>
      <c r="AA1330" s="404" t="n"/>
      <c r="AB1330" s="404" t="n"/>
    </row>
    <row r="1331">
      <c r="A1331" s="404" t="n">
        <v>50</v>
      </c>
      <c r="B1331" s="404" t="n">
        <v>0</v>
      </c>
      <c r="C1331" s="404" t="n">
        <v>0</v>
      </c>
      <c r="D1331" s="404" t="n">
        <v>1</v>
      </c>
      <c r="E1331" s="404" t="n">
        <v>233</v>
      </c>
      <c r="F1331" s="404">
        <f>ROUND(Source!BD1306,O1331)</f>
        <v/>
      </c>
      <c r="G1331" s="404" t="inlineStr">
        <is>
          <t>Перевозка</t>
        </is>
      </c>
      <c r="H1331" s="404" t="inlineStr">
        <is>
          <t>Перевозка грузов</t>
        </is>
      </c>
      <c r="I1331" s="404" t="n"/>
      <c r="J1331" s="404" t="n"/>
      <c r="K1331" s="404" t="n">
        <v>233</v>
      </c>
      <c r="L1331" s="404" t="n">
        <v>24</v>
      </c>
      <c r="M1331" s="404" t="n">
        <v>3</v>
      </c>
      <c r="N1331" s="404" t="inlineStr"/>
      <c r="O1331" s="404" t="n">
        <v>0</v>
      </c>
      <c r="P1331" s="404" t="n"/>
      <c r="Q1331" s="404" t="n"/>
      <c r="R1331" s="404" t="n"/>
      <c r="S1331" s="404" t="n"/>
      <c r="T1331" s="404" t="n"/>
      <c r="U1331" s="404" t="n"/>
      <c r="V1331" s="404" t="n"/>
      <c r="W1331" s="404" t="n">
        <v>0</v>
      </c>
      <c r="X1331" s="404" t="n">
        <v>1</v>
      </c>
      <c r="Y1331" s="404" t="n">
        <v>0</v>
      </c>
      <c r="Z1331" s="404" t="n"/>
      <c r="AA1331" s="404" t="n"/>
      <c r="AB1331" s="404" t="n"/>
    </row>
    <row r="1332">
      <c r="A1332" s="404" t="n">
        <v>50</v>
      </c>
      <c r="B1332" s="404" t="n">
        <v>0</v>
      </c>
      <c r="C1332" s="404" t="n">
        <v>0</v>
      </c>
      <c r="D1332" s="404" t="n">
        <v>1</v>
      </c>
      <c r="E1332" s="404" t="n">
        <v>210</v>
      </c>
      <c r="F1332" s="404">
        <f>ROUND(Source!X1306,O1332)</f>
        <v/>
      </c>
      <c r="G1332" s="404" t="inlineStr">
        <is>
          <t>НР</t>
        </is>
      </c>
      <c r="H1332" s="404" t="inlineStr">
        <is>
          <t>Накладные расходы</t>
        </is>
      </c>
      <c r="I1332" s="404" t="n"/>
      <c r="J1332" s="404" t="n"/>
      <c r="K1332" s="404" t="n">
        <v>210</v>
      </c>
      <c r="L1332" s="404" t="n">
        <v>25</v>
      </c>
      <c r="M1332" s="404" t="n">
        <v>3</v>
      </c>
      <c r="N1332" s="404" t="inlineStr"/>
      <c r="O1332" s="404" t="n">
        <v>0</v>
      </c>
      <c r="P1332" s="404" t="n"/>
      <c r="Q1332" s="404" t="n"/>
      <c r="R1332" s="404" t="n"/>
      <c r="S1332" s="404" t="n"/>
      <c r="T1332" s="404" t="n"/>
      <c r="U1332" s="404" t="n"/>
      <c r="V1332" s="404" t="n"/>
      <c r="W1332" s="404" t="n">
        <v>0</v>
      </c>
      <c r="X1332" s="404" t="n">
        <v>1</v>
      </c>
      <c r="Y1332" s="404" t="n">
        <v>0</v>
      </c>
      <c r="Z1332" s="404" t="n"/>
      <c r="AA1332" s="404" t="n"/>
      <c r="AB1332" s="404" t="n"/>
    </row>
    <row r="1333">
      <c r="A1333" s="404" t="n">
        <v>50</v>
      </c>
      <c r="B1333" s="404" t="n">
        <v>0</v>
      </c>
      <c r="C1333" s="404" t="n">
        <v>0</v>
      </c>
      <c r="D1333" s="404" t="n">
        <v>1</v>
      </c>
      <c r="E1333" s="404" t="n">
        <v>211</v>
      </c>
      <c r="F1333" s="404">
        <f>ROUND(Source!Y1306,O1333)</f>
        <v/>
      </c>
      <c r="G1333" s="404" t="inlineStr">
        <is>
          <t>СмПриб</t>
        </is>
      </c>
      <c r="H1333" s="404" t="inlineStr">
        <is>
          <t>Сметная прибыль</t>
        </is>
      </c>
      <c r="I1333" s="404" t="n"/>
      <c r="J1333" s="404" t="n"/>
      <c r="K1333" s="404" t="n">
        <v>211</v>
      </c>
      <c r="L1333" s="404" t="n">
        <v>26</v>
      </c>
      <c r="M1333" s="404" t="n">
        <v>3</v>
      </c>
      <c r="N1333" s="404" t="inlineStr"/>
      <c r="O1333" s="404" t="n">
        <v>0</v>
      </c>
      <c r="P1333" s="404" t="n"/>
      <c r="Q1333" s="404" t="n"/>
      <c r="R1333" s="404" t="n"/>
      <c r="S1333" s="404" t="n"/>
      <c r="T1333" s="404" t="n"/>
      <c r="U1333" s="404" t="n"/>
      <c r="V1333" s="404" t="n"/>
      <c r="W1333" s="404" t="n">
        <v>0</v>
      </c>
      <c r="X1333" s="404" t="n">
        <v>1</v>
      </c>
      <c r="Y1333" s="404" t="n">
        <v>0</v>
      </c>
      <c r="Z1333" s="404" t="n"/>
      <c r="AA1333" s="404" t="n"/>
      <c r="AB1333" s="404" t="n"/>
    </row>
    <row r="1334">
      <c r="A1334" s="404" t="n">
        <v>50</v>
      </c>
      <c r="B1334" s="404" t="n">
        <v>0</v>
      </c>
      <c r="C1334" s="404" t="n">
        <v>0</v>
      </c>
      <c r="D1334" s="404" t="n">
        <v>1</v>
      </c>
      <c r="E1334" s="404" t="n">
        <v>224</v>
      </c>
      <c r="F1334" s="404">
        <f>ROUND(Source!AR1306,O1334)</f>
        <v/>
      </c>
      <c r="G1334" s="404" t="inlineStr">
        <is>
          <t>Всего</t>
        </is>
      </c>
      <c r="H1334" s="404" t="inlineStr">
        <is>
          <t>Всего с НР и СП</t>
        </is>
      </c>
      <c r="I1334" s="404" t="n"/>
      <c r="J1334" s="404" t="n"/>
      <c r="K1334" s="404" t="n">
        <v>224</v>
      </c>
      <c r="L1334" s="404" t="n">
        <v>27</v>
      </c>
      <c r="M1334" s="404" t="n">
        <v>3</v>
      </c>
      <c r="N1334" s="404" t="inlineStr"/>
      <c r="O1334" s="404" t="n">
        <v>0</v>
      </c>
      <c r="P1334" s="404" t="n"/>
      <c r="Q1334" s="404" t="n"/>
      <c r="R1334" s="404" t="n"/>
      <c r="S1334" s="404" t="n"/>
      <c r="T1334" s="404" t="n"/>
      <c r="U1334" s="404" t="n"/>
      <c r="V1334" s="404" t="n"/>
      <c r="W1334" s="404" t="n">
        <v>0</v>
      </c>
      <c r="X1334" s="404" t="n">
        <v>1</v>
      </c>
      <c r="Y1334" s="404" t="n">
        <v>0</v>
      </c>
      <c r="Z1334" s="404" t="n"/>
      <c r="AA1334" s="404" t="n"/>
      <c r="AB1334" s="404" t="n"/>
    </row>
    <row r="1335">
      <c r="A1335" s="404" t="n">
        <v>50</v>
      </c>
      <c r="B1335" s="404" t="n">
        <v>0</v>
      </c>
      <c r="C1335" s="404" t="n">
        <v>0</v>
      </c>
      <c r="D1335" s="404" t="n">
        <v>2</v>
      </c>
      <c r="E1335" s="404" t="n">
        <v>0</v>
      </c>
      <c r="F1335" s="404">
        <f>ROUND(F1334,O1335)</f>
        <v/>
      </c>
      <c r="G1335" s="404" t="inlineStr">
        <is>
          <t>и1</t>
        </is>
      </c>
      <c r="H1335" s="404" t="inlineStr">
        <is>
          <t>Итого</t>
        </is>
      </c>
      <c r="I1335" s="404" t="n"/>
      <c r="J1335" s="404" t="n"/>
      <c r="K1335" s="404" t="n">
        <v>212</v>
      </c>
      <c r="L1335" s="404" t="n">
        <v>28</v>
      </c>
      <c r="M1335" s="404" t="n">
        <v>0</v>
      </c>
      <c r="N1335" s="404" t="inlineStr"/>
      <c r="O1335" s="404" t="n">
        <v>0</v>
      </c>
      <c r="P1335" s="404" t="n"/>
      <c r="Q1335" s="404" t="n"/>
      <c r="R1335" s="404" t="n"/>
      <c r="S1335" s="404" t="n"/>
      <c r="T1335" s="404" t="n"/>
      <c r="U1335" s="404" t="n"/>
      <c r="V1335" s="404" t="n"/>
      <c r="W1335" s="404" t="n">
        <v>0</v>
      </c>
      <c r="X1335" s="404" t="n">
        <v>1</v>
      </c>
      <c r="Y1335" s="404" t="n">
        <v>0</v>
      </c>
      <c r="Z1335" s="404" t="n"/>
      <c r="AA1335" s="404" t="n"/>
      <c r="AB1335" s="404" t="n"/>
    </row>
    <row r="1336">
      <c r="A1336" s="404" t="n">
        <v>50</v>
      </c>
      <c r="B1336" s="404" t="n">
        <v>0</v>
      </c>
      <c r="C1336" s="404" t="n">
        <v>0</v>
      </c>
      <c r="D1336" s="404" t="n">
        <v>2</v>
      </c>
      <c r="E1336" s="404" t="n">
        <v>0</v>
      </c>
      <c r="F1336" s="404">
        <f>ROUND(F1335*0.22,O1336)</f>
        <v/>
      </c>
      <c r="G1336" s="404" t="inlineStr">
        <is>
          <t>и2</t>
        </is>
      </c>
      <c r="H1336" s="404" t="inlineStr">
        <is>
          <t>НДС 22%</t>
        </is>
      </c>
      <c r="I1336" s="404" t="n"/>
      <c r="J1336" s="404" t="n"/>
      <c r="K1336" s="404" t="n">
        <v>212</v>
      </c>
      <c r="L1336" s="404" t="n">
        <v>29</v>
      </c>
      <c r="M1336" s="404" t="n">
        <v>0</v>
      </c>
      <c r="N1336" s="404" t="inlineStr"/>
      <c r="O1336" s="404" t="n">
        <v>0</v>
      </c>
      <c r="P1336" s="404" t="n"/>
      <c r="Q1336" s="404" t="n"/>
      <c r="R1336" s="404" t="n"/>
      <c r="S1336" s="404" t="n"/>
      <c r="T1336" s="404" t="n"/>
      <c r="U1336" s="404" t="n"/>
      <c r="V1336" s="404" t="n"/>
      <c r="W1336" s="404" t="n">
        <v>0</v>
      </c>
      <c r="X1336" s="404" t="n">
        <v>1</v>
      </c>
      <c r="Y1336" s="404" t="n">
        <v>0</v>
      </c>
      <c r="Z1336" s="404" t="n"/>
      <c r="AA1336" s="404" t="n"/>
      <c r="AB1336" s="404" t="n"/>
    </row>
    <row r="1337">
      <c r="A1337" s="404" t="n">
        <v>50</v>
      </c>
      <c r="B1337" s="404" t="n">
        <v>0</v>
      </c>
      <c r="C1337" s="404" t="n">
        <v>0</v>
      </c>
      <c r="D1337" s="404" t="n">
        <v>2</v>
      </c>
      <c r="E1337" s="404" t="n">
        <v>213</v>
      </c>
      <c r="F1337" s="404">
        <f>ROUND(F1335+F1336,O1337)</f>
        <v/>
      </c>
      <c r="G1337" s="404" t="inlineStr">
        <is>
          <t>и3</t>
        </is>
      </c>
      <c r="H1337" s="404" t="inlineStr">
        <is>
          <t>Всего</t>
        </is>
      </c>
      <c r="I1337" s="404" t="n"/>
      <c r="J1337" s="404" t="n"/>
      <c r="K1337" s="404" t="n">
        <v>212</v>
      </c>
      <c r="L1337" s="404" t="n">
        <v>30</v>
      </c>
      <c r="M1337" s="404" t="n">
        <v>0</v>
      </c>
      <c r="N1337" s="404" t="inlineStr"/>
      <c r="O1337" s="404" t="n">
        <v>0</v>
      </c>
      <c r="P1337" s="404" t="n"/>
      <c r="Q1337" s="404" t="n"/>
      <c r="R1337" s="404" t="n"/>
      <c r="S1337" s="404" t="n"/>
      <c r="T1337" s="404" t="n"/>
      <c r="U1337" s="404" t="n"/>
      <c r="V1337" s="404" t="n"/>
      <c r="W1337" s="404" t="n">
        <v>0</v>
      </c>
      <c r="X1337" s="404" t="n">
        <v>1</v>
      </c>
      <c r="Y1337" s="404" t="n">
        <v>0</v>
      </c>
      <c r="Z1337" s="404" t="n"/>
      <c r="AA1337" s="404" t="n"/>
      <c r="AB1337" s="404" t="n"/>
    </row>
    <row r="1338"/>
    <row r="1339">
      <c r="A1339" s="401" t="n">
        <v>3</v>
      </c>
      <c r="B1339" s="401" t="n">
        <v>0</v>
      </c>
      <c r="C1339" s="401" t="n"/>
      <c r="D1339" s="401">
        <f>ROW(A1348)</f>
        <v/>
      </c>
      <c r="E1339" s="401" t="n"/>
      <c r="F1339" s="401" t="inlineStr">
        <is>
          <t>Новая локальная смета</t>
        </is>
      </c>
      <c r="G1339" s="401" t="inlineStr">
        <is>
          <t>Молодежная 12</t>
        </is>
      </c>
      <c r="H1339" s="401" t="inlineStr"/>
      <c r="I1339" s="401" t="n">
        <v>0</v>
      </c>
      <c r="J1339" s="401" t="inlineStr"/>
      <c r="K1339" s="401" t="n">
        <v>-1</v>
      </c>
      <c r="L1339" s="401" t="inlineStr">
        <is>
          <t>Новая локальная смета</t>
        </is>
      </c>
      <c r="M1339" s="401" t="inlineStr"/>
      <c r="N1339" s="401" t="n"/>
      <c r="O1339" s="401" t="n"/>
      <c r="P1339" s="401" t="n"/>
      <c r="Q1339" s="401" t="n"/>
      <c r="R1339" s="401" t="n"/>
      <c r="S1339" s="401" t="n">
        <v>0</v>
      </c>
      <c r="T1339" s="401" t="n"/>
      <c r="U1339" s="401" t="inlineStr"/>
      <c r="V1339" s="401" t="n">
        <v>0</v>
      </c>
      <c r="W1339" s="401" t="n"/>
      <c r="X1339" s="401" t="n"/>
      <c r="Y1339" s="401" t="n"/>
      <c r="Z1339" s="401" t="n"/>
      <c r="AA1339" s="401" t="n"/>
      <c r="AB1339" s="401" t="inlineStr"/>
      <c r="AC1339" s="401" t="inlineStr"/>
      <c r="AD1339" s="401" t="inlineStr"/>
      <c r="AE1339" s="401" t="inlineStr"/>
      <c r="AF1339" s="401" t="inlineStr"/>
      <c r="AG1339" s="401" t="inlineStr"/>
      <c r="AH1339" s="401" t="n"/>
      <c r="AI1339" s="401" t="n"/>
      <c r="AJ1339" s="401" t="n"/>
      <c r="AK1339" s="401" t="n"/>
      <c r="AL1339" s="401" t="n"/>
      <c r="AM1339" s="401" t="n"/>
      <c r="AN1339" s="401" t="n"/>
      <c r="AO1339" s="401" t="n"/>
      <c r="AP1339" s="401" t="inlineStr"/>
      <c r="AQ1339" s="401" t="inlineStr"/>
      <c r="AR1339" s="401" t="inlineStr"/>
      <c r="AS1339" s="401" t="n"/>
      <c r="AT1339" s="401" t="n"/>
      <c r="AU1339" s="401" t="n"/>
      <c r="AV1339" s="401" t="n"/>
      <c r="AW1339" s="401" t="n"/>
      <c r="AX1339" s="401" t="n"/>
      <c r="AY1339" s="401" t="n"/>
      <c r="AZ1339" s="401" t="inlineStr"/>
      <c r="BA1339" s="401" t="n"/>
      <c r="BB1339" s="401" t="inlineStr"/>
      <c r="BC1339" s="401" t="inlineStr"/>
      <c r="BD1339" s="401" t="inlineStr"/>
      <c r="BE1339" s="401" t="inlineStr"/>
      <c r="BF1339" s="401" t="inlineStr"/>
      <c r="BG1339" s="401" t="inlineStr"/>
      <c r="BH1339" s="401" t="inlineStr"/>
      <c r="BI1339" s="401" t="inlineStr"/>
      <c r="BJ1339" s="401" t="inlineStr"/>
      <c r="BK1339" s="401" t="inlineStr"/>
      <c r="BL1339" s="401" t="inlineStr"/>
      <c r="BM1339" s="401" t="inlineStr"/>
      <c r="BN1339" s="401" t="inlineStr"/>
      <c r="BO1339" s="401" t="inlineStr"/>
      <c r="BP1339" s="401" t="inlineStr"/>
      <c r="BQ1339" s="401" t="n"/>
      <c r="BR1339" s="401" t="n"/>
      <c r="BS1339" s="401" t="n"/>
      <c r="BT1339" s="401" t="n"/>
      <c r="BU1339" s="401" t="n"/>
      <c r="BV1339" s="401" t="n"/>
      <c r="BW1339" s="401" t="n"/>
      <c r="BX1339" s="401" t="n">
        <v>0</v>
      </c>
      <c r="BY1339" s="401" t="n"/>
      <c r="BZ1339" s="401" t="n"/>
      <c r="CA1339" s="401" t="n"/>
      <c r="CB1339" s="401" t="n"/>
      <c r="CC1339" s="401" t="n"/>
      <c r="CD1339" s="401" t="n"/>
      <c r="CE1339" s="401" t="n"/>
      <c r="CF1339" s="401" t="n">
        <v>0</v>
      </c>
      <c r="CG1339" s="401" t="n">
        <v>0</v>
      </c>
      <c r="CH1339" s="401" t="n"/>
      <c r="CI1339" s="401" t="inlineStr"/>
      <c r="CJ1339" s="401" t="inlineStr"/>
      <c r="CK1339" t="inlineStr"/>
      <c r="CL1339" t="inlineStr"/>
      <c r="CM1339" t="inlineStr"/>
      <c r="CN1339" t="inlineStr"/>
      <c r="CO1339" t="inlineStr"/>
      <c r="CP1339" t="inlineStr"/>
      <c r="CQ1339" t="inlineStr"/>
    </row>
    <row r="1340"/>
    <row r="1341">
      <c r="A1341" s="402" t="n">
        <v>52</v>
      </c>
      <c r="B1341" s="402">
        <f>B1348</f>
        <v/>
      </c>
      <c r="C1341" s="402">
        <f>C1348</f>
        <v/>
      </c>
      <c r="D1341" s="402">
        <f>D1348</f>
        <v/>
      </c>
      <c r="E1341" s="402">
        <f>E1348</f>
        <v/>
      </c>
      <c r="F1341" s="402">
        <f>F1348</f>
        <v/>
      </c>
      <c r="G1341" s="402">
        <f>G1348</f>
        <v/>
      </c>
      <c r="H1341" s="402" t="n"/>
      <c r="I1341" s="402" t="n"/>
      <c r="J1341" s="402" t="n"/>
      <c r="K1341" s="402" t="n"/>
      <c r="L1341" s="402" t="n"/>
      <c r="M1341" s="402" t="n"/>
      <c r="N1341" s="402" t="n"/>
      <c r="O1341" s="402">
        <f>O1348</f>
        <v/>
      </c>
      <c r="P1341" s="402">
        <f>P1348</f>
        <v/>
      </c>
      <c r="Q1341" s="402">
        <f>Q1348</f>
        <v/>
      </c>
      <c r="R1341" s="402">
        <f>R1348</f>
        <v/>
      </c>
      <c r="S1341" s="402">
        <f>S1348</f>
        <v/>
      </c>
      <c r="T1341" s="402">
        <f>T1348</f>
        <v/>
      </c>
      <c r="U1341" s="402">
        <f>U1348</f>
        <v/>
      </c>
      <c r="V1341" s="402">
        <f>V1348</f>
        <v/>
      </c>
      <c r="W1341" s="402">
        <f>W1348</f>
        <v/>
      </c>
      <c r="X1341" s="402">
        <f>X1348</f>
        <v/>
      </c>
      <c r="Y1341" s="402">
        <f>Y1348</f>
        <v/>
      </c>
      <c r="Z1341" s="402">
        <f>Z1348</f>
        <v/>
      </c>
      <c r="AA1341" s="402">
        <f>AA1348</f>
        <v/>
      </c>
      <c r="AB1341" s="402">
        <f>AB1348</f>
        <v/>
      </c>
      <c r="AC1341" s="402">
        <f>AC1348</f>
        <v/>
      </c>
      <c r="AD1341" s="402">
        <f>AD1348</f>
        <v/>
      </c>
      <c r="AE1341" s="402">
        <f>AE1348</f>
        <v/>
      </c>
      <c r="AF1341" s="402">
        <f>AF1348</f>
        <v/>
      </c>
      <c r="AG1341" s="402">
        <f>AG1348</f>
        <v/>
      </c>
      <c r="AH1341" s="402">
        <f>AH1348</f>
        <v/>
      </c>
      <c r="AI1341" s="402">
        <f>AI1348</f>
        <v/>
      </c>
      <c r="AJ1341" s="402">
        <f>AJ1348</f>
        <v/>
      </c>
      <c r="AK1341" s="402">
        <f>AK1348</f>
        <v/>
      </c>
      <c r="AL1341" s="402">
        <f>AL1348</f>
        <v/>
      </c>
      <c r="AM1341" s="402">
        <f>AM1348</f>
        <v/>
      </c>
      <c r="AN1341" s="402">
        <f>AN1348</f>
        <v/>
      </c>
      <c r="AO1341" s="402">
        <f>AO1348</f>
        <v/>
      </c>
      <c r="AP1341" s="402">
        <f>AP1348</f>
        <v/>
      </c>
      <c r="AQ1341" s="402">
        <f>AQ1348</f>
        <v/>
      </c>
      <c r="AR1341" s="402">
        <f>AR1348</f>
        <v/>
      </c>
      <c r="AS1341" s="402">
        <f>AS1348</f>
        <v/>
      </c>
      <c r="AT1341" s="402">
        <f>AT1348</f>
        <v/>
      </c>
      <c r="AU1341" s="402">
        <f>AU1348</f>
        <v/>
      </c>
      <c r="AV1341" s="402">
        <f>AV1348</f>
        <v/>
      </c>
      <c r="AW1341" s="402">
        <f>AW1348</f>
        <v/>
      </c>
      <c r="AX1341" s="402">
        <f>AX1348</f>
        <v/>
      </c>
      <c r="AY1341" s="402">
        <f>AY1348</f>
        <v/>
      </c>
      <c r="AZ1341" s="402">
        <f>AZ1348</f>
        <v/>
      </c>
      <c r="BA1341" s="402">
        <f>BA1348</f>
        <v/>
      </c>
      <c r="BB1341" s="402">
        <f>BB1348</f>
        <v/>
      </c>
      <c r="BC1341" s="402">
        <f>BC1348</f>
        <v/>
      </c>
      <c r="BD1341" s="402">
        <f>BD1348</f>
        <v/>
      </c>
      <c r="BE1341" s="402">
        <f>BE1348</f>
        <v/>
      </c>
      <c r="BF1341" s="402">
        <f>BF1348</f>
        <v/>
      </c>
      <c r="BG1341" s="402">
        <f>BG1348</f>
        <v/>
      </c>
      <c r="BH1341" s="402">
        <f>BH1348</f>
        <v/>
      </c>
      <c r="BI1341" s="402">
        <f>BI1348</f>
        <v/>
      </c>
      <c r="BJ1341" s="402">
        <f>BJ1348</f>
        <v/>
      </c>
      <c r="BK1341" s="402">
        <f>BK1348</f>
        <v/>
      </c>
      <c r="BL1341" s="402">
        <f>BL1348</f>
        <v/>
      </c>
      <c r="BM1341" s="402">
        <f>BM1348</f>
        <v/>
      </c>
      <c r="BN1341" s="402">
        <f>BN1348</f>
        <v/>
      </c>
      <c r="BO1341" s="402">
        <f>BO1348</f>
        <v/>
      </c>
      <c r="BP1341" s="402">
        <f>BP1348</f>
        <v/>
      </c>
      <c r="BQ1341" s="402">
        <f>BQ1348</f>
        <v/>
      </c>
      <c r="BR1341" s="402">
        <f>BR1348</f>
        <v/>
      </c>
      <c r="BS1341" s="402">
        <f>BS1348</f>
        <v/>
      </c>
      <c r="BT1341" s="402">
        <f>BT1348</f>
        <v/>
      </c>
      <c r="BU1341" s="402">
        <f>BU1348</f>
        <v/>
      </c>
      <c r="BV1341" s="402">
        <f>BV1348</f>
        <v/>
      </c>
      <c r="BW1341" s="402">
        <f>BW1348</f>
        <v/>
      </c>
      <c r="BX1341" s="402">
        <f>BX1348</f>
        <v/>
      </c>
      <c r="BY1341" s="402">
        <f>BY1348</f>
        <v/>
      </c>
      <c r="BZ1341" s="402">
        <f>BZ1348</f>
        <v/>
      </c>
      <c r="CA1341" s="402">
        <f>CA1348</f>
        <v/>
      </c>
      <c r="CB1341" s="402">
        <f>CB1348</f>
        <v/>
      </c>
      <c r="CC1341" s="402">
        <f>CC1348</f>
        <v/>
      </c>
      <c r="CD1341" s="402">
        <f>CD1348</f>
        <v/>
      </c>
      <c r="CE1341" s="402">
        <f>CE1348</f>
        <v/>
      </c>
      <c r="CF1341" s="402">
        <f>CF1348</f>
        <v/>
      </c>
      <c r="CG1341" s="402">
        <f>CG1348</f>
        <v/>
      </c>
      <c r="CH1341" s="402">
        <f>CH1348</f>
        <v/>
      </c>
      <c r="CI1341" s="402">
        <f>CI1348</f>
        <v/>
      </c>
      <c r="CJ1341" s="402">
        <f>CJ1348</f>
        <v/>
      </c>
      <c r="CK1341" s="402">
        <f>CK1348</f>
        <v/>
      </c>
      <c r="CL1341" s="402">
        <f>CL1348</f>
        <v/>
      </c>
      <c r="CM1341" s="402">
        <f>CM1348</f>
        <v/>
      </c>
      <c r="CN1341" s="402">
        <f>CN1348</f>
        <v/>
      </c>
      <c r="CO1341" s="402">
        <f>CO1348</f>
        <v/>
      </c>
      <c r="CP1341" s="402">
        <f>CP1348</f>
        <v/>
      </c>
      <c r="CQ1341" s="402">
        <f>CQ1348</f>
        <v/>
      </c>
      <c r="CR1341" s="402">
        <f>CR1348</f>
        <v/>
      </c>
      <c r="CS1341" s="402">
        <f>CS1348</f>
        <v/>
      </c>
      <c r="CT1341" s="402">
        <f>CT1348</f>
        <v/>
      </c>
      <c r="CU1341" s="402">
        <f>CU1348</f>
        <v/>
      </c>
      <c r="CV1341" s="402">
        <f>CV1348</f>
        <v/>
      </c>
      <c r="CW1341" s="402">
        <f>CW1348</f>
        <v/>
      </c>
      <c r="CX1341" s="402">
        <f>CX1348</f>
        <v/>
      </c>
      <c r="CY1341" s="402">
        <f>CY1348</f>
        <v/>
      </c>
      <c r="CZ1341" s="402">
        <f>CZ1348</f>
        <v/>
      </c>
      <c r="DA1341" s="402">
        <f>DA1348</f>
        <v/>
      </c>
      <c r="DB1341" s="402">
        <f>DB1348</f>
        <v/>
      </c>
      <c r="DC1341" s="402">
        <f>DC1348</f>
        <v/>
      </c>
      <c r="DD1341" s="402">
        <f>DD1348</f>
        <v/>
      </c>
      <c r="DE1341" s="402">
        <f>DE1348</f>
        <v/>
      </c>
      <c r="DF1341" s="402">
        <f>DF1348</f>
        <v/>
      </c>
      <c r="DG1341" s="403">
        <f>DG1348</f>
        <v/>
      </c>
      <c r="DH1341" s="403">
        <f>DH1348</f>
        <v/>
      </c>
      <c r="DI1341" s="403">
        <f>DI1348</f>
        <v/>
      </c>
      <c r="DJ1341" s="403">
        <f>DJ1348</f>
        <v/>
      </c>
      <c r="DK1341" s="403">
        <f>DK1348</f>
        <v/>
      </c>
      <c r="DL1341" s="403">
        <f>DL1348</f>
        <v/>
      </c>
      <c r="DM1341" s="403">
        <f>DM1348</f>
        <v/>
      </c>
      <c r="DN1341" s="403">
        <f>DN1348</f>
        <v/>
      </c>
      <c r="DO1341" s="403">
        <f>DO1348</f>
        <v/>
      </c>
      <c r="DP1341" s="403">
        <f>DP1348</f>
        <v/>
      </c>
      <c r="DQ1341" s="403">
        <f>DQ1348</f>
        <v/>
      </c>
      <c r="DR1341" s="403">
        <f>DR1348</f>
        <v/>
      </c>
      <c r="DS1341" s="403">
        <f>DS1348</f>
        <v/>
      </c>
      <c r="DT1341" s="403">
        <f>DT1348</f>
        <v/>
      </c>
      <c r="DU1341" s="403">
        <f>DU1348</f>
        <v/>
      </c>
      <c r="DV1341" s="403">
        <f>DV1348</f>
        <v/>
      </c>
      <c r="DW1341" s="403">
        <f>DW1348</f>
        <v/>
      </c>
      <c r="DX1341" s="403">
        <f>DX1348</f>
        <v/>
      </c>
      <c r="DY1341" s="403">
        <f>DY1348</f>
        <v/>
      </c>
      <c r="DZ1341" s="403">
        <f>DZ1348</f>
        <v/>
      </c>
      <c r="EA1341" s="403">
        <f>EA1348</f>
        <v/>
      </c>
      <c r="EB1341" s="403">
        <f>EB1348</f>
        <v/>
      </c>
      <c r="EC1341" s="403">
        <f>EC1348</f>
        <v/>
      </c>
      <c r="ED1341" s="403">
        <f>ED1348</f>
        <v/>
      </c>
      <c r="EE1341" s="403">
        <f>EE1348</f>
        <v/>
      </c>
      <c r="EF1341" s="403">
        <f>EF1348</f>
        <v/>
      </c>
      <c r="EG1341" s="403">
        <f>EG1348</f>
        <v/>
      </c>
      <c r="EH1341" s="403">
        <f>EH1348</f>
        <v/>
      </c>
      <c r="EI1341" s="403">
        <f>EI1348</f>
        <v/>
      </c>
      <c r="EJ1341" s="403">
        <f>EJ1348</f>
        <v/>
      </c>
      <c r="EK1341" s="403">
        <f>EK1348</f>
        <v/>
      </c>
      <c r="EL1341" s="403">
        <f>EL1348</f>
        <v/>
      </c>
      <c r="EM1341" s="403">
        <f>EM1348</f>
        <v/>
      </c>
      <c r="EN1341" s="403">
        <f>EN1348</f>
        <v/>
      </c>
      <c r="EO1341" s="403">
        <f>EO1348</f>
        <v/>
      </c>
      <c r="EP1341" s="403">
        <f>EP1348</f>
        <v/>
      </c>
      <c r="EQ1341" s="403">
        <f>EQ1348</f>
        <v/>
      </c>
      <c r="ER1341" s="403">
        <f>ER1348</f>
        <v/>
      </c>
      <c r="ES1341" s="403">
        <f>ES1348</f>
        <v/>
      </c>
      <c r="ET1341" s="403">
        <f>ET1348</f>
        <v/>
      </c>
      <c r="EU1341" s="403">
        <f>EU1348</f>
        <v/>
      </c>
      <c r="EV1341" s="403">
        <f>EV1348</f>
        <v/>
      </c>
      <c r="EW1341" s="403">
        <f>EW1348</f>
        <v/>
      </c>
      <c r="EX1341" s="403">
        <f>EX1348</f>
        <v/>
      </c>
      <c r="EY1341" s="403">
        <f>EY1348</f>
        <v/>
      </c>
      <c r="EZ1341" s="403">
        <f>EZ1348</f>
        <v/>
      </c>
      <c r="FA1341" s="403">
        <f>FA1348</f>
        <v/>
      </c>
      <c r="FB1341" s="403">
        <f>FB1348</f>
        <v/>
      </c>
      <c r="FC1341" s="403">
        <f>FC1348</f>
        <v/>
      </c>
      <c r="FD1341" s="403">
        <f>FD1348</f>
        <v/>
      </c>
      <c r="FE1341" s="403">
        <f>FE1348</f>
        <v/>
      </c>
      <c r="FF1341" s="403">
        <f>FF1348</f>
        <v/>
      </c>
      <c r="FG1341" s="403">
        <f>FG1348</f>
        <v/>
      </c>
      <c r="FH1341" s="403">
        <f>FH1348</f>
        <v/>
      </c>
      <c r="FI1341" s="403">
        <f>FI1348</f>
        <v/>
      </c>
      <c r="FJ1341" s="403">
        <f>FJ1348</f>
        <v/>
      </c>
      <c r="FK1341" s="403">
        <f>FK1348</f>
        <v/>
      </c>
      <c r="FL1341" s="403">
        <f>FL1348</f>
        <v/>
      </c>
      <c r="FM1341" s="403">
        <f>FM1348</f>
        <v/>
      </c>
      <c r="FN1341" s="403">
        <f>FN1348</f>
        <v/>
      </c>
      <c r="FO1341" s="403">
        <f>FO1348</f>
        <v/>
      </c>
      <c r="FP1341" s="403">
        <f>FP1348</f>
        <v/>
      </c>
      <c r="FQ1341" s="403">
        <f>FQ1348</f>
        <v/>
      </c>
      <c r="FR1341" s="403">
        <f>FR1348</f>
        <v/>
      </c>
      <c r="FS1341" s="403">
        <f>FS1348</f>
        <v/>
      </c>
      <c r="FT1341" s="403">
        <f>FT1348</f>
        <v/>
      </c>
      <c r="FU1341" s="403">
        <f>FU1348</f>
        <v/>
      </c>
      <c r="FV1341" s="403">
        <f>FV1348</f>
        <v/>
      </c>
      <c r="FW1341" s="403">
        <f>FW1348</f>
        <v/>
      </c>
      <c r="FX1341" s="403">
        <f>FX1348</f>
        <v/>
      </c>
      <c r="FY1341" s="403">
        <f>FY1348</f>
        <v/>
      </c>
      <c r="FZ1341" s="403">
        <f>FZ1348</f>
        <v/>
      </c>
      <c r="GA1341" s="403">
        <f>GA1348</f>
        <v/>
      </c>
      <c r="GB1341" s="403">
        <f>GB1348</f>
        <v/>
      </c>
      <c r="GC1341" s="403">
        <f>GC1348</f>
        <v/>
      </c>
      <c r="GD1341" s="403">
        <f>GD1348</f>
        <v/>
      </c>
      <c r="GE1341" s="403">
        <f>GE1348</f>
        <v/>
      </c>
      <c r="GF1341" s="403">
        <f>GF1348</f>
        <v/>
      </c>
      <c r="GG1341" s="403">
        <f>GG1348</f>
        <v/>
      </c>
      <c r="GH1341" s="403">
        <f>GH1348</f>
        <v/>
      </c>
      <c r="GI1341" s="403">
        <f>GI1348</f>
        <v/>
      </c>
      <c r="GJ1341" s="403">
        <f>GJ1348</f>
        <v/>
      </c>
      <c r="GK1341" s="403">
        <f>GK1348</f>
        <v/>
      </c>
      <c r="GL1341" s="403">
        <f>GL1348</f>
        <v/>
      </c>
      <c r="GM1341" s="403">
        <f>GM1348</f>
        <v/>
      </c>
      <c r="GN1341" s="403">
        <f>GN1348</f>
        <v/>
      </c>
      <c r="GO1341" s="403">
        <f>GO1348</f>
        <v/>
      </c>
      <c r="GP1341" s="403">
        <f>GP1348</f>
        <v/>
      </c>
      <c r="GQ1341" s="403">
        <f>GQ1348</f>
        <v/>
      </c>
      <c r="GR1341" s="403">
        <f>GR1348</f>
        <v/>
      </c>
      <c r="GS1341" s="403">
        <f>GS1348</f>
        <v/>
      </c>
      <c r="GT1341" s="403">
        <f>GT1348</f>
        <v/>
      </c>
      <c r="GU1341" s="403">
        <f>GU1348</f>
        <v/>
      </c>
      <c r="GV1341" s="403">
        <f>GV1348</f>
        <v/>
      </c>
      <c r="GW1341" s="403">
        <f>GW1348</f>
        <v/>
      </c>
      <c r="GX1341" s="403">
        <f>GX1348</f>
        <v/>
      </c>
    </row>
    <row r="1342"/>
    <row r="1343">
      <c r="A1343" t="n">
        <v>17</v>
      </c>
      <c r="B1343" t="n">
        <v>0</v>
      </c>
      <c r="C1343">
        <f>ROW(SmtRes!A649)</f>
        <v/>
      </c>
      <c r="D1343">
        <f>ROW(EtalonRes!A597)</f>
        <v/>
      </c>
      <c r="E1343" t="inlineStr">
        <is>
          <t>1</t>
        </is>
      </c>
      <c r="F1343" t="inlineStr">
        <is>
          <t>65-10-1</t>
        </is>
      </c>
      <c r="G1343" t="inlineStr">
        <is>
          <t>Очистка канализационной сети внутренней</t>
        </is>
      </c>
      <c r="H1343" t="inlineStr">
        <is>
          <t>100 м трубопровода</t>
        </is>
      </c>
      <c r="I1343">
        <f>ROUND(ROUND(45/100,4),7)</f>
        <v/>
      </c>
      <c r="J1343" t="n">
        <v>0</v>
      </c>
      <c r="K1343">
        <f>ROUND(ROUND(45/100,4),7)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78869116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403.3</v>
      </c>
      <c r="AL1343" t="n">
        <v>139.36</v>
      </c>
      <c r="AM1343" t="n">
        <v>0.87</v>
      </c>
      <c r="AN1343" t="n">
        <v>0</v>
      </c>
      <c r="AO1343" t="n">
        <v>263.07</v>
      </c>
      <c r="AP1343" t="n">
        <v>0</v>
      </c>
      <c r="AQ1343" t="n">
        <v>32.2</v>
      </c>
      <c r="AR1343" t="n">
        <v>0</v>
      </c>
      <c r="AS1343" t="n">
        <v>0</v>
      </c>
      <c r="AT1343" t="n">
        <v>103</v>
      </c>
      <c r="AU1343" t="n">
        <v>52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25.03</v>
      </c>
      <c r="BC1343" t="n">
        <v>11.85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ТЕРр Московской обл., 65-10-1, приказ Минстроя России №675/пр от 28.02.2017 № 263/пр</t>
        </is>
      </c>
      <c r="BM1343" t="n">
        <v>65007</v>
      </c>
      <c r="BN1343" t="n">
        <v>0</v>
      </c>
      <c r="BO1343" t="inlineStr">
        <is>
          <t>65-10-1</t>
        </is>
      </c>
      <c r="BP1343" t="n">
        <v>1</v>
      </c>
      <c r="BQ1343" t="n">
        <v>6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103</v>
      </c>
      <c r="CA1343" t="n">
        <v>52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78726000</v>
      </c>
      <c r="EF1343" t="n">
        <v>6</v>
      </c>
      <c r="EG1343" t="inlineStr">
        <is>
          <t>Ремонтно-строительные работы</t>
        </is>
      </c>
      <c r="EH1343" t="n">
        <v>99</v>
      </c>
      <c r="EI1343" t="inlineStr">
        <is>
          <t>Внутренние санитарно-технические работы</t>
        </is>
      </c>
      <c r="EJ1343" t="n">
        <v>1</v>
      </c>
      <c r="EK1343" t="n">
        <v>65007</v>
      </c>
      <c r="EL1343" t="inlineStr">
        <is>
          <t>Внутренние санитарнотехнические работы: смена труб, санприборов, запорной арматуры и другое</t>
        </is>
      </c>
      <c r="EM1343" t="inlineStr">
        <is>
          <t>рФЕР-65</t>
        </is>
      </c>
      <c r="EO1343" t="inlineStr"/>
      <c r="EQ1343" t="n">
        <v>0</v>
      </c>
      <c r="ER1343" t="n">
        <v>403.3</v>
      </c>
      <c r="ES1343" t="n">
        <v>139.36</v>
      </c>
      <c r="ET1343" t="n">
        <v>0.87</v>
      </c>
      <c r="EU1343" t="n">
        <v>0</v>
      </c>
      <c r="EV1343" t="n">
        <v>263.07</v>
      </c>
      <c r="EW1343" t="n">
        <v>32.2</v>
      </c>
      <c r="EX1343" t="n">
        <v>0</v>
      </c>
      <c r="EY1343" t="n">
        <v>0</v>
      </c>
      <c r="FQ1343" t="n">
        <v>0</v>
      </c>
      <c r="FR1343" t="n">
        <v>0</v>
      </c>
      <c r="FS1343" t="n">
        <v>0</v>
      </c>
      <c r="FX1343" t="n">
        <v>103</v>
      </c>
      <c r="FY1343" t="n">
        <v>52</v>
      </c>
      <c r="GA1343" t="inlineStr"/>
      <c r="GD1343" t="n">
        <v>1</v>
      </c>
      <c r="GF1343" t="n">
        <v>-66904957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Пр/812-099.2-1</t>
        </is>
      </c>
      <c r="HO1343" t="inlineStr">
        <is>
          <t>Пр/774-099.2</t>
        </is>
      </c>
      <c r="HP1343" t="inlineStr">
        <is>
          <t>Внутренние санитарнотехнические работы: смена труб, санприборов, запорной арматуры и другое</t>
        </is>
      </c>
      <c r="HQ1343" t="inlineStr">
        <is>
          <t>Внутренние санитарнотехнические работы: смена труб, санприборов, запорной арматуры и другое</t>
        </is>
      </c>
      <c r="HS1343" t="n">
        <v>0</v>
      </c>
      <c r="IK1343" t="n">
        <v>0</v>
      </c>
    </row>
    <row r="1344">
      <c r="A1344" t="n">
        <v>17</v>
      </c>
      <c r="B1344" t="n">
        <v>0</v>
      </c>
      <c r="C1344">
        <f>ROW(SmtRes!A652)</f>
        <v/>
      </c>
      <c r="D1344">
        <f>ROW(EtalonRes!A599)</f>
        <v/>
      </c>
      <c r="E1344" t="inlineStr">
        <is>
          <t>2</t>
        </is>
      </c>
      <c r="F1344" t="inlineStr">
        <is>
          <t>67-5-2</t>
        </is>
      </c>
      <c r="G1344" t="inlineStr">
        <is>
          <t>Смена ламп люминесцентных</t>
        </is>
      </c>
      <c r="H1344" t="inlineStr">
        <is>
          <t>100 шт.</t>
        </is>
      </c>
      <c r="I1344">
        <f>ROUND(ROUND(1/100,4),7)</f>
        <v/>
      </c>
      <c r="J1344" t="n">
        <v>0</v>
      </c>
      <c r="K1344">
        <f>ROUND(ROUND(1/100,4),7)</f>
        <v/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78869116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970.5700000000001</v>
      </c>
      <c r="AL1344" t="n">
        <v>852</v>
      </c>
      <c r="AM1344" t="n">
        <v>0</v>
      </c>
      <c r="AN1344" t="n">
        <v>0</v>
      </c>
      <c r="AO1344" t="n">
        <v>118.57</v>
      </c>
      <c r="AP1344" t="n">
        <v>0</v>
      </c>
      <c r="AQ1344" t="n">
        <v>13.9</v>
      </c>
      <c r="AR1344" t="n">
        <v>0</v>
      </c>
      <c r="AS1344" t="n">
        <v>0</v>
      </c>
      <c r="AT1344" t="n">
        <v>91</v>
      </c>
      <c r="AU1344" t="n">
        <v>48</v>
      </c>
      <c r="AV1344" t="n">
        <v>1</v>
      </c>
      <c r="AW1344" t="n">
        <v>1</v>
      </c>
      <c r="AZ1344" t="n">
        <v>1</v>
      </c>
      <c r="BA1344" t="n">
        <v>52.25</v>
      </c>
      <c r="BB1344" t="n">
        <v>1</v>
      </c>
      <c r="BC1344" t="n">
        <v>4.14</v>
      </c>
      <c r="BD1344" t="inlineStr"/>
      <c r="BE1344" t="inlineStr"/>
      <c r="BF1344" t="inlineStr"/>
      <c r="BG1344" t="inlineStr"/>
      <c r="BH1344" t="n">
        <v>0</v>
      </c>
      <c r="BI1344" t="n">
        <v>1</v>
      </c>
      <c r="BJ1344" t="inlineStr">
        <is>
          <t>ТЕРр Московской обл., 67-5-2, приказ Минстроя России №675/пр от 28.02.2017 № 263/пр</t>
        </is>
      </c>
      <c r="BM1344" t="n">
        <v>67001</v>
      </c>
      <c r="BN1344" t="n">
        <v>0</v>
      </c>
      <c r="BO1344" t="inlineStr">
        <is>
          <t>67-5-2</t>
        </is>
      </c>
      <c r="BP1344" t="n">
        <v>1</v>
      </c>
      <c r="BQ1344" t="n">
        <v>6</v>
      </c>
      <c r="BR1344" t="n">
        <v>0</v>
      </c>
      <c r="BS1344" t="n">
        <v>52.25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91</v>
      </c>
      <c r="CA1344" t="n">
        <v>48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100 шт.</t>
        </is>
      </c>
      <c r="DW1344" t="inlineStr">
        <is>
          <t>100 шт.</t>
        </is>
      </c>
      <c r="DX1344" t="n">
        <v>100</v>
      </c>
      <c r="DZ1344" t="inlineStr"/>
      <c r="EA1344" t="inlineStr"/>
      <c r="EB1344" t="inlineStr"/>
      <c r="EC1344" t="inlineStr"/>
      <c r="EE1344" t="n">
        <v>78726030</v>
      </c>
      <c r="EF1344" t="n">
        <v>6</v>
      </c>
      <c r="EG1344" t="inlineStr">
        <is>
          <t>Ремонтно-строительные работы</t>
        </is>
      </c>
      <c r="EH1344" t="n">
        <v>101</v>
      </c>
      <c r="EI1344" t="inlineStr">
        <is>
          <t>Электромонтажные работы</t>
        </is>
      </c>
      <c r="EJ1344" t="n">
        <v>1</v>
      </c>
      <c r="EK1344" t="n">
        <v>67001</v>
      </c>
      <c r="EL1344" t="inlineStr">
        <is>
          <t>Электромонтажные работы</t>
        </is>
      </c>
      <c r="EM1344" t="inlineStr">
        <is>
          <t>рФЕР-67</t>
        </is>
      </c>
      <c r="EO1344" t="inlineStr"/>
      <c r="EQ1344" t="n">
        <v>0</v>
      </c>
      <c r="ER1344" t="n">
        <v>970.5700000000001</v>
      </c>
      <c r="ES1344" t="n">
        <v>852</v>
      </c>
      <c r="ET1344" t="n">
        <v>0</v>
      </c>
      <c r="EU1344" t="n">
        <v>0</v>
      </c>
      <c r="EV1344" t="n">
        <v>118.57</v>
      </c>
      <c r="EW1344" t="n">
        <v>13.9</v>
      </c>
      <c r="EX1344" t="n">
        <v>0</v>
      </c>
      <c r="EY1344" t="n">
        <v>0</v>
      </c>
      <c r="FQ1344" t="n">
        <v>0</v>
      </c>
      <c r="FR1344" t="n">
        <v>0</v>
      </c>
      <c r="FS1344" t="n">
        <v>0</v>
      </c>
      <c r="FX1344" t="n">
        <v>91</v>
      </c>
      <c r="FY1344" t="n">
        <v>48</v>
      </c>
      <c r="GA1344" t="inlineStr"/>
      <c r="GD1344" t="n">
        <v>1</v>
      </c>
      <c r="GF1344" t="n">
        <v>1400342257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Пр/812-101.0-1</t>
        </is>
      </c>
      <c r="HO1344" t="inlineStr">
        <is>
          <t>Пр/774-101.0</t>
        </is>
      </c>
      <c r="HP1344" t="inlineStr">
        <is>
          <t>Электромонтажные работы</t>
        </is>
      </c>
      <c r="HQ1344" t="inlineStr">
        <is>
          <t>Электромонтажные работы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652</v>
      </c>
      <c r="E1345" t="inlineStr">
        <is>
          <t>2,1</t>
        </is>
      </c>
      <c r="F1345" t="inlineStr">
        <is>
          <t>509-6744</t>
        </is>
      </c>
      <c r="G1345" t="inlineStr">
        <is>
          <t>Лампы люминесцентные компактные энергосберегающие с цоколем Е27 мощностью 55 Вт</t>
        </is>
      </c>
      <c r="H1345" t="inlineStr">
        <is>
          <t>шт.</t>
        </is>
      </c>
      <c r="I1345">
        <f>I1344*J1345</f>
        <v/>
      </c>
      <c r="J1345" t="n">
        <v>100</v>
      </c>
      <c r="K1345" t="n">
        <v>100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78869116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140.69</v>
      </c>
      <c r="AL1345" t="n">
        <v>140.69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0.02</v>
      </c>
      <c r="AT1345" t="n">
        <v>91</v>
      </c>
      <c r="AU1345" t="n">
        <v>48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1.69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509-6744, приказ Минстроя России №675/пр от 28.02.2017 № 258/пр</t>
        </is>
      </c>
      <c r="BM1345" t="n">
        <v>67001</v>
      </c>
      <c r="BN1345" t="n">
        <v>0</v>
      </c>
      <c r="BO1345" t="inlineStr">
        <is>
          <t>509-6744</t>
        </is>
      </c>
      <c r="BP1345" t="n">
        <v>1</v>
      </c>
      <c r="BQ1345" t="n">
        <v>6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91</v>
      </c>
      <c r="CA1345" t="n">
        <v>48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шт.</t>
        </is>
      </c>
      <c r="DW1345" t="inlineStr">
        <is>
          <t>шт.</t>
        </is>
      </c>
      <c r="DX1345" t="n">
        <v>1</v>
      </c>
      <c r="DZ1345" t="inlineStr"/>
      <c r="EA1345" t="inlineStr"/>
      <c r="EB1345" t="inlineStr"/>
      <c r="EC1345" t="inlineStr"/>
      <c r="EE1345" t="n">
        <v>78726030</v>
      </c>
      <c r="EF1345" t="n">
        <v>6</v>
      </c>
      <c r="EG1345" t="inlineStr">
        <is>
          <t>Ремонтно-строительные работы</t>
        </is>
      </c>
      <c r="EH1345" t="n">
        <v>101</v>
      </c>
      <c r="EI1345" t="inlineStr">
        <is>
          <t>Электромонтажные работы</t>
        </is>
      </c>
      <c r="EJ1345" t="n">
        <v>1</v>
      </c>
      <c r="EK1345" t="n">
        <v>67001</v>
      </c>
      <c r="EL1345" t="inlineStr">
        <is>
          <t>Электромонтажные работы</t>
        </is>
      </c>
      <c r="EM1345" t="inlineStr">
        <is>
          <t>рФЕР-67</t>
        </is>
      </c>
      <c r="EO1345" t="inlineStr"/>
      <c r="EQ1345" t="n">
        <v>0</v>
      </c>
      <c r="ER1345" t="n">
        <v>140.69</v>
      </c>
      <c r="ES1345" t="n">
        <v>140.69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91</v>
      </c>
      <c r="FY1345" t="n">
        <v>48</v>
      </c>
      <c r="GA1345" t="inlineStr"/>
      <c r="GD1345" t="n">
        <v>1</v>
      </c>
      <c r="GF1345" t="n">
        <v>-228955380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Пр/812-101.0-1</t>
        </is>
      </c>
      <c r="HO1345" t="inlineStr">
        <is>
          <t>Пр/774-101.0</t>
        </is>
      </c>
      <c r="HP1345" t="inlineStr">
        <is>
          <t>Электромонтажные работы</t>
        </is>
      </c>
      <c r="HQ1345" t="inlineStr">
        <is>
          <t>Электромонтажные работы</t>
        </is>
      </c>
      <c r="HS1345" t="n">
        <v>0</v>
      </c>
      <c r="IK1345" t="n">
        <v>0</v>
      </c>
    </row>
    <row r="1346">
      <c r="A1346" t="n">
        <v>17</v>
      </c>
      <c r="B1346" t="n">
        <v>0</v>
      </c>
      <c r="C1346">
        <f>ROW(SmtRes!A658)</f>
        <v/>
      </c>
      <c r="D1346">
        <f>ROW(EtalonRes!A605)</f>
        <v/>
      </c>
      <c r="E1346" t="inlineStr">
        <is>
          <t>3</t>
        </is>
      </c>
      <c r="F1346" t="inlineStr">
        <is>
          <t>16-07-005-1</t>
        </is>
      </c>
      <c r="G134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46" t="inlineStr">
        <is>
          <t>100 м трубопровода</t>
        </is>
      </c>
      <c r="I1346">
        <f>ROUND(ROUND(27/100,4),7)</f>
        <v/>
      </c>
      <c r="J1346" t="n">
        <v>0</v>
      </c>
      <c r="K1346">
        <f>ROUND(ROUND(27/100,4),7)</f>
        <v/>
      </c>
      <c r="O1346">
        <f>ROUND(CP1346,0)</f>
        <v/>
      </c>
      <c r="P1346">
        <f>ROUND(CQ1346*I1346,0)</f>
        <v/>
      </c>
      <c r="Q1346">
        <f>(ROUND((ROUND((((ET1346*ROUND(10,7)))*I1346),0)*BB1346),0)+ROUND((ROUND(((AE1346-((EU1346*ROUND(10,7))))*I1346),0)*BS1346),0))</f>
        <v/>
      </c>
      <c r="R1346">
        <f>(ROUND((ROUND((((EU1346*ROUND(10,7)))*I1346),0)*BS1346),0)+ROUND((ROUND(((AE1346-((EU1346*ROUND(10,7))))*I1346),0)*BS1346),0))</f>
        <v/>
      </c>
      <c r="S1346">
        <f>ROUND(CT1346*I1346,0)</f>
        <v/>
      </c>
      <c r="T1346">
        <f>ROUND(CU1346*I1346,0)</f>
        <v/>
      </c>
      <c r="U1346">
        <f>ROUND(CV1346*I1346,7)</f>
        <v/>
      </c>
      <c r="V1346">
        <f>ROUND(CW1346*I1346,7)</f>
        <v/>
      </c>
      <c r="W1346">
        <f>ROUND(CX1346*I1346,0)</f>
        <v/>
      </c>
      <c r="X1346">
        <f>ROUND(CY1346,0)</f>
        <v/>
      </c>
      <c r="Y1346">
        <f>ROUND(CZ1346,0)</f>
        <v/>
      </c>
      <c r="AA1346" t="n">
        <v>78869116</v>
      </c>
      <c r="AB1346">
        <f>ROUND((AC1346+AD1346+AF1346),2)</f>
        <v/>
      </c>
      <c r="AC1346">
        <f>ROUND(((ES1346*ROUND(10,7))),2)</f>
        <v/>
      </c>
      <c r="AD1346">
        <f>ROUND(((((ET1346*ROUND(10,7)))-((EU1346*ROUND(10,7))))+AE1346),2)</f>
        <v/>
      </c>
      <c r="AE1346">
        <f>ROUND(((EU1346*ROUND(10,7))),2)</f>
        <v/>
      </c>
      <c r="AF1346">
        <f>ROUND(((EV1346*ROUND(10,7))),2)</f>
        <v/>
      </c>
      <c r="AG1346">
        <f>ROUND((AP1346),2)</f>
        <v/>
      </c>
      <c r="AH1346">
        <f>((EW1346*ROUND(10,7)))</f>
        <v/>
      </c>
      <c r="AI1346">
        <f>((EX1346*ROUND(10,7)))</f>
        <v/>
      </c>
      <c r="AJ1346">
        <f>(AS1346)</f>
        <v/>
      </c>
      <c r="AK1346" t="n">
        <v>107.11</v>
      </c>
      <c r="AL1346" t="n">
        <v>4.28</v>
      </c>
      <c r="AM1346" t="n">
        <v>44.51</v>
      </c>
      <c r="AN1346" t="n">
        <v>0</v>
      </c>
      <c r="AO1346" t="n">
        <v>58.32</v>
      </c>
      <c r="AP1346" t="n">
        <v>0</v>
      </c>
      <c r="AQ1346" t="n">
        <v>5.01</v>
      </c>
      <c r="AR1346" t="n">
        <v>0</v>
      </c>
      <c r="AS1346" t="n">
        <v>0</v>
      </c>
      <c r="AT1346" t="n">
        <v>121</v>
      </c>
      <c r="AU1346" t="n">
        <v>72</v>
      </c>
      <c r="AV1346" t="n">
        <v>1</v>
      </c>
      <c r="AW1346" t="n">
        <v>1</v>
      </c>
      <c r="AZ1346" t="n">
        <v>1</v>
      </c>
      <c r="BA1346" t="n">
        <v>52.25</v>
      </c>
      <c r="BB1346" t="n">
        <v>5.97</v>
      </c>
      <c r="BC1346" t="n">
        <v>11.38</v>
      </c>
      <c r="BD1346" t="inlineStr"/>
      <c r="BE1346" t="inlineStr"/>
      <c r="BF1346" t="inlineStr"/>
      <c r="BG1346" t="inlineStr"/>
      <c r="BH1346" t="n">
        <v>0</v>
      </c>
      <c r="BI1346" t="n">
        <v>1</v>
      </c>
      <c r="BJ1346" t="inlineStr">
        <is>
          <t>ТЕР Московской обл., 16-07-005-1, приказ Минстроя России №675/пр от 28.02.2017 № 260/пр</t>
        </is>
      </c>
      <c r="BM1346" t="n">
        <v>16001</v>
      </c>
      <c r="BN1346" t="n">
        <v>0</v>
      </c>
      <c r="BO1346" t="inlineStr">
        <is>
          <t>16-07-005-1</t>
        </is>
      </c>
      <c r="BP1346" t="n">
        <v>1</v>
      </c>
      <c r="BQ1346" t="n">
        <v>2</v>
      </c>
      <c r="BR1346" t="n">
        <v>0</v>
      </c>
      <c r="BS1346" t="n">
        <v>52.25</v>
      </c>
      <c r="BT1346" t="n">
        <v>1</v>
      </c>
      <c r="BU1346" t="n">
        <v>1</v>
      </c>
      <c r="BV1346" t="n">
        <v>1</v>
      </c>
      <c r="BW1346" t="n">
        <v>1</v>
      </c>
      <c r="BX1346" t="n">
        <v>1</v>
      </c>
      <c r="BY1346" t="inlineStr"/>
      <c r="BZ1346" t="n">
        <v>121</v>
      </c>
      <c r="CA1346" t="n">
        <v>72</v>
      </c>
      <c r="CB1346" t="inlineStr"/>
      <c r="CE1346" t="n">
        <v>12</v>
      </c>
      <c r="CF1346" t="n">
        <v>0</v>
      </c>
      <c r="CG1346" t="n">
        <v>0</v>
      </c>
      <c r="CM1346" t="n">
        <v>0</v>
      </c>
      <c r="CN1346" t="inlineStr"/>
      <c r="CO1346" t="n">
        <v>0</v>
      </c>
      <c r="CP1346">
        <f>(P1346+Q1346+S1346)</f>
        <v/>
      </c>
      <c r="CQ1346">
        <f>AC1346*BC1346</f>
        <v/>
      </c>
      <c r="CR1346">
        <f>(ROUND((ROUND((((ET1346*ROUND(10,7)))*1),0)*BB1346),0)+ROUND((ROUND(((AE1346-((EU1346*ROUND(10,7))))*1),0)*BS1346),0))</f>
        <v/>
      </c>
      <c r="CS1346">
        <f>(ROUND((ROUND((((EU1346*ROUND(10,7)))*1),0)*BS1346),0)+ROUND((ROUND(((AE1346-((EU1346*ROUND(10,7))))*1),0)*BS1346),0))</f>
        <v/>
      </c>
      <c r="CT1346">
        <f>AF1346*BA1346</f>
        <v/>
      </c>
      <c r="CU1346">
        <f>AG1346</f>
        <v/>
      </c>
      <c r="CV1346">
        <f>AH1346</f>
        <v/>
      </c>
      <c r="CW1346">
        <f>AI1346</f>
        <v/>
      </c>
      <c r="CX1346">
        <f>AJ1346</f>
        <v/>
      </c>
      <c r="CY1346">
        <f>(((S1346+R1346)*AT1346)/100)</f>
        <v/>
      </c>
      <c r="CZ1346">
        <f>(((S1346+R1346)*AU1346)/100)</f>
        <v/>
      </c>
      <c r="DC1346" t="inlineStr"/>
      <c r="DD1346" t="inlineStr">
        <is>
          <t>)*10</t>
        </is>
      </c>
      <c r="DE1346" t="inlineStr">
        <is>
          <t>)*10</t>
        </is>
      </c>
      <c r="DF1346" t="inlineStr">
        <is>
          <t>)*10</t>
        </is>
      </c>
      <c r="DG1346" t="inlineStr">
        <is>
          <t>)*10</t>
        </is>
      </c>
      <c r="DH1346" t="inlineStr"/>
      <c r="DI1346" t="inlineStr">
        <is>
          <t>)*10</t>
        </is>
      </c>
      <c r="DJ1346" t="inlineStr">
        <is>
          <t>)*10</t>
        </is>
      </c>
      <c r="DK1346" t="inlineStr"/>
      <c r="DL1346" t="inlineStr"/>
      <c r="DM1346" t="inlineStr"/>
      <c r="DN1346" t="n">
        <v>0</v>
      </c>
      <c r="DO1346" t="n">
        <v>0</v>
      </c>
      <c r="DP1346" t="n">
        <v>1</v>
      </c>
      <c r="DQ1346" t="n">
        <v>1</v>
      </c>
      <c r="DU1346" t="n">
        <v>1013</v>
      </c>
      <c r="DV1346" t="inlineStr">
        <is>
          <t>100 м трубопровода</t>
        </is>
      </c>
      <c r="DW1346" t="inlineStr">
        <is>
          <t>100 м трубопровода</t>
        </is>
      </c>
      <c r="DX1346" t="n">
        <v>1</v>
      </c>
      <c r="DZ1346" t="inlineStr"/>
      <c r="EA1346" t="inlineStr"/>
      <c r="EB1346" t="inlineStr"/>
      <c r="EC1346" t="inlineStr"/>
      <c r="EE1346" t="n">
        <v>78725882</v>
      </c>
      <c r="EF1346" t="n">
        <v>2</v>
      </c>
      <c r="EG1346" t="inlineStr">
        <is>
          <t>Общестроительные работы</t>
        </is>
      </c>
      <c r="EH1346" t="n">
        <v>16</v>
      </c>
      <c r="EI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6" t="n">
        <v>1</v>
      </c>
      <c r="EK1346" t="n">
        <v>16001</v>
      </c>
      <c r="EL1346" t="inlineStr">
        <is>
          <t>Трубопроводы внутренние</t>
        </is>
      </c>
      <c r="EM1346" t="inlineStr">
        <is>
          <t>ФЕР-16</t>
        </is>
      </c>
      <c r="EO1346" t="inlineStr"/>
      <c r="EQ1346" t="n">
        <v>0</v>
      </c>
      <c r="ER1346" t="n">
        <v>107.11</v>
      </c>
      <c r="ES1346" t="n">
        <v>4.28</v>
      </c>
      <c r="ET1346" t="n">
        <v>44.51</v>
      </c>
      <c r="EU1346" t="n">
        <v>0</v>
      </c>
      <c r="EV1346" t="n">
        <v>58.32</v>
      </c>
      <c r="EW1346" t="n">
        <v>5.01</v>
      </c>
      <c r="EX1346" t="n">
        <v>0</v>
      </c>
      <c r="EY1346" t="n">
        <v>0</v>
      </c>
      <c r="FQ1346" t="n">
        <v>0</v>
      </c>
      <c r="FR1346" t="n">
        <v>0</v>
      </c>
      <c r="FS1346" t="n">
        <v>0</v>
      </c>
      <c r="FX1346" t="n">
        <v>121</v>
      </c>
      <c r="FY1346" t="n">
        <v>72</v>
      </c>
      <c r="GA1346" t="inlineStr"/>
      <c r="GD1346" t="n">
        <v>1</v>
      </c>
      <c r="GF1346" t="n">
        <v>635989612</v>
      </c>
      <c r="GG1346" t="n">
        <v>2</v>
      </c>
      <c r="GH1346" t="n">
        <v>1</v>
      </c>
      <c r="GI1346" t="n">
        <v>2</v>
      </c>
      <c r="GJ1346" t="n">
        <v>0</v>
      </c>
      <c r="GK1346" t="n">
        <v>0</v>
      </c>
      <c r="GL1346">
        <f>ROUND(IF(AND(BH1346=3,BI1346=3,FS1346&lt;&gt;0),P1346,0),0)</f>
        <v/>
      </c>
      <c r="GM1346">
        <f>ROUND(O1346+X1346+Y1346,0)+GX1346</f>
        <v/>
      </c>
      <c r="GN1346">
        <f>IF(OR(BI1346=0,BI1346=1),GM1346-GX1346,0)</f>
        <v/>
      </c>
      <c r="GO1346">
        <f>IF(BI1346=2,GM1346-GX1346,0)</f>
        <v/>
      </c>
      <c r="GP1346">
        <f>IF(BI1346=4,GM1346-GX1346,0)</f>
        <v/>
      </c>
      <c r="GR1346" t="n">
        <v>0</v>
      </c>
      <c r="GS1346" t="n">
        <v>3</v>
      </c>
      <c r="GT1346" t="n">
        <v>0</v>
      </c>
      <c r="GU1346" t="inlineStr"/>
      <c r="GV1346">
        <f>ROUND((GT1346),2)</f>
        <v/>
      </c>
      <c r="GW1346" t="n">
        <v>1</v>
      </c>
      <c r="GX1346">
        <f>ROUND(HC1346*I1346,0)</f>
        <v/>
      </c>
      <c r="HA1346" t="n">
        <v>0</v>
      </c>
      <c r="HB1346" t="n">
        <v>0</v>
      </c>
      <c r="HC1346">
        <f>GV1346*GW1346</f>
        <v/>
      </c>
      <c r="HE1346" t="inlineStr"/>
      <c r="HF1346" t="inlineStr"/>
      <c r="HM1346" t="inlineStr"/>
      <c r="HN1346" t="inlineStr">
        <is>
          <t>Пр/812-016.0-1</t>
        </is>
      </c>
      <c r="HO1346" t="inlineStr">
        <is>
          <t>Пр/774-016.0</t>
        </is>
      </c>
      <c r="HP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6" t="n">
        <v>0</v>
      </c>
      <c r="IK1346" t="n">
        <v>0</v>
      </c>
    </row>
    <row r="1347"/>
    <row r="1348">
      <c r="A1348" s="402" t="n">
        <v>51</v>
      </c>
      <c r="B1348" s="402">
        <f>B1339</f>
        <v/>
      </c>
      <c r="C1348" s="402">
        <f>A1339</f>
        <v/>
      </c>
      <c r="D1348" s="402">
        <f>ROW(A1339)</f>
        <v/>
      </c>
      <c r="E1348" s="402" t="n"/>
      <c r="F1348" s="402">
        <f>IF(F1339&lt;&gt;"",F1339,"")</f>
        <v/>
      </c>
      <c r="G1348" s="402">
        <f>IF(G1339&lt;&gt;"",G1339,"")</f>
        <v/>
      </c>
      <c r="H1348" s="402" t="n">
        <v>0</v>
      </c>
      <c r="I1348" s="402" t="n"/>
      <c r="J1348" s="402" t="n"/>
      <c r="K1348" s="402" t="n"/>
      <c r="L1348" s="402" t="n"/>
      <c r="M1348" s="402" t="n"/>
      <c r="N1348" s="402" t="n"/>
      <c r="O1348" s="402" t="n">
        <v>0</v>
      </c>
      <c r="P1348" s="402" t="n">
        <v>0</v>
      </c>
      <c r="Q1348" s="402" t="n">
        <v>0</v>
      </c>
      <c r="R1348" s="402" t="n">
        <v>0</v>
      </c>
      <c r="S1348" s="402" t="n">
        <v>0</v>
      </c>
      <c r="T1348" s="402" t="n">
        <v>0</v>
      </c>
      <c r="U1348" s="402" t="n">
        <v>0</v>
      </c>
      <c r="V1348" s="402" t="n">
        <v>0</v>
      </c>
      <c r="W1348" s="402" t="n">
        <v>0</v>
      </c>
      <c r="X1348" s="402" t="n">
        <v>0</v>
      </c>
      <c r="Y1348" s="402" t="n">
        <v>0</v>
      </c>
      <c r="Z1348" s="402" t="n"/>
      <c r="AA1348" s="402" t="n"/>
      <c r="AB1348" s="402" t="n"/>
      <c r="AC1348" s="402" t="n"/>
      <c r="AD1348" s="402" t="n"/>
      <c r="AE1348" s="402" t="n"/>
      <c r="AF1348" s="402" t="n"/>
      <c r="AG1348" s="402" t="n"/>
      <c r="AH1348" s="402" t="n"/>
      <c r="AI1348" s="402" t="n"/>
      <c r="AJ1348" s="402" t="n"/>
      <c r="AK1348" s="402" t="n"/>
      <c r="AL1348" s="402" t="n"/>
      <c r="AM1348" s="402" t="n"/>
      <c r="AN1348" s="402" t="n"/>
      <c r="AO1348" s="402">
        <f>ROUND(BX1348,0)</f>
        <v/>
      </c>
      <c r="AP1348" s="402">
        <f>ROUND(BY1348,0)</f>
        <v/>
      </c>
      <c r="AQ1348" s="402">
        <f>ROUND(BZ1348,0)</f>
        <v/>
      </c>
      <c r="AR1348" s="402">
        <f>ROUND(CA1348,0)</f>
        <v/>
      </c>
      <c r="AS1348" s="402">
        <f>ROUND(CB1348,0)</f>
        <v/>
      </c>
      <c r="AT1348" s="402">
        <f>ROUND(CC1348,0)</f>
        <v/>
      </c>
      <c r="AU1348" s="402">
        <f>ROUND(CD1348,0)</f>
        <v/>
      </c>
      <c r="AV1348" s="402">
        <f>ROUND(CE1348,0)</f>
        <v/>
      </c>
      <c r="AW1348" s="402">
        <f>ROUND(CF1348,0)</f>
        <v/>
      </c>
      <c r="AX1348" s="402">
        <f>ROUND(CG1348,0)</f>
        <v/>
      </c>
      <c r="AY1348" s="402">
        <f>ROUND(CH1348,0)</f>
        <v/>
      </c>
      <c r="AZ1348" s="402">
        <f>ROUND(CI1348,0)</f>
        <v/>
      </c>
      <c r="BA1348" s="402">
        <f>ROUND(CJ1348,0)</f>
        <v/>
      </c>
      <c r="BB1348" s="402">
        <f>ROUND(CK1348,0)</f>
        <v/>
      </c>
      <c r="BC1348" s="402">
        <f>ROUND(CL1348,0)</f>
        <v/>
      </c>
      <c r="BD1348" s="402">
        <f>ROUND(CM1348,0)</f>
        <v/>
      </c>
      <c r="BE1348" s="402" t="n"/>
      <c r="BF1348" s="402" t="n"/>
      <c r="BG1348" s="402" t="n"/>
      <c r="BH1348" s="402" t="n"/>
      <c r="BI1348" s="402" t="n"/>
      <c r="BJ1348" s="402" t="n"/>
      <c r="BK1348" s="402" t="n"/>
      <c r="BL1348" s="402" t="n"/>
      <c r="BM1348" s="402" t="n"/>
      <c r="BN1348" s="402" t="n"/>
      <c r="BO1348" s="402" t="n"/>
      <c r="BP1348" s="402" t="n"/>
      <c r="BQ1348" s="402" t="n"/>
      <c r="BR1348" s="402" t="n"/>
      <c r="BS1348" s="402" t="n"/>
      <c r="BT1348" s="402" t="n"/>
      <c r="BU1348" s="402" t="n"/>
      <c r="BV1348" s="402" t="n"/>
      <c r="BW1348" s="402" t="n"/>
      <c r="BX1348" s="402" t="n"/>
      <c r="BY1348" s="402" t="n"/>
      <c r="BZ1348" s="402" t="n"/>
      <c r="CA1348" s="402" t="n"/>
      <c r="CB1348" s="402" t="n"/>
      <c r="CC1348" s="402" t="n"/>
      <c r="CD1348" s="402" t="n"/>
      <c r="CE1348" s="402" t="n"/>
      <c r="CF1348" s="402" t="n"/>
      <c r="CG1348" s="402" t="n"/>
      <c r="CH1348" s="402" t="n"/>
      <c r="CI1348" s="402" t="n"/>
      <c r="CJ1348" s="402" t="n"/>
      <c r="CK1348" s="402" t="n"/>
      <c r="CL1348" s="402" t="n"/>
      <c r="CM1348" s="402" t="n"/>
      <c r="CN1348" s="402" t="n"/>
      <c r="CO1348" s="402" t="n"/>
      <c r="CP1348" s="402" t="n"/>
      <c r="CQ1348" s="402" t="n"/>
      <c r="CR1348" s="402" t="n"/>
      <c r="CS1348" s="402" t="n"/>
      <c r="CT1348" s="402" t="n"/>
      <c r="CU1348" s="402" t="n"/>
      <c r="CV1348" s="402" t="n"/>
      <c r="CW1348" s="402" t="n"/>
      <c r="CX1348" s="402" t="n"/>
      <c r="CY1348" s="402" t="n"/>
      <c r="CZ1348" s="402" t="n"/>
      <c r="DA1348" s="402" t="n"/>
      <c r="DB1348" s="402" t="n"/>
      <c r="DC1348" s="402" t="n"/>
      <c r="DD1348" s="402" t="n"/>
      <c r="DE1348" s="402" t="n"/>
      <c r="DF1348" s="402" t="n"/>
      <c r="DG1348" s="403" t="n"/>
      <c r="DH1348" s="403" t="n"/>
      <c r="DI1348" s="403" t="n"/>
      <c r="DJ1348" s="403" t="n"/>
      <c r="DK1348" s="403" t="n"/>
      <c r="DL1348" s="403" t="n"/>
      <c r="DM1348" s="403" t="n"/>
      <c r="DN1348" s="403" t="n"/>
      <c r="DO1348" s="403" t="n"/>
      <c r="DP1348" s="403" t="n"/>
      <c r="DQ1348" s="403" t="n"/>
      <c r="DR1348" s="403" t="n"/>
      <c r="DS1348" s="403" t="n"/>
      <c r="DT1348" s="403" t="n"/>
      <c r="DU1348" s="403" t="n"/>
      <c r="DV1348" s="403" t="n"/>
      <c r="DW1348" s="403" t="n"/>
      <c r="DX1348" s="403" t="n"/>
      <c r="DY1348" s="403" t="n"/>
      <c r="DZ1348" s="403" t="n"/>
      <c r="EA1348" s="403" t="n"/>
      <c r="EB1348" s="403" t="n"/>
      <c r="EC1348" s="403" t="n"/>
      <c r="ED1348" s="403" t="n"/>
      <c r="EE1348" s="403" t="n"/>
      <c r="EF1348" s="403" t="n"/>
      <c r="EG1348" s="403" t="n"/>
      <c r="EH1348" s="403" t="n"/>
      <c r="EI1348" s="403" t="n"/>
      <c r="EJ1348" s="403" t="n"/>
      <c r="EK1348" s="403" t="n"/>
      <c r="EL1348" s="403" t="n"/>
      <c r="EM1348" s="403" t="n"/>
      <c r="EN1348" s="403" t="n"/>
      <c r="EO1348" s="403" t="n"/>
      <c r="EP1348" s="403" t="n"/>
      <c r="EQ1348" s="403" t="n"/>
      <c r="ER1348" s="403" t="n"/>
      <c r="ES1348" s="403" t="n"/>
      <c r="ET1348" s="403" t="n"/>
      <c r="EU1348" s="403" t="n"/>
      <c r="EV1348" s="403" t="n"/>
      <c r="EW1348" s="403" t="n"/>
      <c r="EX1348" s="403" t="n"/>
      <c r="EY1348" s="403" t="n"/>
      <c r="EZ1348" s="403" t="n"/>
      <c r="FA1348" s="403" t="n"/>
      <c r="FB1348" s="403" t="n"/>
      <c r="FC1348" s="403" t="n"/>
      <c r="FD1348" s="403" t="n"/>
      <c r="FE1348" s="403" t="n"/>
      <c r="FF1348" s="403" t="n"/>
      <c r="FG1348" s="403" t="n"/>
      <c r="FH1348" s="403" t="n"/>
      <c r="FI1348" s="403" t="n"/>
      <c r="FJ1348" s="403" t="n"/>
      <c r="FK1348" s="403" t="n"/>
      <c r="FL1348" s="403" t="n"/>
      <c r="FM1348" s="403" t="n"/>
      <c r="FN1348" s="403" t="n"/>
      <c r="FO1348" s="403" t="n"/>
      <c r="FP1348" s="403" t="n"/>
      <c r="FQ1348" s="403" t="n"/>
      <c r="FR1348" s="403" t="n"/>
      <c r="FS1348" s="403" t="n"/>
      <c r="FT1348" s="403" t="n"/>
      <c r="FU1348" s="403" t="n"/>
      <c r="FV1348" s="403" t="n"/>
      <c r="FW1348" s="403" t="n"/>
      <c r="FX1348" s="403" t="n"/>
      <c r="FY1348" s="403" t="n"/>
      <c r="FZ1348" s="403" t="n"/>
      <c r="GA1348" s="403" t="n"/>
      <c r="GB1348" s="403" t="n"/>
      <c r="GC1348" s="403" t="n"/>
      <c r="GD1348" s="403" t="n"/>
      <c r="GE1348" s="403" t="n"/>
      <c r="GF1348" s="403" t="n"/>
      <c r="GG1348" s="403" t="n"/>
      <c r="GH1348" s="403" t="n"/>
      <c r="GI1348" s="403" t="n"/>
      <c r="GJ1348" s="403" t="n"/>
      <c r="GK1348" s="403" t="n"/>
      <c r="GL1348" s="403" t="n"/>
      <c r="GM1348" s="403" t="n"/>
      <c r="GN1348" s="403" t="n"/>
      <c r="GO1348" s="403" t="n"/>
      <c r="GP1348" s="403" t="n"/>
      <c r="GQ1348" s="403" t="n"/>
      <c r="GR1348" s="403" t="n"/>
      <c r="GS1348" s="403" t="n"/>
      <c r="GT1348" s="403" t="n"/>
      <c r="GU1348" s="403" t="n"/>
      <c r="GV1348" s="403" t="n"/>
      <c r="GW1348" s="403" t="n"/>
      <c r="GX1348" s="403" t="n">
        <v>0</v>
      </c>
    </row>
    <row r="1349"/>
    <row r="1350">
      <c r="A1350" s="404" t="n">
        <v>50</v>
      </c>
      <c r="B1350" s="404" t="n">
        <v>0</v>
      </c>
      <c r="C1350" s="404" t="n">
        <v>0</v>
      </c>
      <c r="D1350" s="404" t="n">
        <v>1</v>
      </c>
      <c r="E1350" s="404" t="n">
        <v>201</v>
      </c>
      <c r="F1350" s="404">
        <f>ROUND(Source!O1348,O1350)</f>
        <v/>
      </c>
      <c r="G1350" s="404" t="inlineStr">
        <is>
          <t>ПЗ</t>
        </is>
      </c>
      <c r="H1350" s="404" t="inlineStr">
        <is>
          <t>Прямые затраты</t>
        </is>
      </c>
      <c r="I1350" s="404" t="n"/>
      <c r="J1350" s="404" t="n"/>
      <c r="K1350" s="404" t="n">
        <v>201</v>
      </c>
      <c r="L1350" s="404" t="n">
        <v>1</v>
      </c>
      <c r="M1350" s="404" t="n">
        <v>3</v>
      </c>
      <c r="N1350" s="404" t="inlineStr"/>
      <c r="O1350" s="404" t="n">
        <v>0</v>
      </c>
      <c r="P1350" s="404" t="n"/>
      <c r="Q1350" s="404" t="n"/>
      <c r="R1350" s="404" t="n"/>
      <c r="S1350" s="404" t="n"/>
      <c r="T1350" s="404" t="n"/>
      <c r="U1350" s="404" t="n"/>
      <c r="V1350" s="404" t="n"/>
      <c r="W1350" s="404" t="n">
        <v>0</v>
      </c>
      <c r="X1350" s="404" t="n">
        <v>1</v>
      </c>
      <c r="Y1350" s="404" t="n">
        <v>0</v>
      </c>
      <c r="Z1350" s="404" t="n"/>
      <c r="AA1350" s="404" t="n"/>
      <c r="AB1350" s="404" t="n"/>
    </row>
    <row r="1351">
      <c r="A1351" s="404" t="n">
        <v>50</v>
      </c>
      <c r="B1351" s="404" t="n">
        <v>0</v>
      </c>
      <c r="C1351" s="404" t="n">
        <v>0</v>
      </c>
      <c r="D1351" s="404" t="n">
        <v>1</v>
      </c>
      <c r="E1351" s="404" t="n">
        <v>202</v>
      </c>
      <c r="F1351" s="404">
        <f>ROUND(Source!P1348,O1351)</f>
        <v/>
      </c>
      <c r="G1351" s="404" t="inlineStr">
        <is>
          <t>СтМатОб</t>
        </is>
      </c>
      <c r="H1351" s="404" t="inlineStr">
        <is>
          <t>Стоимость материальных ресурсов (всего)</t>
        </is>
      </c>
      <c r="I1351" s="404" t="n"/>
      <c r="J1351" s="404" t="n"/>
      <c r="K1351" s="404" t="n">
        <v>202</v>
      </c>
      <c r="L1351" s="404" t="n">
        <v>2</v>
      </c>
      <c r="M1351" s="404" t="n">
        <v>3</v>
      </c>
      <c r="N1351" s="404" t="inlineStr"/>
      <c r="O1351" s="404" t="n">
        <v>0</v>
      </c>
      <c r="P1351" s="404" t="n"/>
      <c r="Q1351" s="404" t="n"/>
      <c r="R1351" s="404" t="n"/>
      <c r="S1351" s="404" t="n"/>
      <c r="T1351" s="404" t="n"/>
      <c r="U1351" s="404" t="n"/>
      <c r="V1351" s="404" t="n"/>
      <c r="W1351" s="404" t="n">
        <v>0</v>
      </c>
      <c r="X1351" s="404" t="n">
        <v>1</v>
      </c>
      <c r="Y1351" s="404" t="n">
        <v>0</v>
      </c>
      <c r="Z1351" s="404" t="n"/>
      <c r="AA1351" s="404" t="n"/>
      <c r="AB1351" s="404" t="n"/>
    </row>
    <row r="1352">
      <c r="A1352" s="404" t="n">
        <v>50</v>
      </c>
      <c r="B1352" s="404" t="n">
        <v>0</v>
      </c>
      <c r="C1352" s="404" t="n">
        <v>0</v>
      </c>
      <c r="D1352" s="404" t="n">
        <v>1</v>
      </c>
      <c r="E1352" s="404" t="n">
        <v>222</v>
      </c>
      <c r="F1352" s="404">
        <f>ROUND(Source!AO1348,O1352)</f>
        <v/>
      </c>
      <c r="G1352" s="404" t="inlineStr">
        <is>
          <t>СтМатОбЗак</t>
        </is>
      </c>
      <c r="H1352" s="404" t="inlineStr">
        <is>
          <t>Стоимость материалов и оборудования заказчика</t>
        </is>
      </c>
      <c r="I1352" s="404" t="n"/>
      <c r="J1352" s="404" t="n"/>
      <c r="K1352" s="404" t="n">
        <v>222</v>
      </c>
      <c r="L1352" s="404" t="n">
        <v>3</v>
      </c>
      <c r="M1352" s="404" t="n">
        <v>3</v>
      </c>
      <c r="N1352" s="404" t="inlineStr"/>
      <c r="O1352" s="404" t="n">
        <v>0</v>
      </c>
      <c r="P1352" s="404" t="n"/>
      <c r="Q1352" s="404" t="n"/>
      <c r="R1352" s="404" t="n"/>
      <c r="S1352" s="404" t="n"/>
      <c r="T1352" s="404" t="n"/>
      <c r="U1352" s="404" t="n"/>
      <c r="V1352" s="404" t="n"/>
      <c r="W1352" s="404" t="n">
        <v>0</v>
      </c>
      <c r="X1352" s="404" t="n">
        <v>1</v>
      </c>
      <c r="Y1352" s="404" t="n">
        <v>0</v>
      </c>
      <c r="Z1352" s="404" t="n"/>
      <c r="AA1352" s="404" t="n"/>
      <c r="AB1352" s="404" t="n"/>
    </row>
    <row r="1353">
      <c r="A1353" s="404" t="n">
        <v>50</v>
      </c>
      <c r="B1353" s="404" t="n">
        <v>0</v>
      </c>
      <c r="C1353" s="404" t="n">
        <v>0</v>
      </c>
      <c r="D1353" s="404" t="n">
        <v>1</v>
      </c>
      <c r="E1353" s="404" t="n">
        <v>225</v>
      </c>
      <c r="F1353" s="404">
        <f>ROUND(Source!AV1348,O1353)</f>
        <v/>
      </c>
      <c r="G1353" s="404" t="inlineStr">
        <is>
          <t>СтМатОбПод</t>
        </is>
      </c>
      <c r="H1353" s="404" t="inlineStr">
        <is>
          <t>Стоимость материалов и оборудования подрядчика</t>
        </is>
      </c>
      <c r="I1353" s="404" t="n"/>
      <c r="J1353" s="404" t="n"/>
      <c r="K1353" s="404" t="n">
        <v>225</v>
      </c>
      <c r="L1353" s="404" t="n">
        <v>4</v>
      </c>
      <c r="M1353" s="404" t="n">
        <v>3</v>
      </c>
      <c r="N1353" s="404" t="inlineStr"/>
      <c r="O1353" s="404" t="n">
        <v>0</v>
      </c>
      <c r="P1353" s="404" t="n"/>
      <c r="Q1353" s="404" t="n"/>
      <c r="R1353" s="404" t="n"/>
      <c r="S1353" s="404" t="n"/>
      <c r="T1353" s="404" t="n"/>
      <c r="U1353" s="404" t="n"/>
      <c r="V1353" s="404" t="n"/>
      <c r="W1353" s="404" t="n">
        <v>0</v>
      </c>
      <c r="X1353" s="404" t="n">
        <v>1</v>
      </c>
      <c r="Y1353" s="404" t="n">
        <v>0</v>
      </c>
      <c r="Z1353" s="404" t="n"/>
      <c r="AA1353" s="404" t="n"/>
      <c r="AB1353" s="404" t="n"/>
    </row>
    <row r="1354">
      <c r="A1354" s="404" t="n">
        <v>50</v>
      </c>
      <c r="B1354" s="404" t="n">
        <v>0</v>
      </c>
      <c r="C1354" s="404" t="n">
        <v>0</v>
      </c>
      <c r="D1354" s="404" t="n">
        <v>1</v>
      </c>
      <c r="E1354" s="404" t="n">
        <v>226</v>
      </c>
      <c r="F1354" s="404">
        <f>ROUND(Source!AW1348,O1354)</f>
        <v/>
      </c>
      <c r="G1354" s="404" t="inlineStr">
        <is>
          <t>СтМат</t>
        </is>
      </c>
      <c r="H1354" s="404" t="inlineStr">
        <is>
          <t>Стоимость материалов (всего)</t>
        </is>
      </c>
      <c r="I1354" s="404" t="n"/>
      <c r="J1354" s="404" t="n"/>
      <c r="K1354" s="404" t="n">
        <v>226</v>
      </c>
      <c r="L1354" s="404" t="n">
        <v>5</v>
      </c>
      <c r="M1354" s="404" t="n">
        <v>3</v>
      </c>
      <c r="N1354" s="404" t="inlineStr"/>
      <c r="O1354" s="404" t="n">
        <v>0</v>
      </c>
      <c r="P1354" s="404" t="n"/>
      <c r="Q1354" s="404" t="n"/>
      <c r="R1354" s="404" t="n"/>
      <c r="S1354" s="404" t="n"/>
      <c r="T1354" s="404" t="n"/>
      <c r="U1354" s="404" t="n"/>
      <c r="V1354" s="404" t="n"/>
      <c r="W1354" s="404" t="n">
        <v>0</v>
      </c>
      <c r="X1354" s="404" t="n">
        <v>1</v>
      </c>
      <c r="Y1354" s="404" t="n">
        <v>0</v>
      </c>
      <c r="Z1354" s="404" t="n"/>
      <c r="AA1354" s="404" t="n"/>
      <c r="AB1354" s="404" t="n"/>
    </row>
    <row r="1355">
      <c r="A1355" s="404" t="n">
        <v>50</v>
      </c>
      <c r="B1355" s="404" t="n">
        <v>0</v>
      </c>
      <c r="C1355" s="404" t="n">
        <v>0</v>
      </c>
      <c r="D1355" s="404" t="n">
        <v>1</v>
      </c>
      <c r="E1355" s="404" t="n">
        <v>227</v>
      </c>
      <c r="F1355" s="404">
        <f>ROUND(Source!AX1348,O1355)</f>
        <v/>
      </c>
      <c r="G1355" s="404" t="inlineStr">
        <is>
          <t>СтМатЗак</t>
        </is>
      </c>
      <c r="H1355" s="404" t="inlineStr">
        <is>
          <t>Стоимость материалов заказчика</t>
        </is>
      </c>
      <c r="I1355" s="404" t="n"/>
      <c r="J1355" s="404" t="n"/>
      <c r="K1355" s="404" t="n">
        <v>227</v>
      </c>
      <c r="L1355" s="404" t="n">
        <v>6</v>
      </c>
      <c r="M1355" s="404" t="n">
        <v>3</v>
      </c>
      <c r="N1355" s="404" t="inlineStr"/>
      <c r="O1355" s="404" t="n">
        <v>0</v>
      </c>
      <c r="P1355" s="404" t="n"/>
      <c r="Q1355" s="404" t="n"/>
      <c r="R1355" s="404" t="n"/>
      <c r="S1355" s="404" t="n"/>
      <c r="T1355" s="404" t="n"/>
      <c r="U1355" s="404" t="n"/>
      <c r="V1355" s="404" t="n"/>
      <c r="W1355" s="404" t="n">
        <v>0</v>
      </c>
      <c r="X1355" s="404" t="n">
        <v>1</v>
      </c>
      <c r="Y1355" s="404" t="n">
        <v>0</v>
      </c>
      <c r="Z1355" s="404" t="n"/>
      <c r="AA1355" s="404" t="n"/>
      <c r="AB1355" s="404" t="n"/>
    </row>
    <row r="1356">
      <c r="A1356" s="404" t="n">
        <v>50</v>
      </c>
      <c r="B1356" s="404" t="n">
        <v>0</v>
      </c>
      <c r="C1356" s="404" t="n">
        <v>0</v>
      </c>
      <c r="D1356" s="404" t="n">
        <v>1</v>
      </c>
      <c r="E1356" s="404" t="n">
        <v>228</v>
      </c>
      <c r="F1356" s="404">
        <f>ROUND(Source!AY1348,O1356)</f>
        <v/>
      </c>
      <c r="G1356" s="404" t="inlineStr">
        <is>
          <t>СтМатПод</t>
        </is>
      </c>
      <c r="H1356" s="404" t="inlineStr">
        <is>
          <t>Стоимость материалов подрядчика</t>
        </is>
      </c>
      <c r="I1356" s="404" t="n"/>
      <c r="J1356" s="404" t="n"/>
      <c r="K1356" s="404" t="n">
        <v>228</v>
      </c>
      <c r="L1356" s="404" t="n">
        <v>7</v>
      </c>
      <c r="M1356" s="404" t="n">
        <v>3</v>
      </c>
      <c r="N1356" s="404" t="inlineStr"/>
      <c r="O1356" s="404" t="n">
        <v>0</v>
      </c>
      <c r="P1356" s="404" t="n"/>
      <c r="Q1356" s="404" t="n"/>
      <c r="R1356" s="404" t="n"/>
      <c r="S1356" s="404" t="n"/>
      <c r="T1356" s="404" t="n"/>
      <c r="U1356" s="404" t="n"/>
      <c r="V1356" s="404" t="n"/>
      <c r="W1356" s="404" t="n">
        <v>0</v>
      </c>
      <c r="X1356" s="404" t="n">
        <v>1</v>
      </c>
      <c r="Y1356" s="404" t="n">
        <v>0</v>
      </c>
      <c r="Z1356" s="404" t="n"/>
      <c r="AA1356" s="404" t="n"/>
      <c r="AB1356" s="404" t="n"/>
    </row>
    <row r="1357">
      <c r="A1357" s="404" t="n">
        <v>50</v>
      </c>
      <c r="B1357" s="404" t="n">
        <v>0</v>
      </c>
      <c r="C1357" s="404" t="n">
        <v>0</v>
      </c>
      <c r="D1357" s="404" t="n">
        <v>1</v>
      </c>
      <c r="E1357" s="404" t="n">
        <v>216</v>
      </c>
      <c r="F1357" s="404">
        <f>ROUND(Source!AP1348,O1357)</f>
        <v/>
      </c>
      <c r="G1357" s="404" t="inlineStr">
        <is>
          <t>Оборуд</t>
        </is>
      </c>
      <c r="H1357" s="404" t="inlineStr">
        <is>
          <t>Стоимость оборудования (всего)</t>
        </is>
      </c>
      <c r="I1357" s="404" t="n"/>
      <c r="J1357" s="404" t="n"/>
      <c r="K1357" s="404" t="n">
        <v>216</v>
      </c>
      <c r="L1357" s="404" t="n">
        <v>8</v>
      </c>
      <c r="M1357" s="404" t="n">
        <v>3</v>
      </c>
      <c r="N1357" s="404" t="inlineStr"/>
      <c r="O1357" s="404" t="n">
        <v>0</v>
      </c>
      <c r="P1357" s="404" t="n"/>
      <c r="Q1357" s="404" t="n"/>
      <c r="R1357" s="404" t="n"/>
      <c r="S1357" s="404" t="n"/>
      <c r="T1357" s="404" t="n"/>
      <c r="U1357" s="404" t="n"/>
      <c r="V1357" s="404" t="n"/>
      <c r="W1357" s="404" t="n">
        <v>0</v>
      </c>
      <c r="X1357" s="404" t="n">
        <v>1</v>
      </c>
      <c r="Y1357" s="404" t="n">
        <v>0</v>
      </c>
      <c r="Z1357" s="404" t="n"/>
      <c r="AA1357" s="404" t="n"/>
      <c r="AB1357" s="404" t="n"/>
    </row>
    <row r="1358">
      <c r="A1358" s="404" t="n">
        <v>50</v>
      </c>
      <c r="B1358" s="404" t="n">
        <v>0</v>
      </c>
      <c r="C1358" s="404" t="n">
        <v>0</v>
      </c>
      <c r="D1358" s="404" t="n">
        <v>1</v>
      </c>
      <c r="E1358" s="404" t="n">
        <v>223</v>
      </c>
      <c r="F1358" s="404">
        <f>ROUND(Source!AQ1348,O1358)</f>
        <v/>
      </c>
      <c r="G1358" s="404" t="inlineStr">
        <is>
          <t>ОборудЗак</t>
        </is>
      </c>
      <c r="H1358" s="404" t="inlineStr">
        <is>
          <t>Стоимость оборудования заказчика</t>
        </is>
      </c>
      <c r="I1358" s="404" t="n"/>
      <c r="J1358" s="404" t="n"/>
      <c r="K1358" s="404" t="n">
        <v>223</v>
      </c>
      <c r="L1358" s="404" t="n">
        <v>9</v>
      </c>
      <c r="M1358" s="404" t="n">
        <v>3</v>
      </c>
      <c r="N1358" s="404" t="inlineStr"/>
      <c r="O1358" s="404" t="n">
        <v>0</v>
      </c>
      <c r="P1358" s="404" t="n"/>
      <c r="Q1358" s="404" t="n"/>
      <c r="R1358" s="404" t="n"/>
      <c r="S1358" s="404" t="n"/>
      <c r="T1358" s="404" t="n"/>
      <c r="U1358" s="404" t="n"/>
      <c r="V1358" s="404" t="n"/>
      <c r="W1358" s="404" t="n">
        <v>0</v>
      </c>
      <c r="X1358" s="404" t="n">
        <v>1</v>
      </c>
      <c r="Y1358" s="404" t="n">
        <v>0</v>
      </c>
      <c r="Z1358" s="404" t="n"/>
      <c r="AA1358" s="404" t="n"/>
      <c r="AB1358" s="404" t="n"/>
    </row>
    <row r="1359">
      <c r="A1359" s="404" t="n">
        <v>50</v>
      </c>
      <c r="B1359" s="404" t="n">
        <v>0</v>
      </c>
      <c r="C1359" s="404" t="n">
        <v>0</v>
      </c>
      <c r="D1359" s="404" t="n">
        <v>1</v>
      </c>
      <c r="E1359" s="404" t="n">
        <v>229</v>
      </c>
      <c r="F1359" s="404">
        <f>ROUND(Source!AZ1348,O1359)</f>
        <v/>
      </c>
      <c r="G1359" s="404" t="inlineStr">
        <is>
          <t>ОборудПод</t>
        </is>
      </c>
      <c r="H1359" s="404" t="inlineStr">
        <is>
          <t>Стоимость оборудования подрядчика</t>
        </is>
      </c>
      <c r="I1359" s="404" t="n"/>
      <c r="J1359" s="404" t="n"/>
      <c r="K1359" s="404" t="n">
        <v>229</v>
      </c>
      <c r="L1359" s="404" t="n">
        <v>10</v>
      </c>
      <c r="M1359" s="404" t="n">
        <v>3</v>
      </c>
      <c r="N1359" s="404" t="inlineStr"/>
      <c r="O1359" s="404" t="n">
        <v>0</v>
      </c>
      <c r="P1359" s="404" t="n"/>
      <c r="Q1359" s="404" t="n"/>
      <c r="R1359" s="404" t="n"/>
      <c r="S1359" s="404" t="n"/>
      <c r="T1359" s="404" t="n"/>
      <c r="U1359" s="404" t="n"/>
      <c r="V1359" s="404" t="n"/>
      <c r="W1359" s="404" t="n">
        <v>0</v>
      </c>
      <c r="X1359" s="404" t="n">
        <v>1</v>
      </c>
      <c r="Y1359" s="404" t="n">
        <v>0</v>
      </c>
      <c r="Z1359" s="404" t="n"/>
      <c r="AA1359" s="404" t="n"/>
      <c r="AB1359" s="404" t="n"/>
    </row>
    <row r="1360">
      <c r="A1360" s="404" t="n">
        <v>50</v>
      </c>
      <c r="B1360" s="404" t="n">
        <v>0</v>
      </c>
      <c r="C1360" s="404" t="n">
        <v>0</v>
      </c>
      <c r="D1360" s="404" t="n">
        <v>1</v>
      </c>
      <c r="E1360" s="404" t="n">
        <v>203</v>
      </c>
      <c r="F1360" s="404">
        <f>ROUND(Source!Q1348,O1360)</f>
        <v/>
      </c>
      <c r="G1360" s="404" t="inlineStr">
        <is>
          <t>ЭММ</t>
        </is>
      </c>
      <c r="H1360" s="404" t="inlineStr">
        <is>
          <t>Эксплуатация машин</t>
        </is>
      </c>
      <c r="I1360" s="404" t="n"/>
      <c r="J1360" s="404" t="n"/>
      <c r="K1360" s="404" t="n">
        <v>203</v>
      </c>
      <c r="L1360" s="404" t="n">
        <v>11</v>
      </c>
      <c r="M1360" s="404" t="n">
        <v>3</v>
      </c>
      <c r="N1360" s="404" t="inlineStr"/>
      <c r="O1360" s="404" t="n">
        <v>0</v>
      </c>
      <c r="P1360" s="404" t="n"/>
      <c r="Q1360" s="404" t="n"/>
      <c r="R1360" s="404" t="n"/>
      <c r="S1360" s="404" t="n"/>
      <c r="T1360" s="404" t="n"/>
      <c r="U1360" s="404" t="n"/>
      <c r="V1360" s="404" t="n"/>
      <c r="W1360" s="404" t="n">
        <v>0</v>
      </c>
      <c r="X1360" s="404" t="n">
        <v>1</v>
      </c>
      <c r="Y1360" s="404" t="n">
        <v>0</v>
      </c>
      <c r="Z1360" s="404" t="n"/>
      <c r="AA1360" s="404" t="n"/>
      <c r="AB1360" s="404" t="n"/>
    </row>
    <row r="1361">
      <c r="A1361" s="404" t="n">
        <v>50</v>
      </c>
      <c r="B1361" s="404" t="n">
        <v>0</v>
      </c>
      <c r="C1361" s="404" t="n">
        <v>0</v>
      </c>
      <c r="D1361" s="404" t="n">
        <v>1</v>
      </c>
      <c r="E1361" s="404" t="n">
        <v>231</v>
      </c>
      <c r="F1361" s="404">
        <f>ROUND(Source!BB1348,O1361)</f>
        <v/>
      </c>
      <c r="G1361" s="404" t="inlineStr">
        <is>
          <t>ЭММсНРиСП</t>
        </is>
      </c>
      <c r="H1361" s="404" t="inlineStr">
        <is>
          <t>Эксплуатация машин по ТСН-2001.16</t>
        </is>
      </c>
      <c r="I1361" s="404" t="n"/>
      <c r="J1361" s="404" t="n"/>
      <c r="K1361" s="404" t="n">
        <v>231</v>
      </c>
      <c r="L1361" s="404" t="n">
        <v>12</v>
      </c>
      <c r="M1361" s="404" t="n">
        <v>3</v>
      </c>
      <c r="N1361" s="404" t="inlineStr"/>
      <c r="O1361" s="404" t="n">
        <v>0</v>
      </c>
      <c r="P1361" s="404" t="n"/>
      <c r="Q1361" s="404" t="n"/>
      <c r="R1361" s="404" t="n"/>
      <c r="S1361" s="404" t="n"/>
      <c r="T1361" s="404" t="n"/>
      <c r="U1361" s="404" t="n"/>
      <c r="V1361" s="404" t="n"/>
      <c r="W1361" s="404" t="n">
        <v>0</v>
      </c>
      <c r="X1361" s="404" t="n">
        <v>1</v>
      </c>
      <c r="Y1361" s="404" t="n">
        <v>0</v>
      </c>
      <c r="Z1361" s="404" t="n"/>
      <c r="AA1361" s="404" t="n"/>
      <c r="AB1361" s="404" t="n"/>
    </row>
    <row r="1362">
      <c r="A1362" s="404" t="n">
        <v>50</v>
      </c>
      <c r="B1362" s="404" t="n">
        <v>0</v>
      </c>
      <c r="C1362" s="404" t="n">
        <v>0</v>
      </c>
      <c r="D1362" s="404" t="n">
        <v>1</v>
      </c>
      <c r="E1362" s="404" t="n">
        <v>204</v>
      </c>
      <c r="F1362" s="404">
        <f>ROUND(Source!R1348,O1362)</f>
        <v/>
      </c>
      <c r="G1362" s="404" t="inlineStr">
        <is>
          <t>ЗПМ</t>
        </is>
      </c>
      <c r="H1362" s="404" t="inlineStr">
        <is>
          <t>ЗП машинистов</t>
        </is>
      </c>
      <c r="I1362" s="404" t="n"/>
      <c r="J1362" s="404" t="n"/>
      <c r="K1362" s="404" t="n">
        <v>204</v>
      </c>
      <c r="L1362" s="404" t="n">
        <v>13</v>
      </c>
      <c r="M1362" s="404" t="n">
        <v>3</v>
      </c>
      <c r="N1362" s="404" t="inlineStr"/>
      <c r="O1362" s="404" t="n">
        <v>0</v>
      </c>
      <c r="P1362" s="404" t="n"/>
      <c r="Q1362" s="404" t="n"/>
      <c r="R1362" s="404" t="n"/>
      <c r="S1362" s="404" t="n"/>
      <c r="T1362" s="404" t="n"/>
      <c r="U1362" s="404" t="n"/>
      <c r="V1362" s="404" t="n"/>
      <c r="W1362" s="404" t="n">
        <v>0</v>
      </c>
      <c r="X1362" s="404" t="n">
        <v>1</v>
      </c>
      <c r="Y1362" s="404" t="n">
        <v>0</v>
      </c>
      <c r="Z1362" s="404" t="n"/>
      <c r="AA1362" s="404" t="n"/>
      <c r="AB1362" s="404" t="n"/>
    </row>
    <row r="1363">
      <c r="A1363" s="404" t="n">
        <v>50</v>
      </c>
      <c r="B1363" s="404" t="n">
        <v>0</v>
      </c>
      <c r="C1363" s="404" t="n">
        <v>0</v>
      </c>
      <c r="D1363" s="404" t="n">
        <v>1</v>
      </c>
      <c r="E1363" s="404" t="n">
        <v>205</v>
      </c>
      <c r="F1363" s="404">
        <f>ROUND(Source!S1348,O1363)</f>
        <v/>
      </c>
      <c r="G1363" s="404" t="inlineStr">
        <is>
          <t>ОЗП</t>
        </is>
      </c>
      <c r="H1363" s="404" t="inlineStr">
        <is>
          <t>Основная ЗП рабочих</t>
        </is>
      </c>
      <c r="I1363" s="404" t="n"/>
      <c r="J1363" s="404" t="n"/>
      <c r="K1363" s="404" t="n">
        <v>205</v>
      </c>
      <c r="L1363" s="404" t="n">
        <v>14</v>
      </c>
      <c r="M1363" s="404" t="n">
        <v>3</v>
      </c>
      <c r="N1363" s="404" t="inlineStr"/>
      <c r="O1363" s="404" t="n">
        <v>0</v>
      </c>
      <c r="P1363" s="404" t="n"/>
      <c r="Q1363" s="404" t="n"/>
      <c r="R1363" s="404" t="n"/>
      <c r="S1363" s="404" t="n"/>
      <c r="T1363" s="404" t="n"/>
      <c r="U1363" s="404" t="n"/>
      <c r="V1363" s="404" t="n"/>
      <c r="W1363" s="404" t="n">
        <v>0</v>
      </c>
      <c r="X1363" s="404" t="n">
        <v>1</v>
      </c>
      <c r="Y1363" s="404" t="n">
        <v>0</v>
      </c>
      <c r="Z1363" s="404" t="n"/>
      <c r="AA1363" s="404" t="n"/>
      <c r="AB1363" s="404" t="n"/>
    </row>
    <row r="1364">
      <c r="A1364" s="404" t="n">
        <v>50</v>
      </c>
      <c r="B1364" s="404" t="n">
        <v>0</v>
      </c>
      <c r="C1364" s="404" t="n">
        <v>0</v>
      </c>
      <c r="D1364" s="404" t="n">
        <v>1</v>
      </c>
      <c r="E1364" s="404" t="n">
        <v>232</v>
      </c>
      <c r="F1364" s="404">
        <f>ROUND(Source!BC1348,O1364)</f>
        <v/>
      </c>
      <c r="G1364" s="404" t="inlineStr">
        <is>
          <t>ОЗПсНРиСП</t>
        </is>
      </c>
      <c r="H1364" s="404" t="inlineStr">
        <is>
          <t>Основная ЗП рабочих по ТСН-2001.16</t>
        </is>
      </c>
      <c r="I1364" s="404" t="n"/>
      <c r="J1364" s="404" t="n"/>
      <c r="K1364" s="404" t="n">
        <v>232</v>
      </c>
      <c r="L1364" s="404" t="n">
        <v>15</v>
      </c>
      <c r="M1364" s="404" t="n">
        <v>3</v>
      </c>
      <c r="N1364" s="404" t="inlineStr"/>
      <c r="O1364" s="404" t="n">
        <v>0</v>
      </c>
      <c r="P1364" s="404" t="n"/>
      <c r="Q1364" s="404" t="n"/>
      <c r="R1364" s="404" t="n"/>
      <c r="S1364" s="404" t="n"/>
      <c r="T1364" s="404" t="n"/>
      <c r="U1364" s="404" t="n"/>
      <c r="V1364" s="404" t="n"/>
      <c r="W1364" s="404" t="n">
        <v>0</v>
      </c>
      <c r="X1364" s="404" t="n">
        <v>1</v>
      </c>
      <c r="Y1364" s="404" t="n">
        <v>0</v>
      </c>
      <c r="Z1364" s="404" t="n"/>
      <c r="AA1364" s="404" t="n"/>
      <c r="AB1364" s="404" t="n"/>
    </row>
    <row r="1365">
      <c r="A1365" s="404" t="n">
        <v>50</v>
      </c>
      <c r="B1365" s="404" t="n">
        <v>0</v>
      </c>
      <c r="C1365" s="404" t="n">
        <v>0</v>
      </c>
      <c r="D1365" s="404" t="n">
        <v>1</v>
      </c>
      <c r="E1365" s="404" t="n">
        <v>214</v>
      </c>
      <c r="F1365" s="404">
        <f>ROUND(Source!AS1348,O1365)</f>
        <v/>
      </c>
      <c r="G1365" s="404" t="inlineStr">
        <is>
          <t>Строит</t>
        </is>
      </c>
      <c r="H1365" s="404" t="inlineStr">
        <is>
          <t>Строительные работы с НР и СП</t>
        </is>
      </c>
      <c r="I1365" s="404" t="n"/>
      <c r="J1365" s="404" t="n"/>
      <c r="K1365" s="404" t="n">
        <v>214</v>
      </c>
      <c r="L1365" s="404" t="n">
        <v>16</v>
      </c>
      <c r="M1365" s="404" t="n">
        <v>3</v>
      </c>
      <c r="N1365" s="404" t="inlineStr"/>
      <c r="O1365" s="404" t="n">
        <v>0</v>
      </c>
      <c r="P1365" s="404" t="n"/>
      <c r="Q1365" s="404" t="n"/>
      <c r="R1365" s="404" t="n"/>
      <c r="S1365" s="404" t="n"/>
      <c r="T1365" s="404" t="n"/>
      <c r="U1365" s="404" t="n"/>
      <c r="V1365" s="404" t="n"/>
      <c r="W1365" s="404" t="n">
        <v>0</v>
      </c>
      <c r="X1365" s="404" t="n">
        <v>1</v>
      </c>
      <c r="Y1365" s="404" t="n">
        <v>0</v>
      </c>
      <c r="Z1365" s="404" t="n"/>
      <c r="AA1365" s="404" t="n"/>
      <c r="AB1365" s="404" t="n"/>
    </row>
    <row r="1366">
      <c r="A1366" s="404" t="n">
        <v>50</v>
      </c>
      <c r="B1366" s="404" t="n">
        <v>0</v>
      </c>
      <c r="C1366" s="404" t="n">
        <v>0</v>
      </c>
      <c r="D1366" s="404" t="n">
        <v>1</v>
      </c>
      <c r="E1366" s="404" t="n">
        <v>215</v>
      </c>
      <c r="F1366" s="404">
        <f>ROUND(Source!AT1348,O1366)</f>
        <v/>
      </c>
      <c r="G1366" s="404" t="inlineStr">
        <is>
          <t>Монтаж</t>
        </is>
      </c>
      <c r="H1366" s="404" t="inlineStr">
        <is>
          <t>Монтажные работы с НР и СП</t>
        </is>
      </c>
      <c r="I1366" s="404" t="n"/>
      <c r="J1366" s="404" t="n"/>
      <c r="K1366" s="404" t="n">
        <v>215</v>
      </c>
      <c r="L1366" s="404" t="n">
        <v>17</v>
      </c>
      <c r="M1366" s="404" t="n">
        <v>3</v>
      </c>
      <c r="N1366" s="404" t="inlineStr"/>
      <c r="O1366" s="404" t="n">
        <v>0</v>
      </c>
      <c r="P1366" s="404" t="n"/>
      <c r="Q1366" s="404" t="n"/>
      <c r="R1366" s="404" t="n"/>
      <c r="S1366" s="404" t="n"/>
      <c r="T1366" s="404" t="n"/>
      <c r="U1366" s="404" t="n"/>
      <c r="V1366" s="404" t="n"/>
      <c r="W1366" s="404" t="n">
        <v>0</v>
      </c>
      <c r="X1366" s="404" t="n">
        <v>1</v>
      </c>
      <c r="Y1366" s="404" t="n">
        <v>0</v>
      </c>
      <c r="Z1366" s="404" t="n"/>
      <c r="AA1366" s="404" t="n"/>
      <c r="AB1366" s="404" t="n"/>
    </row>
    <row r="1367">
      <c r="A1367" s="404" t="n">
        <v>50</v>
      </c>
      <c r="B1367" s="404" t="n">
        <v>0</v>
      </c>
      <c r="C1367" s="404" t="n">
        <v>0</v>
      </c>
      <c r="D1367" s="404" t="n">
        <v>1</v>
      </c>
      <c r="E1367" s="404" t="n">
        <v>217</v>
      </c>
      <c r="F1367" s="404">
        <f>ROUND(Source!AU1348,O1367)</f>
        <v/>
      </c>
      <c r="G1367" s="404" t="inlineStr">
        <is>
          <t>Прочие</t>
        </is>
      </c>
      <c r="H1367" s="404" t="inlineStr">
        <is>
          <t>Прочие работы с НР и СП</t>
        </is>
      </c>
      <c r="I1367" s="404" t="n"/>
      <c r="J1367" s="404" t="n"/>
      <c r="K1367" s="404" t="n">
        <v>217</v>
      </c>
      <c r="L1367" s="404" t="n">
        <v>18</v>
      </c>
      <c r="M1367" s="404" t="n">
        <v>3</v>
      </c>
      <c r="N1367" s="404" t="inlineStr"/>
      <c r="O1367" s="404" t="n">
        <v>0</v>
      </c>
      <c r="P1367" s="404" t="n"/>
      <c r="Q1367" s="404" t="n"/>
      <c r="R1367" s="404" t="n"/>
      <c r="S1367" s="404" t="n"/>
      <c r="T1367" s="404" t="n"/>
      <c r="U1367" s="404" t="n"/>
      <c r="V1367" s="404" t="n"/>
      <c r="W1367" s="404" t="n">
        <v>0</v>
      </c>
      <c r="X1367" s="404" t="n">
        <v>1</v>
      </c>
      <c r="Y1367" s="404" t="n">
        <v>0</v>
      </c>
      <c r="Z1367" s="404" t="n"/>
      <c r="AA1367" s="404" t="n"/>
      <c r="AB1367" s="404" t="n"/>
    </row>
    <row r="1368">
      <c r="A1368" s="404" t="n">
        <v>50</v>
      </c>
      <c r="B1368" s="404" t="n">
        <v>0</v>
      </c>
      <c r="C1368" s="404" t="n">
        <v>0</v>
      </c>
      <c r="D1368" s="404" t="n">
        <v>1</v>
      </c>
      <c r="E1368" s="404" t="n">
        <v>230</v>
      </c>
      <c r="F1368" s="404">
        <f>ROUND(Source!BA1348,O1368)</f>
        <v/>
      </c>
      <c r="G1368" s="404" t="inlineStr">
        <is>
          <t>ПрочиеЗатр</t>
        </is>
      </c>
      <c r="H1368" s="404" t="inlineStr">
        <is>
          <t>Прочие затраты по ТСН-2001.16</t>
        </is>
      </c>
      <c r="I1368" s="404" t="n"/>
      <c r="J1368" s="404" t="n"/>
      <c r="K1368" s="404" t="n">
        <v>230</v>
      </c>
      <c r="L1368" s="404" t="n">
        <v>19</v>
      </c>
      <c r="M1368" s="404" t="n">
        <v>3</v>
      </c>
      <c r="N1368" s="404" t="inlineStr"/>
      <c r="O1368" s="404" t="n">
        <v>0</v>
      </c>
      <c r="P1368" s="404" t="n"/>
      <c r="Q1368" s="404" t="n"/>
      <c r="R1368" s="404" t="n"/>
      <c r="S1368" s="404" t="n"/>
      <c r="T1368" s="404" t="n"/>
      <c r="U1368" s="404" t="n"/>
      <c r="V1368" s="404" t="n"/>
      <c r="W1368" s="404" t="n">
        <v>0</v>
      </c>
      <c r="X1368" s="404" t="n">
        <v>1</v>
      </c>
      <c r="Y1368" s="404" t="n">
        <v>0</v>
      </c>
      <c r="Z1368" s="404" t="n"/>
      <c r="AA1368" s="404" t="n"/>
      <c r="AB1368" s="404" t="n"/>
    </row>
    <row r="1369">
      <c r="A1369" s="404" t="n">
        <v>50</v>
      </c>
      <c r="B1369" s="404" t="n">
        <v>0</v>
      </c>
      <c r="C1369" s="404" t="n">
        <v>0</v>
      </c>
      <c r="D1369" s="404" t="n">
        <v>1</v>
      </c>
      <c r="E1369" s="404" t="n">
        <v>206</v>
      </c>
      <c r="F1369" s="404">
        <f>ROUND(Source!T1348,O1369)</f>
        <v/>
      </c>
      <c r="G1369" s="404" t="inlineStr">
        <is>
          <t>ВозврМат</t>
        </is>
      </c>
      <c r="H1369" s="404" t="inlineStr">
        <is>
          <t>Возврат материалов</t>
        </is>
      </c>
      <c r="I1369" s="404" t="n"/>
      <c r="J1369" s="404" t="n"/>
      <c r="K1369" s="404" t="n">
        <v>206</v>
      </c>
      <c r="L1369" s="404" t="n">
        <v>20</v>
      </c>
      <c r="M1369" s="404" t="n">
        <v>3</v>
      </c>
      <c r="N1369" s="404" t="inlineStr"/>
      <c r="O1369" s="404" t="n">
        <v>0</v>
      </c>
      <c r="P1369" s="404" t="n"/>
      <c r="Q1369" s="404" t="n"/>
      <c r="R1369" s="404" t="n"/>
      <c r="S1369" s="404" t="n"/>
      <c r="T1369" s="404" t="n"/>
      <c r="U1369" s="404" t="n"/>
      <c r="V1369" s="404" t="n"/>
      <c r="W1369" s="404" t="n">
        <v>0</v>
      </c>
      <c r="X1369" s="404" t="n">
        <v>1</v>
      </c>
      <c r="Y1369" s="404" t="n">
        <v>0</v>
      </c>
      <c r="Z1369" s="404" t="n"/>
      <c r="AA1369" s="404" t="n"/>
      <c r="AB1369" s="404" t="n"/>
    </row>
    <row r="1370">
      <c r="A1370" s="404" t="n">
        <v>50</v>
      </c>
      <c r="B1370" s="404" t="n">
        <v>0</v>
      </c>
      <c r="C1370" s="404" t="n">
        <v>0</v>
      </c>
      <c r="D1370" s="404" t="n">
        <v>1</v>
      </c>
      <c r="E1370" s="404" t="n">
        <v>207</v>
      </c>
      <c r="F1370" s="404">
        <f>ROUND(Source!U1348,O1370)</f>
        <v/>
      </c>
      <c r="G1370" s="404" t="inlineStr">
        <is>
          <t>ТрудСтр</t>
        </is>
      </c>
      <c r="H1370" s="404" t="inlineStr">
        <is>
          <t>Трудозатраты строителей</t>
        </is>
      </c>
      <c r="I1370" s="404" t="n"/>
      <c r="J1370" s="404" t="n"/>
      <c r="K1370" s="404" t="n">
        <v>207</v>
      </c>
      <c r="L1370" s="404" t="n">
        <v>21</v>
      </c>
      <c r="M1370" s="404" t="n">
        <v>3</v>
      </c>
      <c r="N1370" s="404" t="inlineStr"/>
      <c r="O1370" s="404" t="n">
        <v>7</v>
      </c>
      <c r="P1370" s="404" t="n"/>
      <c r="Q1370" s="404" t="n"/>
      <c r="R1370" s="404" t="n"/>
      <c r="S1370" s="404" t="n"/>
      <c r="T1370" s="404" t="n"/>
      <c r="U1370" s="404" t="n"/>
      <c r="V1370" s="404" t="n"/>
      <c r="W1370" s="404" t="n">
        <v>0</v>
      </c>
      <c r="X1370" s="404" t="n">
        <v>1</v>
      </c>
      <c r="Y1370" s="404" t="n">
        <v>0</v>
      </c>
      <c r="Z1370" s="404" t="n"/>
      <c r="AA1370" s="404" t="n"/>
      <c r="AB1370" s="404" t="n"/>
    </row>
    <row r="1371">
      <c r="A1371" s="404" t="n">
        <v>50</v>
      </c>
      <c r="B1371" s="404" t="n">
        <v>0</v>
      </c>
      <c r="C1371" s="404" t="n">
        <v>0</v>
      </c>
      <c r="D1371" s="404" t="n">
        <v>1</v>
      </c>
      <c r="E1371" s="404" t="n">
        <v>208</v>
      </c>
      <c r="F1371" s="404">
        <f>ROUND(Source!V1348,O1371)</f>
        <v/>
      </c>
      <c r="G1371" s="404" t="inlineStr">
        <is>
          <t>ТрудМаш</t>
        </is>
      </c>
      <c r="H1371" s="404" t="inlineStr">
        <is>
          <t>Трудозатраты машинистов</t>
        </is>
      </c>
      <c r="I1371" s="404" t="n"/>
      <c r="J1371" s="404" t="n"/>
      <c r="K1371" s="404" t="n">
        <v>208</v>
      </c>
      <c r="L1371" s="404" t="n">
        <v>22</v>
      </c>
      <c r="M1371" s="404" t="n">
        <v>3</v>
      </c>
      <c r="N1371" s="404" t="inlineStr"/>
      <c r="O1371" s="404" t="n">
        <v>7</v>
      </c>
      <c r="P1371" s="404" t="n"/>
      <c r="Q1371" s="404" t="n"/>
      <c r="R1371" s="404" t="n"/>
      <c r="S1371" s="404" t="n"/>
      <c r="T1371" s="404" t="n"/>
      <c r="U1371" s="404" t="n"/>
      <c r="V1371" s="404" t="n"/>
      <c r="W1371" s="404" t="n">
        <v>0</v>
      </c>
      <c r="X1371" s="404" t="n">
        <v>1</v>
      </c>
      <c r="Y1371" s="404" t="n">
        <v>0</v>
      </c>
      <c r="Z1371" s="404" t="n"/>
      <c r="AA1371" s="404" t="n"/>
      <c r="AB1371" s="404" t="n"/>
    </row>
    <row r="1372">
      <c r="A1372" s="404" t="n">
        <v>50</v>
      </c>
      <c r="B1372" s="404" t="n">
        <v>0</v>
      </c>
      <c r="C1372" s="404" t="n">
        <v>0</v>
      </c>
      <c r="D1372" s="404" t="n">
        <v>1</v>
      </c>
      <c r="E1372" s="404" t="n">
        <v>209</v>
      </c>
      <c r="F1372" s="404">
        <f>ROUND(Source!W1348,O1372)</f>
        <v/>
      </c>
      <c r="G1372" s="404" t="inlineStr">
        <is>
          <t>ТранспМат</t>
        </is>
      </c>
      <c r="H1372" s="404" t="inlineStr">
        <is>
          <t>Транспорт материалов</t>
        </is>
      </c>
      <c r="I1372" s="404" t="n"/>
      <c r="J1372" s="404" t="n"/>
      <c r="K1372" s="404" t="n">
        <v>209</v>
      </c>
      <c r="L1372" s="404" t="n">
        <v>23</v>
      </c>
      <c r="M1372" s="404" t="n">
        <v>3</v>
      </c>
      <c r="N1372" s="404" t="inlineStr"/>
      <c r="O1372" s="404" t="n">
        <v>0</v>
      </c>
      <c r="P1372" s="404" t="n"/>
      <c r="Q1372" s="404" t="n"/>
      <c r="R1372" s="404" t="n"/>
      <c r="S1372" s="404" t="n"/>
      <c r="T1372" s="404" t="n"/>
      <c r="U1372" s="404" t="n"/>
      <c r="V1372" s="404" t="n"/>
      <c r="W1372" s="404" t="n">
        <v>0</v>
      </c>
      <c r="X1372" s="404" t="n">
        <v>1</v>
      </c>
      <c r="Y1372" s="404" t="n">
        <v>0</v>
      </c>
      <c r="Z1372" s="404" t="n"/>
      <c r="AA1372" s="404" t="n"/>
      <c r="AB1372" s="404" t="n"/>
    </row>
    <row r="1373">
      <c r="A1373" s="404" t="n">
        <v>50</v>
      </c>
      <c r="B1373" s="404" t="n">
        <v>0</v>
      </c>
      <c r="C1373" s="404" t="n">
        <v>0</v>
      </c>
      <c r="D1373" s="404" t="n">
        <v>1</v>
      </c>
      <c r="E1373" s="404" t="n">
        <v>233</v>
      </c>
      <c r="F1373" s="404">
        <f>ROUND(Source!BD1348,O1373)</f>
        <v/>
      </c>
      <c r="G1373" s="404" t="inlineStr">
        <is>
          <t>Перевозка</t>
        </is>
      </c>
      <c r="H1373" s="404" t="inlineStr">
        <is>
          <t>Перевозка грузов</t>
        </is>
      </c>
      <c r="I1373" s="404" t="n"/>
      <c r="J1373" s="404" t="n"/>
      <c r="K1373" s="404" t="n">
        <v>233</v>
      </c>
      <c r="L1373" s="404" t="n">
        <v>24</v>
      </c>
      <c r="M1373" s="404" t="n">
        <v>3</v>
      </c>
      <c r="N1373" s="404" t="inlineStr"/>
      <c r="O1373" s="404" t="n">
        <v>0</v>
      </c>
      <c r="P1373" s="404" t="n"/>
      <c r="Q1373" s="404" t="n"/>
      <c r="R1373" s="404" t="n"/>
      <c r="S1373" s="404" t="n"/>
      <c r="T1373" s="404" t="n"/>
      <c r="U1373" s="404" t="n"/>
      <c r="V1373" s="404" t="n"/>
      <c r="W1373" s="404" t="n">
        <v>0</v>
      </c>
      <c r="X1373" s="404" t="n">
        <v>1</v>
      </c>
      <c r="Y1373" s="404" t="n">
        <v>0</v>
      </c>
      <c r="Z1373" s="404" t="n"/>
      <c r="AA1373" s="404" t="n"/>
      <c r="AB1373" s="404" t="n"/>
    </row>
    <row r="1374">
      <c r="A1374" s="404" t="n">
        <v>50</v>
      </c>
      <c r="B1374" s="404" t="n">
        <v>0</v>
      </c>
      <c r="C1374" s="404" t="n">
        <v>0</v>
      </c>
      <c r="D1374" s="404" t="n">
        <v>1</v>
      </c>
      <c r="E1374" s="404" t="n">
        <v>210</v>
      </c>
      <c r="F1374" s="404">
        <f>ROUND(Source!X1348,O1374)</f>
        <v/>
      </c>
      <c r="G1374" s="404" t="inlineStr">
        <is>
          <t>НР</t>
        </is>
      </c>
      <c r="H1374" s="404" t="inlineStr">
        <is>
          <t>Накладные расходы</t>
        </is>
      </c>
      <c r="I1374" s="404" t="n"/>
      <c r="J1374" s="404" t="n"/>
      <c r="K1374" s="404" t="n">
        <v>210</v>
      </c>
      <c r="L1374" s="404" t="n">
        <v>25</v>
      </c>
      <c r="M1374" s="404" t="n">
        <v>3</v>
      </c>
      <c r="N1374" s="404" t="inlineStr"/>
      <c r="O1374" s="404" t="n">
        <v>0</v>
      </c>
      <c r="P1374" s="404" t="n"/>
      <c r="Q1374" s="404" t="n"/>
      <c r="R1374" s="404" t="n"/>
      <c r="S1374" s="404" t="n"/>
      <c r="T1374" s="404" t="n"/>
      <c r="U1374" s="404" t="n"/>
      <c r="V1374" s="404" t="n"/>
      <c r="W1374" s="404" t="n">
        <v>0</v>
      </c>
      <c r="X1374" s="404" t="n">
        <v>1</v>
      </c>
      <c r="Y1374" s="404" t="n">
        <v>0</v>
      </c>
      <c r="Z1374" s="404" t="n"/>
      <c r="AA1374" s="404" t="n"/>
      <c r="AB1374" s="404" t="n"/>
    </row>
    <row r="1375">
      <c r="A1375" s="404" t="n">
        <v>50</v>
      </c>
      <c r="B1375" s="404" t="n">
        <v>0</v>
      </c>
      <c r="C1375" s="404" t="n">
        <v>0</v>
      </c>
      <c r="D1375" s="404" t="n">
        <v>1</v>
      </c>
      <c r="E1375" s="404" t="n">
        <v>211</v>
      </c>
      <c r="F1375" s="404">
        <f>ROUND(Source!Y1348,O1375)</f>
        <v/>
      </c>
      <c r="G1375" s="404" t="inlineStr">
        <is>
          <t>СмПриб</t>
        </is>
      </c>
      <c r="H1375" s="404" t="inlineStr">
        <is>
          <t>Сметная прибыль</t>
        </is>
      </c>
      <c r="I1375" s="404" t="n"/>
      <c r="J1375" s="404" t="n"/>
      <c r="K1375" s="404" t="n">
        <v>211</v>
      </c>
      <c r="L1375" s="404" t="n">
        <v>26</v>
      </c>
      <c r="M1375" s="404" t="n">
        <v>3</v>
      </c>
      <c r="N1375" s="404" t="inlineStr"/>
      <c r="O1375" s="404" t="n">
        <v>0</v>
      </c>
      <c r="P1375" s="404" t="n"/>
      <c r="Q1375" s="404" t="n"/>
      <c r="R1375" s="404" t="n"/>
      <c r="S1375" s="404" t="n"/>
      <c r="T1375" s="404" t="n"/>
      <c r="U1375" s="404" t="n"/>
      <c r="V1375" s="404" t="n"/>
      <c r="W1375" s="404" t="n">
        <v>0</v>
      </c>
      <c r="X1375" s="404" t="n">
        <v>1</v>
      </c>
      <c r="Y1375" s="404" t="n">
        <v>0</v>
      </c>
      <c r="Z1375" s="404" t="n"/>
      <c r="AA1375" s="404" t="n"/>
      <c r="AB1375" s="404" t="n"/>
    </row>
    <row r="1376">
      <c r="A1376" s="404" t="n">
        <v>50</v>
      </c>
      <c r="B1376" s="404" t="n">
        <v>0</v>
      </c>
      <c r="C1376" s="404" t="n">
        <v>0</v>
      </c>
      <c r="D1376" s="404" t="n">
        <v>1</v>
      </c>
      <c r="E1376" s="404" t="n">
        <v>224</v>
      </c>
      <c r="F1376" s="404">
        <f>ROUND(Source!AR1348,O1376)</f>
        <v/>
      </c>
      <c r="G1376" s="404" t="inlineStr">
        <is>
          <t>Всего</t>
        </is>
      </c>
      <c r="H1376" s="404" t="inlineStr">
        <is>
          <t>Всего с НР и СП</t>
        </is>
      </c>
      <c r="I1376" s="404" t="n"/>
      <c r="J1376" s="404" t="n"/>
      <c r="K1376" s="404" t="n">
        <v>224</v>
      </c>
      <c r="L1376" s="404" t="n">
        <v>27</v>
      </c>
      <c r="M1376" s="404" t="n">
        <v>3</v>
      </c>
      <c r="N1376" s="404" t="inlineStr"/>
      <c r="O1376" s="404" t="n">
        <v>0</v>
      </c>
      <c r="P1376" s="404" t="n"/>
      <c r="Q1376" s="404" t="n"/>
      <c r="R1376" s="404" t="n"/>
      <c r="S1376" s="404" t="n"/>
      <c r="T1376" s="404" t="n"/>
      <c r="U1376" s="404" t="n"/>
      <c r="V1376" s="404" t="n"/>
      <c r="W1376" s="404" t="n">
        <v>0</v>
      </c>
      <c r="X1376" s="404" t="n">
        <v>1</v>
      </c>
      <c r="Y1376" s="404" t="n">
        <v>0</v>
      </c>
      <c r="Z1376" s="404" t="n"/>
      <c r="AA1376" s="404" t="n"/>
      <c r="AB1376" s="404" t="n"/>
    </row>
    <row r="1377">
      <c r="A1377" s="404" t="n">
        <v>50</v>
      </c>
      <c r="B1377" s="404" t="n">
        <v>0</v>
      </c>
      <c r="C1377" s="404" t="n">
        <v>0</v>
      </c>
      <c r="D1377" s="404" t="n">
        <v>2</v>
      </c>
      <c r="E1377" s="404" t="n">
        <v>0</v>
      </c>
      <c r="F1377" s="404">
        <f>ROUND(F1376,O1377)</f>
        <v/>
      </c>
      <c r="G1377" s="404" t="inlineStr">
        <is>
          <t>и1</t>
        </is>
      </c>
      <c r="H1377" s="404" t="inlineStr">
        <is>
          <t>Итого</t>
        </is>
      </c>
      <c r="I1377" s="404" t="n"/>
      <c r="J1377" s="404" t="n"/>
      <c r="K1377" s="404" t="n">
        <v>212</v>
      </c>
      <c r="L1377" s="404" t="n">
        <v>28</v>
      </c>
      <c r="M1377" s="404" t="n">
        <v>0</v>
      </c>
      <c r="N1377" s="404" t="inlineStr"/>
      <c r="O1377" s="404" t="n">
        <v>0</v>
      </c>
      <c r="P1377" s="404" t="n"/>
      <c r="Q1377" s="404" t="n"/>
      <c r="R1377" s="404" t="n"/>
      <c r="S1377" s="404" t="n"/>
      <c r="T1377" s="404" t="n"/>
      <c r="U1377" s="404" t="n"/>
      <c r="V1377" s="404" t="n"/>
      <c r="W1377" s="404" t="n">
        <v>0</v>
      </c>
      <c r="X1377" s="404" t="n">
        <v>1</v>
      </c>
      <c r="Y1377" s="404" t="n">
        <v>0</v>
      </c>
      <c r="Z1377" s="404" t="n"/>
      <c r="AA1377" s="404" t="n"/>
      <c r="AB1377" s="404" t="n"/>
    </row>
    <row r="1378">
      <c r="A1378" s="404" t="n">
        <v>50</v>
      </c>
      <c r="B1378" s="404" t="n">
        <v>0</v>
      </c>
      <c r="C1378" s="404" t="n">
        <v>0</v>
      </c>
      <c r="D1378" s="404" t="n">
        <v>2</v>
      </c>
      <c r="E1378" s="404" t="n">
        <v>0</v>
      </c>
      <c r="F1378" s="404">
        <f>ROUND(F1377*0.22,O1378)</f>
        <v/>
      </c>
      <c r="G1378" s="404" t="inlineStr">
        <is>
          <t>и2</t>
        </is>
      </c>
      <c r="H1378" s="404" t="inlineStr">
        <is>
          <t>НДС 22%</t>
        </is>
      </c>
      <c r="I1378" s="404" t="n"/>
      <c r="J1378" s="404" t="n"/>
      <c r="K1378" s="404" t="n">
        <v>212</v>
      </c>
      <c r="L1378" s="404" t="n">
        <v>29</v>
      </c>
      <c r="M1378" s="404" t="n">
        <v>0</v>
      </c>
      <c r="N1378" s="404" t="inlineStr"/>
      <c r="O1378" s="404" t="n">
        <v>0</v>
      </c>
      <c r="P1378" s="404" t="n"/>
      <c r="Q1378" s="404" t="n"/>
      <c r="R1378" s="404" t="n"/>
      <c r="S1378" s="404" t="n"/>
      <c r="T1378" s="404" t="n"/>
      <c r="U1378" s="404" t="n"/>
      <c r="V1378" s="404" t="n"/>
      <c r="W1378" s="404" t="n">
        <v>0</v>
      </c>
      <c r="X1378" s="404" t="n">
        <v>1</v>
      </c>
      <c r="Y1378" s="404" t="n">
        <v>0</v>
      </c>
      <c r="Z1378" s="404" t="n"/>
      <c r="AA1378" s="404" t="n"/>
      <c r="AB1378" s="404" t="n"/>
    </row>
    <row r="1379">
      <c r="A1379" s="404" t="n">
        <v>50</v>
      </c>
      <c r="B1379" s="404" t="n">
        <v>0</v>
      </c>
      <c r="C1379" s="404" t="n">
        <v>0</v>
      </c>
      <c r="D1379" s="404" t="n">
        <v>2</v>
      </c>
      <c r="E1379" s="404" t="n">
        <v>213</v>
      </c>
      <c r="F1379" s="404">
        <f>ROUND(F1377+F1378,O1379)</f>
        <v/>
      </c>
      <c r="G1379" s="404" t="inlineStr">
        <is>
          <t>и3</t>
        </is>
      </c>
      <c r="H1379" s="404" t="inlineStr">
        <is>
          <t>Всего</t>
        </is>
      </c>
      <c r="I1379" s="404" t="n"/>
      <c r="J1379" s="404" t="n"/>
      <c r="K1379" s="404" t="n">
        <v>212</v>
      </c>
      <c r="L1379" s="404" t="n">
        <v>30</v>
      </c>
      <c r="M1379" s="404" t="n">
        <v>0</v>
      </c>
      <c r="N1379" s="404" t="inlineStr"/>
      <c r="O1379" s="404" t="n">
        <v>0</v>
      </c>
      <c r="P1379" s="404" t="n"/>
      <c r="Q1379" s="404" t="n"/>
      <c r="R1379" s="404" t="n"/>
      <c r="S1379" s="404" t="n"/>
      <c r="T1379" s="404" t="n"/>
      <c r="U1379" s="404" t="n"/>
      <c r="V1379" s="404" t="n"/>
      <c r="W1379" s="404" t="n">
        <v>0</v>
      </c>
      <c r="X1379" s="404" t="n">
        <v>1</v>
      </c>
      <c r="Y1379" s="404" t="n">
        <v>0</v>
      </c>
      <c r="Z1379" s="404" t="n"/>
      <c r="AA1379" s="404" t="n"/>
      <c r="AB1379" s="404" t="n"/>
    </row>
    <row r="1380"/>
    <row r="1381">
      <c r="A1381" s="401" t="n">
        <v>3</v>
      </c>
      <c r="B1381" s="401" t="n">
        <v>0</v>
      </c>
      <c r="C1381" s="401" t="n"/>
      <c r="D1381" s="401">
        <f>ROW(A1390)</f>
        <v/>
      </c>
      <c r="E1381" s="401" t="n"/>
      <c r="F1381" s="401" t="inlineStr">
        <is>
          <t>Новая локальная смета</t>
        </is>
      </c>
      <c r="G1381" s="401" t="inlineStr">
        <is>
          <t>Молодежная 13</t>
        </is>
      </c>
      <c r="H1381" s="401" t="inlineStr"/>
      <c r="I1381" s="401" t="n">
        <v>0</v>
      </c>
      <c r="J1381" s="401" t="inlineStr"/>
      <c r="K1381" s="401" t="n">
        <v>-1</v>
      </c>
      <c r="L1381" s="401" t="inlineStr">
        <is>
          <t>Новая локальная смета</t>
        </is>
      </c>
      <c r="M1381" s="401" t="inlineStr"/>
      <c r="N1381" s="401" t="n"/>
      <c r="O1381" s="401" t="n"/>
      <c r="P1381" s="401" t="n"/>
      <c r="Q1381" s="401" t="n"/>
      <c r="R1381" s="401" t="n"/>
      <c r="S1381" s="401" t="n">
        <v>0</v>
      </c>
      <c r="T1381" s="401" t="n"/>
      <c r="U1381" s="401" t="inlineStr"/>
      <c r="V1381" s="401" t="n">
        <v>0</v>
      </c>
      <c r="W1381" s="401" t="n"/>
      <c r="X1381" s="401" t="n"/>
      <c r="Y1381" s="401" t="n"/>
      <c r="Z1381" s="401" t="n"/>
      <c r="AA1381" s="401" t="n"/>
      <c r="AB1381" s="401" t="inlineStr"/>
      <c r="AC1381" s="401" t="inlineStr"/>
      <c r="AD1381" s="401" t="inlineStr"/>
      <c r="AE1381" s="401" t="inlineStr"/>
      <c r="AF1381" s="401" t="inlineStr"/>
      <c r="AG1381" s="401" t="inlineStr"/>
      <c r="AH1381" s="401" t="n"/>
      <c r="AI1381" s="401" t="n"/>
      <c r="AJ1381" s="401" t="n"/>
      <c r="AK1381" s="401" t="n"/>
      <c r="AL1381" s="401" t="n"/>
      <c r="AM1381" s="401" t="n"/>
      <c r="AN1381" s="401" t="n"/>
      <c r="AO1381" s="401" t="n"/>
      <c r="AP1381" s="401" t="inlineStr"/>
      <c r="AQ1381" s="401" t="inlineStr"/>
      <c r="AR1381" s="401" t="inlineStr"/>
      <c r="AS1381" s="401" t="n"/>
      <c r="AT1381" s="401" t="n"/>
      <c r="AU1381" s="401" t="n"/>
      <c r="AV1381" s="401" t="n"/>
      <c r="AW1381" s="401" t="n"/>
      <c r="AX1381" s="401" t="n"/>
      <c r="AY1381" s="401" t="n"/>
      <c r="AZ1381" s="401" t="inlineStr"/>
      <c r="BA1381" s="401" t="n"/>
      <c r="BB1381" s="401" t="inlineStr"/>
      <c r="BC1381" s="401" t="inlineStr"/>
      <c r="BD1381" s="401" t="inlineStr"/>
      <c r="BE1381" s="401" t="inlineStr"/>
      <c r="BF1381" s="401" t="inlineStr"/>
      <c r="BG1381" s="401" t="inlineStr"/>
      <c r="BH1381" s="401" t="inlineStr"/>
      <c r="BI1381" s="401" t="inlineStr"/>
      <c r="BJ1381" s="401" t="inlineStr"/>
      <c r="BK1381" s="401" t="inlineStr"/>
      <c r="BL1381" s="401" t="inlineStr"/>
      <c r="BM1381" s="401" t="inlineStr"/>
      <c r="BN1381" s="401" t="inlineStr"/>
      <c r="BO1381" s="401" t="inlineStr"/>
      <c r="BP1381" s="401" t="inlineStr"/>
      <c r="BQ1381" s="401" t="n"/>
      <c r="BR1381" s="401" t="n"/>
      <c r="BS1381" s="401" t="n"/>
      <c r="BT1381" s="401" t="n"/>
      <c r="BU1381" s="401" t="n"/>
      <c r="BV1381" s="401" t="n"/>
      <c r="BW1381" s="401" t="n"/>
      <c r="BX1381" s="401" t="n">
        <v>0</v>
      </c>
      <c r="BY1381" s="401" t="n"/>
      <c r="BZ1381" s="401" t="n"/>
      <c r="CA1381" s="401" t="n"/>
      <c r="CB1381" s="401" t="n"/>
      <c r="CC1381" s="401" t="n"/>
      <c r="CD1381" s="401" t="n"/>
      <c r="CE1381" s="401" t="n"/>
      <c r="CF1381" s="401" t="n">
        <v>0</v>
      </c>
      <c r="CG1381" s="401" t="n">
        <v>0</v>
      </c>
      <c r="CH1381" s="401" t="n"/>
      <c r="CI1381" s="401" t="inlineStr"/>
      <c r="CJ1381" s="401" t="inlineStr"/>
      <c r="CK1381" t="inlineStr"/>
      <c r="CL1381" t="inlineStr"/>
      <c r="CM1381" t="inlineStr"/>
      <c r="CN1381" t="inlineStr"/>
      <c r="CO1381" t="inlineStr"/>
      <c r="CP1381" t="inlineStr"/>
      <c r="CQ1381" t="inlineStr"/>
    </row>
    <row r="1382"/>
    <row r="1383">
      <c r="A1383" s="402" t="n">
        <v>52</v>
      </c>
      <c r="B1383" s="402">
        <f>B1390</f>
        <v/>
      </c>
      <c r="C1383" s="402">
        <f>C1390</f>
        <v/>
      </c>
      <c r="D1383" s="402">
        <f>D1390</f>
        <v/>
      </c>
      <c r="E1383" s="402">
        <f>E1390</f>
        <v/>
      </c>
      <c r="F1383" s="402">
        <f>F1390</f>
        <v/>
      </c>
      <c r="G1383" s="402">
        <f>G1390</f>
        <v/>
      </c>
      <c r="H1383" s="402" t="n"/>
      <c r="I1383" s="402" t="n"/>
      <c r="J1383" s="402" t="n"/>
      <c r="K1383" s="402" t="n"/>
      <c r="L1383" s="402" t="n"/>
      <c r="M1383" s="402" t="n"/>
      <c r="N1383" s="402" t="n"/>
      <c r="O1383" s="402">
        <f>O1390</f>
        <v/>
      </c>
      <c r="P1383" s="402">
        <f>P1390</f>
        <v/>
      </c>
      <c r="Q1383" s="402">
        <f>Q1390</f>
        <v/>
      </c>
      <c r="R1383" s="402">
        <f>R1390</f>
        <v/>
      </c>
      <c r="S1383" s="402">
        <f>S1390</f>
        <v/>
      </c>
      <c r="T1383" s="402">
        <f>T1390</f>
        <v/>
      </c>
      <c r="U1383" s="402">
        <f>U1390</f>
        <v/>
      </c>
      <c r="V1383" s="402">
        <f>V1390</f>
        <v/>
      </c>
      <c r="W1383" s="402">
        <f>W1390</f>
        <v/>
      </c>
      <c r="X1383" s="402">
        <f>X1390</f>
        <v/>
      </c>
      <c r="Y1383" s="402">
        <f>Y1390</f>
        <v/>
      </c>
      <c r="Z1383" s="402">
        <f>Z1390</f>
        <v/>
      </c>
      <c r="AA1383" s="402">
        <f>AA1390</f>
        <v/>
      </c>
      <c r="AB1383" s="402">
        <f>AB1390</f>
        <v/>
      </c>
      <c r="AC1383" s="402">
        <f>AC1390</f>
        <v/>
      </c>
      <c r="AD1383" s="402">
        <f>AD1390</f>
        <v/>
      </c>
      <c r="AE1383" s="402">
        <f>AE1390</f>
        <v/>
      </c>
      <c r="AF1383" s="402">
        <f>AF1390</f>
        <v/>
      </c>
      <c r="AG1383" s="402">
        <f>AG1390</f>
        <v/>
      </c>
      <c r="AH1383" s="402">
        <f>AH1390</f>
        <v/>
      </c>
      <c r="AI1383" s="402">
        <f>AI1390</f>
        <v/>
      </c>
      <c r="AJ1383" s="402">
        <f>AJ1390</f>
        <v/>
      </c>
      <c r="AK1383" s="402">
        <f>AK1390</f>
        <v/>
      </c>
      <c r="AL1383" s="402">
        <f>AL1390</f>
        <v/>
      </c>
      <c r="AM1383" s="402">
        <f>AM1390</f>
        <v/>
      </c>
      <c r="AN1383" s="402">
        <f>AN1390</f>
        <v/>
      </c>
      <c r="AO1383" s="402">
        <f>AO1390</f>
        <v/>
      </c>
      <c r="AP1383" s="402">
        <f>AP1390</f>
        <v/>
      </c>
      <c r="AQ1383" s="402">
        <f>AQ1390</f>
        <v/>
      </c>
      <c r="AR1383" s="402">
        <f>AR1390</f>
        <v/>
      </c>
      <c r="AS1383" s="402">
        <f>AS1390</f>
        <v/>
      </c>
      <c r="AT1383" s="402">
        <f>AT1390</f>
        <v/>
      </c>
      <c r="AU1383" s="402">
        <f>AU1390</f>
        <v/>
      </c>
      <c r="AV1383" s="402">
        <f>AV1390</f>
        <v/>
      </c>
      <c r="AW1383" s="402">
        <f>AW1390</f>
        <v/>
      </c>
      <c r="AX1383" s="402">
        <f>AX1390</f>
        <v/>
      </c>
      <c r="AY1383" s="402">
        <f>AY1390</f>
        <v/>
      </c>
      <c r="AZ1383" s="402">
        <f>AZ1390</f>
        <v/>
      </c>
      <c r="BA1383" s="402">
        <f>BA1390</f>
        <v/>
      </c>
      <c r="BB1383" s="402">
        <f>BB1390</f>
        <v/>
      </c>
      <c r="BC1383" s="402">
        <f>BC1390</f>
        <v/>
      </c>
      <c r="BD1383" s="402">
        <f>BD1390</f>
        <v/>
      </c>
      <c r="BE1383" s="402">
        <f>BE1390</f>
        <v/>
      </c>
      <c r="BF1383" s="402">
        <f>BF1390</f>
        <v/>
      </c>
      <c r="BG1383" s="402">
        <f>BG1390</f>
        <v/>
      </c>
      <c r="BH1383" s="402">
        <f>BH1390</f>
        <v/>
      </c>
      <c r="BI1383" s="402">
        <f>BI1390</f>
        <v/>
      </c>
      <c r="BJ1383" s="402">
        <f>BJ1390</f>
        <v/>
      </c>
      <c r="BK1383" s="402">
        <f>BK1390</f>
        <v/>
      </c>
      <c r="BL1383" s="402">
        <f>BL1390</f>
        <v/>
      </c>
      <c r="BM1383" s="402">
        <f>BM1390</f>
        <v/>
      </c>
      <c r="BN1383" s="402">
        <f>BN1390</f>
        <v/>
      </c>
      <c r="BO1383" s="402">
        <f>BO1390</f>
        <v/>
      </c>
      <c r="BP1383" s="402">
        <f>BP1390</f>
        <v/>
      </c>
      <c r="BQ1383" s="402">
        <f>BQ1390</f>
        <v/>
      </c>
      <c r="BR1383" s="402">
        <f>BR1390</f>
        <v/>
      </c>
      <c r="BS1383" s="402">
        <f>BS1390</f>
        <v/>
      </c>
      <c r="BT1383" s="402">
        <f>BT1390</f>
        <v/>
      </c>
      <c r="BU1383" s="402">
        <f>BU1390</f>
        <v/>
      </c>
      <c r="BV1383" s="402">
        <f>BV1390</f>
        <v/>
      </c>
      <c r="BW1383" s="402">
        <f>BW1390</f>
        <v/>
      </c>
      <c r="BX1383" s="402">
        <f>BX1390</f>
        <v/>
      </c>
      <c r="BY1383" s="402">
        <f>BY1390</f>
        <v/>
      </c>
      <c r="BZ1383" s="402">
        <f>BZ1390</f>
        <v/>
      </c>
      <c r="CA1383" s="402">
        <f>CA1390</f>
        <v/>
      </c>
      <c r="CB1383" s="402">
        <f>CB1390</f>
        <v/>
      </c>
      <c r="CC1383" s="402">
        <f>CC1390</f>
        <v/>
      </c>
      <c r="CD1383" s="402">
        <f>CD1390</f>
        <v/>
      </c>
      <c r="CE1383" s="402">
        <f>CE1390</f>
        <v/>
      </c>
      <c r="CF1383" s="402">
        <f>CF1390</f>
        <v/>
      </c>
      <c r="CG1383" s="402">
        <f>CG1390</f>
        <v/>
      </c>
      <c r="CH1383" s="402">
        <f>CH1390</f>
        <v/>
      </c>
      <c r="CI1383" s="402">
        <f>CI1390</f>
        <v/>
      </c>
      <c r="CJ1383" s="402">
        <f>CJ1390</f>
        <v/>
      </c>
      <c r="CK1383" s="402">
        <f>CK1390</f>
        <v/>
      </c>
      <c r="CL1383" s="402">
        <f>CL1390</f>
        <v/>
      </c>
      <c r="CM1383" s="402">
        <f>CM1390</f>
        <v/>
      </c>
      <c r="CN1383" s="402">
        <f>CN1390</f>
        <v/>
      </c>
      <c r="CO1383" s="402">
        <f>CO1390</f>
        <v/>
      </c>
      <c r="CP1383" s="402">
        <f>CP1390</f>
        <v/>
      </c>
      <c r="CQ1383" s="402">
        <f>CQ1390</f>
        <v/>
      </c>
      <c r="CR1383" s="402">
        <f>CR1390</f>
        <v/>
      </c>
      <c r="CS1383" s="402">
        <f>CS1390</f>
        <v/>
      </c>
      <c r="CT1383" s="402">
        <f>CT1390</f>
        <v/>
      </c>
      <c r="CU1383" s="402">
        <f>CU1390</f>
        <v/>
      </c>
      <c r="CV1383" s="402">
        <f>CV1390</f>
        <v/>
      </c>
      <c r="CW1383" s="402">
        <f>CW1390</f>
        <v/>
      </c>
      <c r="CX1383" s="402">
        <f>CX1390</f>
        <v/>
      </c>
      <c r="CY1383" s="402">
        <f>CY1390</f>
        <v/>
      </c>
      <c r="CZ1383" s="402">
        <f>CZ1390</f>
        <v/>
      </c>
      <c r="DA1383" s="402">
        <f>DA1390</f>
        <v/>
      </c>
      <c r="DB1383" s="402">
        <f>DB1390</f>
        <v/>
      </c>
      <c r="DC1383" s="402">
        <f>DC1390</f>
        <v/>
      </c>
      <c r="DD1383" s="402">
        <f>DD1390</f>
        <v/>
      </c>
      <c r="DE1383" s="402">
        <f>DE1390</f>
        <v/>
      </c>
      <c r="DF1383" s="402">
        <f>DF1390</f>
        <v/>
      </c>
      <c r="DG1383" s="403">
        <f>DG1390</f>
        <v/>
      </c>
      <c r="DH1383" s="403">
        <f>DH1390</f>
        <v/>
      </c>
      <c r="DI1383" s="403">
        <f>DI1390</f>
        <v/>
      </c>
      <c r="DJ1383" s="403">
        <f>DJ1390</f>
        <v/>
      </c>
      <c r="DK1383" s="403">
        <f>DK1390</f>
        <v/>
      </c>
      <c r="DL1383" s="403">
        <f>DL1390</f>
        <v/>
      </c>
      <c r="DM1383" s="403">
        <f>DM1390</f>
        <v/>
      </c>
      <c r="DN1383" s="403">
        <f>DN1390</f>
        <v/>
      </c>
      <c r="DO1383" s="403">
        <f>DO1390</f>
        <v/>
      </c>
      <c r="DP1383" s="403">
        <f>DP1390</f>
        <v/>
      </c>
      <c r="DQ1383" s="403">
        <f>DQ1390</f>
        <v/>
      </c>
      <c r="DR1383" s="403">
        <f>DR1390</f>
        <v/>
      </c>
      <c r="DS1383" s="403">
        <f>DS1390</f>
        <v/>
      </c>
      <c r="DT1383" s="403">
        <f>DT1390</f>
        <v/>
      </c>
      <c r="DU1383" s="403">
        <f>DU1390</f>
        <v/>
      </c>
      <c r="DV1383" s="403">
        <f>DV1390</f>
        <v/>
      </c>
      <c r="DW1383" s="403">
        <f>DW1390</f>
        <v/>
      </c>
      <c r="DX1383" s="403">
        <f>DX1390</f>
        <v/>
      </c>
      <c r="DY1383" s="403">
        <f>DY1390</f>
        <v/>
      </c>
      <c r="DZ1383" s="403">
        <f>DZ1390</f>
        <v/>
      </c>
      <c r="EA1383" s="403">
        <f>EA1390</f>
        <v/>
      </c>
      <c r="EB1383" s="403">
        <f>EB1390</f>
        <v/>
      </c>
      <c r="EC1383" s="403">
        <f>EC1390</f>
        <v/>
      </c>
      <c r="ED1383" s="403">
        <f>ED1390</f>
        <v/>
      </c>
      <c r="EE1383" s="403">
        <f>EE1390</f>
        <v/>
      </c>
      <c r="EF1383" s="403">
        <f>EF1390</f>
        <v/>
      </c>
      <c r="EG1383" s="403">
        <f>EG1390</f>
        <v/>
      </c>
      <c r="EH1383" s="403">
        <f>EH1390</f>
        <v/>
      </c>
      <c r="EI1383" s="403">
        <f>EI1390</f>
        <v/>
      </c>
      <c r="EJ1383" s="403">
        <f>EJ1390</f>
        <v/>
      </c>
      <c r="EK1383" s="403">
        <f>EK1390</f>
        <v/>
      </c>
      <c r="EL1383" s="403">
        <f>EL1390</f>
        <v/>
      </c>
      <c r="EM1383" s="403">
        <f>EM1390</f>
        <v/>
      </c>
      <c r="EN1383" s="403">
        <f>EN1390</f>
        <v/>
      </c>
      <c r="EO1383" s="403">
        <f>EO1390</f>
        <v/>
      </c>
      <c r="EP1383" s="403">
        <f>EP1390</f>
        <v/>
      </c>
      <c r="EQ1383" s="403">
        <f>EQ1390</f>
        <v/>
      </c>
      <c r="ER1383" s="403">
        <f>ER1390</f>
        <v/>
      </c>
      <c r="ES1383" s="403">
        <f>ES1390</f>
        <v/>
      </c>
      <c r="ET1383" s="403">
        <f>ET1390</f>
        <v/>
      </c>
      <c r="EU1383" s="403">
        <f>EU1390</f>
        <v/>
      </c>
      <c r="EV1383" s="403">
        <f>EV1390</f>
        <v/>
      </c>
      <c r="EW1383" s="403">
        <f>EW1390</f>
        <v/>
      </c>
      <c r="EX1383" s="403">
        <f>EX1390</f>
        <v/>
      </c>
      <c r="EY1383" s="403">
        <f>EY1390</f>
        <v/>
      </c>
      <c r="EZ1383" s="403">
        <f>EZ1390</f>
        <v/>
      </c>
      <c r="FA1383" s="403">
        <f>FA1390</f>
        <v/>
      </c>
      <c r="FB1383" s="403">
        <f>FB1390</f>
        <v/>
      </c>
      <c r="FC1383" s="403">
        <f>FC1390</f>
        <v/>
      </c>
      <c r="FD1383" s="403">
        <f>FD1390</f>
        <v/>
      </c>
      <c r="FE1383" s="403">
        <f>FE1390</f>
        <v/>
      </c>
      <c r="FF1383" s="403">
        <f>FF1390</f>
        <v/>
      </c>
      <c r="FG1383" s="403">
        <f>FG1390</f>
        <v/>
      </c>
      <c r="FH1383" s="403">
        <f>FH1390</f>
        <v/>
      </c>
      <c r="FI1383" s="403">
        <f>FI1390</f>
        <v/>
      </c>
      <c r="FJ1383" s="403">
        <f>FJ1390</f>
        <v/>
      </c>
      <c r="FK1383" s="403">
        <f>FK1390</f>
        <v/>
      </c>
      <c r="FL1383" s="403">
        <f>FL1390</f>
        <v/>
      </c>
      <c r="FM1383" s="403">
        <f>FM1390</f>
        <v/>
      </c>
      <c r="FN1383" s="403">
        <f>FN1390</f>
        <v/>
      </c>
      <c r="FO1383" s="403">
        <f>FO1390</f>
        <v/>
      </c>
      <c r="FP1383" s="403">
        <f>FP1390</f>
        <v/>
      </c>
      <c r="FQ1383" s="403">
        <f>FQ1390</f>
        <v/>
      </c>
      <c r="FR1383" s="403">
        <f>FR1390</f>
        <v/>
      </c>
      <c r="FS1383" s="403">
        <f>FS1390</f>
        <v/>
      </c>
      <c r="FT1383" s="403">
        <f>FT1390</f>
        <v/>
      </c>
      <c r="FU1383" s="403">
        <f>FU1390</f>
        <v/>
      </c>
      <c r="FV1383" s="403">
        <f>FV1390</f>
        <v/>
      </c>
      <c r="FW1383" s="403">
        <f>FW1390</f>
        <v/>
      </c>
      <c r="FX1383" s="403">
        <f>FX1390</f>
        <v/>
      </c>
      <c r="FY1383" s="403">
        <f>FY1390</f>
        <v/>
      </c>
      <c r="FZ1383" s="403">
        <f>FZ1390</f>
        <v/>
      </c>
      <c r="GA1383" s="403">
        <f>GA1390</f>
        <v/>
      </c>
      <c r="GB1383" s="403">
        <f>GB1390</f>
        <v/>
      </c>
      <c r="GC1383" s="403">
        <f>GC1390</f>
        <v/>
      </c>
      <c r="GD1383" s="403">
        <f>GD1390</f>
        <v/>
      </c>
      <c r="GE1383" s="403">
        <f>GE1390</f>
        <v/>
      </c>
      <c r="GF1383" s="403">
        <f>GF1390</f>
        <v/>
      </c>
      <c r="GG1383" s="403">
        <f>GG1390</f>
        <v/>
      </c>
      <c r="GH1383" s="403">
        <f>GH1390</f>
        <v/>
      </c>
      <c r="GI1383" s="403">
        <f>GI1390</f>
        <v/>
      </c>
      <c r="GJ1383" s="403">
        <f>GJ1390</f>
        <v/>
      </c>
      <c r="GK1383" s="403">
        <f>GK1390</f>
        <v/>
      </c>
      <c r="GL1383" s="403">
        <f>GL1390</f>
        <v/>
      </c>
      <c r="GM1383" s="403">
        <f>GM1390</f>
        <v/>
      </c>
      <c r="GN1383" s="403">
        <f>GN1390</f>
        <v/>
      </c>
      <c r="GO1383" s="403">
        <f>GO1390</f>
        <v/>
      </c>
      <c r="GP1383" s="403">
        <f>GP1390</f>
        <v/>
      </c>
      <c r="GQ1383" s="403">
        <f>GQ1390</f>
        <v/>
      </c>
      <c r="GR1383" s="403">
        <f>GR1390</f>
        <v/>
      </c>
      <c r="GS1383" s="403">
        <f>GS1390</f>
        <v/>
      </c>
      <c r="GT1383" s="403">
        <f>GT1390</f>
        <v/>
      </c>
      <c r="GU1383" s="403">
        <f>GU1390</f>
        <v/>
      </c>
      <c r="GV1383" s="403">
        <f>GV1390</f>
        <v/>
      </c>
      <c r="GW1383" s="403">
        <f>GW1390</f>
        <v/>
      </c>
      <c r="GX1383" s="403">
        <f>GX1390</f>
        <v/>
      </c>
    </row>
    <row r="1384"/>
    <row r="1385">
      <c r="A1385" t="n">
        <v>17</v>
      </c>
      <c r="B1385" t="n">
        <v>0</v>
      </c>
      <c r="C1385">
        <f>ROW(SmtRes!A663)</f>
        <v/>
      </c>
      <c r="D1385">
        <f>ROW(EtalonRes!A610)</f>
        <v/>
      </c>
      <c r="E1385" t="inlineStr">
        <is>
          <t>1</t>
        </is>
      </c>
      <c r="F1385" t="inlineStr">
        <is>
          <t>65-10-1</t>
        </is>
      </c>
      <c r="G1385" t="inlineStr">
        <is>
          <t>Очистка канализационной сети внутренней</t>
        </is>
      </c>
      <c r="H1385" t="inlineStr">
        <is>
          <t>100 м трубопровода</t>
        </is>
      </c>
      <c r="I1385">
        <f>ROUND(ROUND(15/100,4),7)</f>
        <v/>
      </c>
      <c r="J1385" t="n">
        <v>0</v>
      </c>
      <c r="K1385">
        <f>ROUND(ROUND(15/100,4),7)</f>
        <v/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78869116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403.3</v>
      </c>
      <c r="AL1385" t="n">
        <v>139.36</v>
      </c>
      <c r="AM1385" t="n">
        <v>0.87</v>
      </c>
      <c r="AN1385" t="n">
        <v>0</v>
      </c>
      <c r="AO1385" t="n">
        <v>263.07</v>
      </c>
      <c r="AP1385" t="n">
        <v>0</v>
      </c>
      <c r="AQ1385" t="n">
        <v>32.2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52.25</v>
      </c>
      <c r="BB1385" t="n">
        <v>25.03</v>
      </c>
      <c r="BC1385" t="n">
        <v>11.85</v>
      </c>
      <c r="BD1385" t="inlineStr"/>
      <c r="BE1385" t="inlineStr"/>
      <c r="BF1385" t="inlineStr"/>
      <c r="BG1385" t="inlineStr"/>
      <c r="BH1385" t="n">
        <v>0</v>
      </c>
      <c r="BI1385" t="n">
        <v>1</v>
      </c>
      <c r="BJ1385" t="inlineStr">
        <is>
          <t>ТЕРр Московской обл., 65-10-1, приказ Минстроя России №675/пр от 28.02.2017 № 263/пр</t>
        </is>
      </c>
      <c r="BM1385" t="n">
        <v>65007</v>
      </c>
      <c r="BN1385" t="n">
        <v>0</v>
      </c>
      <c r="BO1385" t="inlineStr">
        <is>
          <t>65-10-1</t>
        </is>
      </c>
      <c r="BP1385" t="n">
        <v>1</v>
      </c>
      <c r="BQ1385" t="n">
        <v>6</v>
      </c>
      <c r="BR1385" t="n">
        <v>0</v>
      </c>
      <c r="BS1385" t="n">
        <v>52.25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AC1385*BC1385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1013</v>
      </c>
      <c r="DV1385" t="inlineStr">
        <is>
          <t>100 м трубопровода</t>
        </is>
      </c>
      <c r="DW1385" t="inlineStr">
        <is>
          <t>100 м трубопровода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403.3</v>
      </c>
      <c r="ES1385" t="n">
        <v>139.36</v>
      </c>
      <c r="ET1385" t="n">
        <v>0.87</v>
      </c>
      <c r="EU1385" t="n">
        <v>0</v>
      </c>
      <c r="EV1385" t="n">
        <v>263.07</v>
      </c>
      <c r="EW1385" t="n">
        <v>32.2</v>
      </c>
      <c r="EX1385" t="n">
        <v>0</v>
      </c>
      <c r="EY1385" t="n">
        <v>0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/>
      <c r="GD1385" t="n">
        <v>1</v>
      </c>
      <c r="GF1385" t="n">
        <v>-66904957</v>
      </c>
      <c r="GG1385" t="n">
        <v>2</v>
      </c>
      <c r="GH1385" t="n">
        <v>1</v>
      </c>
      <c r="GI1385" t="n">
        <v>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0</v>
      </c>
      <c r="GS1385" t="n">
        <v>3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/>
      <c r="HF1385" t="inlineStr"/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>
      <c r="A1386" t="n">
        <v>17</v>
      </c>
      <c r="B1386" t="n">
        <v>0</v>
      </c>
      <c r="C1386">
        <f>ROW(SmtRes!A666)</f>
        <v/>
      </c>
      <c r="D1386">
        <f>ROW(EtalonRes!A612)</f>
        <v/>
      </c>
      <c r="E1386" t="inlineStr">
        <is>
          <t>2</t>
        </is>
      </c>
      <c r="F1386" t="inlineStr">
        <is>
          <t>67-5-2</t>
        </is>
      </c>
      <c r="G1386" t="inlineStr">
        <is>
          <t>Смена ламп люминесцентных</t>
        </is>
      </c>
      <c r="H1386" t="inlineStr">
        <is>
          <t>100 шт.</t>
        </is>
      </c>
      <c r="I1386">
        <f>ROUND(ROUND(4/100,4),7)</f>
        <v/>
      </c>
      <c r="J1386" t="n">
        <v>0</v>
      </c>
      <c r="K1386">
        <f>ROUND(ROUND(4/100,4),7)</f>
        <v/>
      </c>
      <c r="O1386">
        <f>ROUND(CP1386,0)</f>
        <v/>
      </c>
      <c r="P1386">
        <f>ROUND(CQ1386*I1386,0)</f>
        <v/>
      </c>
      <c r="Q1386">
        <f>(ROUND((ROUND(((ET1386)*I1386),0)*BB1386),0)+ROUND((ROUND(((AE1386-(EU1386))*I1386),0)*BS1386),0))</f>
        <v/>
      </c>
      <c r="R1386">
        <f>(ROUND((ROUND(((EU1386)*I1386),0)*BS1386),0)+ROUND((ROUND(((AE1386-(EU1386))*I1386),0)*BS1386),0))</f>
        <v/>
      </c>
      <c r="S1386">
        <f>ROUND(CT1386*I1386,0)</f>
        <v/>
      </c>
      <c r="T1386">
        <f>ROUND(CU1386*I1386,0)</f>
        <v/>
      </c>
      <c r="U1386">
        <f>ROUND(CV1386*I1386,7)</f>
        <v/>
      </c>
      <c r="V1386">
        <f>ROUND(CW1386*I1386,7)</f>
        <v/>
      </c>
      <c r="W1386">
        <f>ROUND(CX1386*I1386,0)</f>
        <v/>
      </c>
      <c r="X1386">
        <f>ROUND(CY1386,0)</f>
        <v/>
      </c>
      <c r="Y1386">
        <f>ROUND(CZ1386,0)</f>
        <v/>
      </c>
      <c r="AA1386" t="n">
        <v>78869116</v>
      </c>
      <c r="AB1386">
        <f>ROUND((AC1386+AD1386+AF1386),2)</f>
        <v/>
      </c>
      <c r="AC1386">
        <f>ROUND((ES1386),2)</f>
        <v/>
      </c>
      <c r="AD1386">
        <f>ROUND((((ET1386)-(EU1386))+AE1386),2)</f>
        <v/>
      </c>
      <c r="AE1386">
        <f>ROUND((EU1386),2)</f>
        <v/>
      </c>
      <c r="AF1386">
        <f>ROUND((EV1386),2)</f>
        <v/>
      </c>
      <c r="AG1386">
        <f>ROUND((AP1386),2)</f>
        <v/>
      </c>
      <c r="AH1386">
        <f>(EW1386)</f>
        <v/>
      </c>
      <c r="AI1386">
        <f>(EX1386)</f>
        <v/>
      </c>
      <c r="AJ1386">
        <f>(AS1386)</f>
        <v/>
      </c>
      <c r="AK1386" t="n">
        <v>970.5700000000001</v>
      </c>
      <c r="AL1386" t="n">
        <v>852</v>
      </c>
      <c r="AM1386" t="n">
        <v>0</v>
      </c>
      <c r="AN1386" t="n">
        <v>0</v>
      </c>
      <c r="AO1386" t="n">
        <v>118.57</v>
      </c>
      <c r="AP1386" t="n">
        <v>0</v>
      </c>
      <c r="AQ1386" t="n">
        <v>13.9</v>
      </c>
      <c r="AR1386" t="n">
        <v>0</v>
      </c>
      <c r="AS1386" t="n">
        <v>0</v>
      </c>
      <c r="AT1386" t="n">
        <v>91</v>
      </c>
      <c r="AU1386" t="n">
        <v>48</v>
      </c>
      <c r="AV1386" t="n">
        <v>1</v>
      </c>
      <c r="AW1386" t="n">
        <v>1</v>
      </c>
      <c r="AZ1386" t="n">
        <v>1</v>
      </c>
      <c r="BA1386" t="n">
        <v>52.25</v>
      </c>
      <c r="BB1386" t="n">
        <v>1</v>
      </c>
      <c r="BC1386" t="n">
        <v>4.14</v>
      </c>
      <c r="BD1386" t="inlineStr"/>
      <c r="BE1386" t="inlineStr"/>
      <c r="BF1386" t="inlineStr"/>
      <c r="BG1386" t="inlineStr"/>
      <c r="BH1386" t="n">
        <v>0</v>
      </c>
      <c r="BI1386" t="n">
        <v>1</v>
      </c>
      <c r="BJ1386" t="inlineStr">
        <is>
          <t>ТЕРр Московской обл., 67-5-2, приказ Минстроя России №675/пр от 28.02.2017 № 263/пр</t>
        </is>
      </c>
      <c r="BM1386" t="n">
        <v>67001</v>
      </c>
      <c r="BN1386" t="n">
        <v>0</v>
      </c>
      <c r="BO1386" t="inlineStr">
        <is>
          <t>67-5-2</t>
        </is>
      </c>
      <c r="BP1386" t="n">
        <v>1</v>
      </c>
      <c r="BQ1386" t="n">
        <v>6</v>
      </c>
      <c r="BR1386" t="n">
        <v>0</v>
      </c>
      <c r="BS1386" t="n">
        <v>52.25</v>
      </c>
      <c r="BT1386" t="n">
        <v>1</v>
      </c>
      <c r="BU1386" t="n">
        <v>1</v>
      </c>
      <c r="BV1386" t="n">
        <v>1</v>
      </c>
      <c r="BW1386" t="n">
        <v>1</v>
      </c>
      <c r="BX1386" t="n">
        <v>1</v>
      </c>
      <c r="BY1386" t="inlineStr"/>
      <c r="BZ1386" t="n">
        <v>91</v>
      </c>
      <c r="CA1386" t="n">
        <v>48</v>
      </c>
      <c r="CB1386" t="inlineStr"/>
      <c r="CE1386" t="n">
        <v>12</v>
      </c>
      <c r="CF1386" t="n">
        <v>0</v>
      </c>
      <c r="CG1386" t="n">
        <v>0</v>
      </c>
      <c r="CM1386" t="n">
        <v>0</v>
      </c>
      <c r="CN1386" t="inlineStr"/>
      <c r="CO1386" t="n">
        <v>0</v>
      </c>
      <c r="CP1386">
        <f>(P1386+Q1386+S1386)</f>
        <v/>
      </c>
      <c r="CQ1386">
        <f>AC1386*BC1386</f>
        <v/>
      </c>
      <c r="CR1386">
        <f>(ROUND((ROUND(((ET1386)*1),0)*BB1386),0)+ROUND((ROUND(((AE1386-(EU1386))*1),0)*BS1386),0))</f>
        <v/>
      </c>
      <c r="CS1386">
        <f>(ROUND((ROUND(((EU1386)*1),0)*BS1386),0)+ROUND((ROUND(((AE1386-(EU1386))*1),0)*BS1386),0))</f>
        <v/>
      </c>
      <c r="CT1386">
        <f>AF1386*BA1386</f>
        <v/>
      </c>
      <c r="CU1386">
        <f>AG1386</f>
        <v/>
      </c>
      <c r="CV1386">
        <f>AH1386</f>
        <v/>
      </c>
      <c r="CW1386">
        <f>AI1386</f>
        <v/>
      </c>
      <c r="CX1386">
        <f>AJ1386</f>
        <v/>
      </c>
      <c r="CY1386">
        <f>(((S1386+R1386)*AT1386)/100)</f>
        <v/>
      </c>
      <c r="CZ1386">
        <f>(((S1386+R1386)*AU1386)/100)</f>
        <v/>
      </c>
      <c r="DC1386" t="inlineStr"/>
      <c r="DD1386" t="inlineStr"/>
      <c r="DE1386" t="inlineStr"/>
      <c r="DF1386" t="inlineStr"/>
      <c r="DG1386" t="inlineStr"/>
      <c r="DH1386" t="inlineStr"/>
      <c r="DI1386" t="inlineStr"/>
      <c r="DJ1386" t="inlineStr"/>
      <c r="DK1386" t="inlineStr"/>
      <c r="DL1386" t="inlineStr"/>
      <c r="DM1386" t="inlineStr"/>
      <c r="DN1386" t="n">
        <v>0</v>
      </c>
      <c r="DO1386" t="n">
        <v>0</v>
      </c>
      <c r="DP1386" t="n">
        <v>1</v>
      </c>
      <c r="DQ1386" t="n">
        <v>1</v>
      </c>
      <c r="DU1386" t="n">
        <v>1010</v>
      </c>
      <c r="DV1386" t="inlineStr">
        <is>
          <t>100 шт.</t>
        </is>
      </c>
      <c r="DW1386" t="inlineStr">
        <is>
          <t>100 шт.</t>
        </is>
      </c>
      <c r="DX1386" t="n">
        <v>100</v>
      </c>
      <c r="DZ1386" t="inlineStr"/>
      <c r="EA1386" t="inlineStr"/>
      <c r="EB1386" t="inlineStr"/>
      <c r="EC1386" t="inlineStr"/>
      <c r="EE1386" t="n">
        <v>78726030</v>
      </c>
      <c r="EF1386" t="n">
        <v>6</v>
      </c>
      <c r="EG1386" t="inlineStr">
        <is>
          <t>Ремонтно-строительные работы</t>
        </is>
      </c>
      <c r="EH1386" t="n">
        <v>101</v>
      </c>
      <c r="EI1386" t="inlineStr">
        <is>
          <t>Электромонтажные работы</t>
        </is>
      </c>
      <c r="EJ1386" t="n">
        <v>1</v>
      </c>
      <c r="EK1386" t="n">
        <v>67001</v>
      </c>
      <c r="EL1386" t="inlineStr">
        <is>
          <t>Электромонтажные работы</t>
        </is>
      </c>
      <c r="EM1386" t="inlineStr">
        <is>
          <t>рФЕР-67</t>
        </is>
      </c>
      <c r="EO1386" t="inlineStr"/>
      <c r="EQ1386" t="n">
        <v>0</v>
      </c>
      <c r="ER1386" t="n">
        <v>970.5700000000001</v>
      </c>
      <c r="ES1386" t="n">
        <v>852</v>
      </c>
      <c r="ET1386" t="n">
        <v>0</v>
      </c>
      <c r="EU1386" t="n">
        <v>0</v>
      </c>
      <c r="EV1386" t="n">
        <v>118.57</v>
      </c>
      <c r="EW1386" t="n">
        <v>13.9</v>
      </c>
      <c r="EX1386" t="n">
        <v>0</v>
      </c>
      <c r="EY1386" t="n">
        <v>0</v>
      </c>
      <c r="FQ1386" t="n">
        <v>0</v>
      </c>
      <c r="FR1386" t="n">
        <v>0</v>
      </c>
      <c r="FS1386" t="n">
        <v>0</v>
      </c>
      <c r="FX1386" t="n">
        <v>91</v>
      </c>
      <c r="FY1386" t="n">
        <v>48</v>
      </c>
      <c r="GA1386" t="inlineStr"/>
      <c r="GD1386" t="n">
        <v>1</v>
      </c>
      <c r="GF1386" t="n">
        <v>1400342257</v>
      </c>
      <c r="GG1386" t="n">
        <v>2</v>
      </c>
      <c r="GH1386" t="n">
        <v>1</v>
      </c>
      <c r="GI1386" t="n">
        <v>2</v>
      </c>
      <c r="GJ1386" t="n">
        <v>0</v>
      </c>
      <c r="GK1386" t="n">
        <v>0</v>
      </c>
      <c r="GL1386">
        <f>ROUND(IF(AND(BH1386=3,BI1386=3,FS1386&lt;&gt;0),P1386,0),0)</f>
        <v/>
      </c>
      <c r="GM1386">
        <f>ROUND(O1386+X1386+Y1386,0)+GX1386</f>
        <v/>
      </c>
      <c r="GN1386">
        <f>IF(OR(BI1386=0,BI1386=1),GM1386-GX1386,0)</f>
        <v/>
      </c>
      <c r="GO1386">
        <f>IF(BI1386=2,GM1386-GX1386,0)</f>
        <v/>
      </c>
      <c r="GP1386">
        <f>IF(BI1386=4,GM1386-GX1386,0)</f>
        <v/>
      </c>
      <c r="GR1386" t="n">
        <v>0</v>
      </c>
      <c r="GS1386" t="n">
        <v>3</v>
      </c>
      <c r="GT1386" t="n">
        <v>0</v>
      </c>
      <c r="GU1386" t="inlineStr"/>
      <c r="GV1386">
        <f>ROUND((GT1386),2)</f>
        <v/>
      </c>
      <c r="GW1386" t="n">
        <v>1</v>
      </c>
      <c r="GX1386">
        <f>ROUND(HC1386*I1386,0)</f>
        <v/>
      </c>
      <c r="HA1386" t="n">
        <v>0</v>
      </c>
      <c r="HB1386" t="n">
        <v>0</v>
      </c>
      <c r="HC1386">
        <f>GV1386*GW1386</f>
        <v/>
      </c>
      <c r="HE1386" t="inlineStr"/>
      <c r="HF1386" t="inlineStr"/>
      <c r="HM1386" t="inlineStr"/>
      <c r="HN1386" t="inlineStr">
        <is>
          <t>Пр/812-101.0-1</t>
        </is>
      </c>
      <c r="HO1386" t="inlineStr">
        <is>
          <t>Пр/774-101.0</t>
        </is>
      </c>
      <c r="HP1386" t="inlineStr">
        <is>
          <t>Электромонтажные работы</t>
        </is>
      </c>
      <c r="HQ1386" t="inlineStr">
        <is>
          <t>Электромонтажные работы</t>
        </is>
      </c>
      <c r="HS1386" t="n">
        <v>0</v>
      </c>
      <c r="IK1386" t="n">
        <v>0</v>
      </c>
    </row>
    <row r="1387">
      <c r="A1387" t="n">
        <v>18</v>
      </c>
      <c r="B1387" t="n">
        <v>0</v>
      </c>
      <c r="C1387" t="n">
        <v>666</v>
      </c>
      <c r="E1387" t="inlineStr">
        <is>
          <t>2,1</t>
        </is>
      </c>
      <c r="F1387" t="inlineStr">
        <is>
          <t>509-6744</t>
        </is>
      </c>
      <c r="G1387" t="inlineStr">
        <is>
          <t>Лампы люминесцентные компактные энергосберегающие с цоколем Е27 мощностью 55 Вт</t>
        </is>
      </c>
      <c r="H1387" t="inlineStr">
        <is>
          <t>шт.</t>
        </is>
      </c>
      <c r="I1387">
        <f>I1386*J1387</f>
        <v/>
      </c>
      <c r="J1387" t="n">
        <v>100</v>
      </c>
      <c r="K1387" t="n">
        <v>100</v>
      </c>
      <c r="O1387">
        <f>ROUND(CP1387,0)</f>
        <v/>
      </c>
      <c r="P1387">
        <f>ROUND(CQ1387*I1387,0)</f>
        <v/>
      </c>
      <c r="Q1387">
        <f>(ROUND((ROUND(((ET1387)*I1387),0)*BB1387),0)+ROUND((ROUND(((AE1387-(EU1387))*I1387),0)*BS1387),0))</f>
        <v/>
      </c>
      <c r="R1387">
        <f>(ROUND((ROUND(((EU1387)*I1387),0)*BS1387),0)+ROUND((ROUND(((AE1387-(EU1387))*I1387),0)*BS1387),0))</f>
        <v/>
      </c>
      <c r="S1387">
        <f>ROUND(CT1387*I1387,0)</f>
        <v/>
      </c>
      <c r="T1387">
        <f>ROUND(CU1387*I1387,0)</f>
        <v/>
      </c>
      <c r="U1387">
        <f>ROUND(CV1387*I1387,7)</f>
        <v/>
      </c>
      <c r="V1387">
        <f>ROUND(CW1387*I1387,7)</f>
        <v/>
      </c>
      <c r="W1387">
        <f>ROUND(CX1387*I1387,0)</f>
        <v/>
      </c>
      <c r="X1387">
        <f>ROUND(CY1387,0)</f>
        <v/>
      </c>
      <c r="Y1387">
        <f>ROUND(CZ1387,0)</f>
        <v/>
      </c>
      <c r="AA1387" t="n">
        <v>78869116</v>
      </c>
      <c r="AB1387">
        <f>ROUND((AC1387+AD1387+AF1387),2)</f>
        <v/>
      </c>
      <c r="AC1387">
        <f>ROUND((ES1387),2)</f>
        <v/>
      </c>
      <c r="AD1387">
        <f>ROUND((((ET1387)-(EU1387))+AE1387),2)</f>
        <v/>
      </c>
      <c r="AE1387">
        <f>ROUND((EU1387),2)</f>
        <v/>
      </c>
      <c r="AF1387">
        <f>ROUND((EV1387),2)</f>
        <v/>
      </c>
      <c r="AG1387">
        <f>ROUND((AP1387),2)</f>
        <v/>
      </c>
      <c r="AH1387">
        <f>(EW1387)</f>
        <v/>
      </c>
      <c r="AI1387">
        <f>(EX1387)</f>
        <v/>
      </c>
      <c r="AJ1387">
        <f>(AS1387)</f>
        <v/>
      </c>
      <c r="AK1387" t="n">
        <v>140.69</v>
      </c>
      <c r="AL1387" t="n">
        <v>140.69</v>
      </c>
      <c r="AM1387" t="n">
        <v>0</v>
      </c>
      <c r="AN1387" t="n">
        <v>0</v>
      </c>
      <c r="AO1387" t="n">
        <v>0</v>
      </c>
      <c r="AP1387" t="n">
        <v>0</v>
      </c>
      <c r="AQ1387" t="n">
        <v>0</v>
      </c>
      <c r="AR1387" t="n">
        <v>0</v>
      </c>
      <c r="AS1387" t="n">
        <v>0.02</v>
      </c>
      <c r="AT1387" t="n">
        <v>91</v>
      </c>
      <c r="AU1387" t="n">
        <v>48</v>
      </c>
      <c r="AV1387" t="n">
        <v>1</v>
      </c>
      <c r="AW1387" t="n">
        <v>1</v>
      </c>
      <c r="AZ1387" t="n">
        <v>1</v>
      </c>
      <c r="BA1387" t="n">
        <v>1</v>
      </c>
      <c r="BB1387" t="n">
        <v>1</v>
      </c>
      <c r="BC1387" t="n">
        <v>1.69</v>
      </c>
      <c r="BD1387" t="inlineStr"/>
      <c r="BE1387" t="inlineStr"/>
      <c r="BF1387" t="inlineStr"/>
      <c r="BG1387" t="inlineStr"/>
      <c r="BH1387" t="n">
        <v>3</v>
      </c>
      <c r="BI1387" t="n">
        <v>1</v>
      </c>
      <c r="BJ1387" t="inlineStr">
        <is>
          <t>ТССЦ Московской обл., 509-6744, приказ Минстроя России №675/пр от 28.02.2017 № 258/пр</t>
        </is>
      </c>
      <c r="BM1387" t="n">
        <v>67001</v>
      </c>
      <c r="BN1387" t="n">
        <v>0</v>
      </c>
      <c r="BO1387" t="inlineStr">
        <is>
          <t>509-6744</t>
        </is>
      </c>
      <c r="BP1387" t="n">
        <v>1</v>
      </c>
      <c r="BQ1387" t="n">
        <v>6</v>
      </c>
      <c r="BR1387" t="n">
        <v>0</v>
      </c>
      <c r="BS1387" t="n">
        <v>1</v>
      </c>
      <c r="BT1387" t="n">
        <v>1</v>
      </c>
      <c r="BU1387" t="n">
        <v>1</v>
      </c>
      <c r="BV1387" t="n">
        <v>1</v>
      </c>
      <c r="BW1387" t="n">
        <v>1</v>
      </c>
      <c r="BX1387" t="n">
        <v>1</v>
      </c>
      <c r="BY1387" t="inlineStr"/>
      <c r="BZ1387" t="n">
        <v>91</v>
      </c>
      <c r="CA1387" t="n">
        <v>48</v>
      </c>
      <c r="CB1387" t="inlineStr"/>
      <c r="CE1387" t="n">
        <v>12</v>
      </c>
      <c r="CF1387" t="n">
        <v>0</v>
      </c>
      <c r="CG1387" t="n">
        <v>0</v>
      </c>
      <c r="CM1387" t="n">
        <v>0</v>
      </c>
      <c r="CN1387" t="inlineStr"/>
      <c r="CO1387" t="n">
        <v>0</v>
      </c>
      <c r="CP1387">
        <f>(P1387+Q1387+S1387)</f>
        <v/>
      </c>
      <c r="CQ1387">
        <f>AC1387*BC1387</f>
        <v/>
      </c>
      <c r="CR1387">
        <f>(ROUND((ROUND(((ET1387)*1),0)*BB1387),0)+ROUND((ROUND(((AE1387-(EU1387))*1),0)*BS1387),0))</f>
        <v/>
      </c>
      <c r="CS1387">
        <f>(ROUND((ROUND(((EU1387)*1),0)*BS1387),0)+ROUND((ROUND(((AE1387-(EU1387))*1),0)*BS1387),0))</f>
        <v/>
      </c>
      <c r="CT1387">
        <f>AF1387*BA1387</f>
        <v/>
      </c>
      <c r="CU1387">
        <f>AG1387</f>
        <v/>
      </c>
      <c r="CV1387">
        <f>AH1387</f>
        <v/>
      </c>
      <c r="CW1387">
        <f>AI1387</f>
        <v/>
      </c>
      <c r="CX1387">
        <f>AJ1387</f>
        <v/>
      </c>
      <c r="CY1387">
        <f>(((S1387+R1387)*AT1387)/100)</f>
        <v/>
      </c>
      <c r="CZ1387">
        <f>(((S1387+R1387)*AU1387)/100)</f>
        <v/>
      </c>
      <c r="DC1387" t="inlineStr"/>
      <c r="DD1387" t="inlineStr"/>
      <c r="DE1387" t="inlineStr"/>
      <c r="DF1387" t="inlineStr"/>
      <c r="DG1387" t="inlineStr"/>
      <c r="DH1387" t="inlineStr"/>
      <c r="DI1387" t="inlineStr"/>
      <c r="DJ1387" t="inlineStr"/>
      <c r="DK1387" t="inlineStr"/>
      <c r="DL1387" t="inlineStr"/>
      <c r="DM1387" t="inlineStr"/>
      <c r="DN1387" t="n">
        <v>0</v>
      </c>
      <c r="DO1387" t="n">
        <v>0</v>
      </c>
      <c r="DP1387" t="n">
        <v>1</v>
      </c>
      <c r="DQ1387" t="n">
        <v>1</v>
      </c>
      <c r="DU1387" t="n">
        <v>1010</v>
      </c>
      <c r="DV1387" t="inlineStr">
        <is>
          <t>шт.</t>
        </is>
      </c>
      <c r="DW1387" t="inlineStr">
        <is>
          <t>шт.</t>
        </is>
      </c>
      <c r="DX1387" t="n">
        <v>1</v>
      </c>
      <c r="DZ1387" t="inlineStr"/>
      <c r="EA1387" t="inlineStr"/>
      <c r="EB1387" t="inlineStr"/>
      <c r="EC1387" t="inlineStr"/>
      <c r="EE1387" t="n">
        <v>78726030</v>
      </c>
      <c r="EF1387" t="n">
        <v>6</v>
      </c>
      <c r="EG1387" t="inlineStr">
        <is>
          <t>Ремонтно-строительные работы</t>
        </is>
      </c>
      <c r="EH1387" t="n">
        <v>101</v>
      </c>
      <c r="EI1387" t="inlineStr">
        <is>
          <t>Электромонтажные работы</t>
        </is>
      </c>
      <c r="EJ1387" t="n">
        <v>1</v>
      </c>
      <c r="EK1387" t="n">
        <v>67001</v>
      </c>
      <c r="EL1387" t="inlineStr">
        <is>
          <t>Электромонтажные работы</t>
        </is>
      </c>
      <c r="EM1387" t="inlineStr">
        <is>
          <t>рФЕР-67</t>
        </is>
      </c>
      <c r="EO1387" t="inlineStr"/>
      <c r="EQ1387" t="n">
        <v>0</v>
      </c>
      <c r="ER1387" t="n">
        <v>140.69</v>
      </c>
      <c r="ES1387" t="n">
        <v>140.69</v>
      </c>
      <c r="ET1387" t="n">
        <v>0</v>
      </c>
      <c r="EU1387" t="n">
        <v>0</v>
      </c>
      <c r="EV1387" t="n">
        <v>0</v>
      </c>
      <c r="EW1387" t="n">
        <v>0</v>
      </c>
      <c r="EX1387" t="n">
        <v>0</v>
      </c>
      <c r="FQ1387" t="n">
        <v>0</v>
      </c>
      <c r="FR1387" t="n">
        <v>0</v>
      </c>
      <c r="FS1387" t="n">
        <v>0</v>
      </c>
      <c r="FX1387" t="n">
        <v>91</v>
      </c>
      <c r="FY1387" t="n">
        <v>48</v>
      </c>
      <c r="GA1387" t="inlineStr"/>
      <c r="GD1387" t="n">
        <v>1</v>
      </c>
      <c r="GF1387" t="n">
        <v>-228955380</v>
      </c>
      <c r="GG1387" t="n">
        <v>2</v>
      </c>
      <c r="GH1387" t="n">
        <v>1</v>
      </c>
      <c r="GI1387" t="n">
        <v>2</v>
      </c>
      <c r="GJ1387" t="n">
        <v>0</v>
      </c>
      <c r="GK1387" t="n">
        <v>0</v>
      </c>
      <c r="GL1387">
        <f>ROUND(IF(AND(BH1387=3,BI1387=3,FS1387&lt;&gt;0),P1387,0),0)</f>
        <v/>
      </c>
      <c r="GM1387">
        <f>ROUND(O1387+X1387+Y1387,0)+GX1387</f>
        <v/>
      </c>
      <c r="GN1387">
        <f>IF(OR(BI1387=0,BI1387=1),GM1387-GX1387,0)</f>
        <v/>
      </c>
      <c r="GO1387">
        <f>IF(BI1387=2,GM1387-GX1387,0)</f>
        <v/>
      </c>
      <c r="GP1387">
        <f>IF(BI1387=4,GM1387-GX1387,0)</f>
        <v/>
      </c>
      <c r="GR1387" t="n">
        <v>0</v>
      </c>
      <c r="GS1387" t="n">
        <v>3</v>
      </c>
      <c r="GT1387" t="n">
        <v>0</v>
      </c>
      <c r="GU1387" t="inlineStr"/>
      <c r="GV1387">
        <f>ROUND((GT1387),2)</f>
        <v/>
      </c>
      <c r="GW1387" t="n">
        <v>1</v>
      </c>
      <c r="GX1387">
        <f>ROUND(HC1387*I1387,0)</f>
        <v/>
      </c>
      <c r="HA1387" t="n">
        <v>0</v>
      </c>
      <c r="HB1387" t="n">
        <v>0</v>
      </c>
      <c r="HC1387">
        <f>GV1387*GW1387</f>
        <v/>
      </c>
      <c r="HE1387" t="inlineStr"/>
      <c r="HF1387" t="inlineStr"/>
      <c r="HM1387" t="inlineStr"/>
      <c r="HN1387" t="inlineStr">
        <is>
          <t>Пр/812-101.0-1</t>
        </is>
      </c>
      <c r="HO1387" t="inlineStr">
        <is>
          <t>Пр/774-101.0</t>
        </is>
      </c>
      <c r="HP1387" t="inlineStr">
        <is>
          <t>Электромонтажные работы</t>
        </is>
      </c>
      <c r="HQ1387" t="inlineStr">
        <is>
          <t>Электромонтажные работы</t>
        </is>
      </c>
      <c r="HS1387" t="n">
        <v>0</v>
      </c>
      <c r="IK1387" t="n">
        <v>0</v>
      </c>
    </row>
    <row r="1388">
      <c r="A1388" t="n">
        <v>17</v>
      </c>
      <c r="B1388" t="n">
        <v>0</v>
      </c>
      <c r="C1388">
        <f>ROW(SmtRes!A672)</f>
        <v/>
      </c>
      <c r="D1388">
        <f>ROW(EtalonRes!A618)</f>
        <v/>
      </c>
      <c r="E1388" t="inlineStr">
        <is>
          <t>3</t>
        </is>
      </c>
      <c r="F1388" t="inlineStr">
        <is>
          <t>16-07-005-1</t>
        </is>
      </c>
      <c r="G13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88" t="inlineStr">
        <is>
          <t>100 м трубопровода</t>
        </is>
      </c>
      <c r="I1388">
        <f>ROUND(ROUND(27/100,4),7)</f>
        <v/>
      </c>
      <c r="J1388" t="n">
        <v>0</v>
      </c>
      <c r="K1388">
        <f>ROUND(ROUND(27/100,4),7)</f>
        <v/>
      </c>
      <c r="O1388">
        <f>ROUND(CP1388,0)</f>
        <v/>
      </c>
      <c r="P1388">
        <f>ROUND(CQ1388*I1388,0)</f>
        <v/>
      </c>
      <c r="Q1388">
        <f>(ROUND((ROUND((((ET1388*ROUND(8,7)))*I1388),0)*BB1388),0)+ROUND((ROUND(((AE1388-((EU1388*ROUND(8,7))))*I1388),0)*BS1388),0))</f>
        <v/>
      </c>
      <c r="R1388">
        <f>(ROUND((ROUND((((EU1388*ROUND(8,7)))*I1388),0)*BS1388),0)+ROUND((ROUND(((AE1388-((EU1388*ROUND(8,7))))*I1388),0)*BS1388),0))</f>
        <v/>
      </c>
      <c r="S1388">
        <f>ROUND(CT1388*I1388,0)</f>
        <v/>
      </c>
      <c r="T1388">
        <f>ROUND(CU1388*I1388,0)</f>
        <v/>
      </c>
      <c r="U1388">
        <f>ROUND(CV1388*I1388,7)</f>
        <v/>
      </c>
      <c r="V1388">
        <f>ROUND(CW1388*I1388,7)</f>
        <v/>
      </c>
      <c r="W1388">
        <f>ROUND(CX1388*I1388,0)</f>
        <v/>
      </c>
      <c r="X1388">
        <f>ROUND(CY1388,0)</f>
        <v/>
      </c>
      <c r="Y1388">
        <f>ROUND(CZ1388,0)</f>
        <v/>
      </c>
      <c r="AA1388" t="n">
        <v>78869116</v>
      </c>
      <c r="AB1388">
        <f>ROUND((AC1388+AD1388+AF1388),2)</f>
        <v/>
      </c>
      <c r="AC1388">
        <f>ROUND(((ES1388*ROUND(8,7))),2)</f>
        <v/>
      </c>
      <c r="AD1388">
        <f>ROUND(((((ET1388*ROUND(8,7)))-((EU1388*ROUND(8,7))))+AE1388),2)</f>
        <v/>
      </c>
      <c r="AE1388">
        <f>ROUND(((EU1388*ROUND(8,7))),2)</f>
        <v/>
      </c>
      <c r="AF1388">
        <f>ROUND(((EV1388*ROUND(8,7))),2)</f>
        <v/>
      </c>
      <c r="AG1388">
        <f>ROUND((AP1388),2)</f>
        <v/>
      </c>
      <c r="AH1388">
        <f>((EW1388*ROUND(8,7)))</f>
        <v/>
      </c>
      <c r="AI1388">
        <f>((EX1388*ROUND(8,7)))</f>
        <v/>
      </c>
      <c r="AJ1388">
        <f>(AS1388)</f>
        <v/>
      </c>
      <c r="AK1388" t="n">
        <v>107.11</v>
      </c>
      <c r="AL1388" t="n">
        <v>4.28</v>
      </c>
      <c r="AM1388" t="n">
        <v>44.51</v>
      </c>
      <c r="AN1388" t="n">
        <v>0</v>
      </c>
      <c r="AO1388" t="n">
        <v>58.32</v>
      </c>
      <c r="AP1388" t="n">
        <v>0</v>
      </c>
      <c r="AQ1388" t="n">
        <v>5.01</v>
      </c>
      <c r="AR1388" t="n">
        <v>0</v>
      </c>
      <c r="AS1388" t="n">
        <v>0</v>
      </c>
      <c r="AT1388" t="n">
        <v>121</v>
      </c>
      <c r="AU1388" t="n">
        <v>72</v>
      </c>
      <c r="AV1388" t="n">
        <v>1</v>
      </c>
      <c r="AW1388" t="n">
        <v>1</v>
      </c>
      <c r="AZ1388" t="n">
        <v>1</v>
      </c>
      <c r="BA1388" t="n">
        <v>52.25</v>
      </c>
      <c r="BB1388" t="n">
        <v>5.97</v>
      </c>
      <c r="BC1388" t="n">
        <v>11.38</v>
      </c>
      <c r="BD1388" t="inlineStr"/>
      <c r="BE1388" t="inlineStr"/>
      <c r="BF1388" t="inlineStr"/>
      <c r="BG1388" t="inlineStr"/>
      <c r="BH1388" t="n">
        <v>0</v>
      </c>
      <c r="BI1388" t="n">
        <v>1</v>
      </c>
      <c r="BJ1388" t="inlineStr">
        <is>
          <t>ТЕР Московской обл., 16-07-005-1, приказ Минстроя России №675/пр от 28.02.2017 № 260/пр</t>
        </is>
      </c>
      <c r="BM1388" t="n">
        <v>16001</v>
      </c>
      <c r="BN1388" t="n">
        <v>0</v>
      </c>
      <c r="BO1388" t="inlineStr">
        <is>
          <t>16-07-005-1</t>
        </is>
      </c>
      <c r="BP1388" t="n">
        <v>1</v>
      </c>
      <c r="BQ1388" t="n">
        <v>2</v>
      </c>
      <c r="BR1388" t="n">
        <v>0</v>
      </c>
      <c r="BS1388" t="n">
        <v>52.25</v>
      </c>
      <c r="BT1388" t="n">
        <v>1</v>
      </c>
      <c r="BU1388" t="n">
        <v>1</v>
      </c>
      <c r="BV1388" t="n">
        <v>1</v>
      </c>
      <c r="BW1388" t="n">
        <v>1</v>
      </c>
      <c r="BX1388" t="n">
        <v>1</v>
      </c>
      <c r="BY1388" t="inlineStr"/>
      <c r="BZ1388" t="n">
        <v>121</v>
      </c>
      <c r="CA1388" t="n">
        <v>72</v>
      </c>
      <c r="CB1388" t="inlineStr"/>
      <c r="CE1388" t="n">
        <v>12</v>
      </c>
      <c r="CF1388" t="n">
        <v>0</v>
      </c>
      <c r="CG1388" t="n">
        <v>0</v>
      </c>
      <c r="CM1388" t="n">
        <v>0</v>
      </c>
      <c r="CN1388" t="inlineStr"/>
      <c r="CO1388" t="n">
        <v>0</v>
      </c>
      <c r="CP1388">
        <f>(P1388+Q1388+S1388)</f>
        <v/>
      </c>
      <c r="CQ1388">
        <f>AC1388*BC1388</f>
        <v/>
      </c>
      <c r="CR1388">
        <f>(ROUND((ROUND((((ET1388*ROUND(8,7)))*1),0)*BB1388),0)+ROUND((ROUND(((AE1388-((EU1388*ROUND(8,7))))*1),0)*BS1388),0))</f>
        <v/>
      </c>
      <c r="CS1388">
        <f>(ROUND((ROUND((((EU1388*ROUND(8,7)))*1),0)*BS1388),0)+ROUND((ROUND(((AE1388-((EU1388*ROUND(8,7))))*1),0)*BS1388),0))</f>
        <v/>
      </c>
      <c r="CT1388">
        <f>AF1388*BA1388</f>
        <v/>
      </c>
      <c r="CU1388">
        <f>AG1388</f>
        <v/>
      </c>
      <c r="CV1388">
        <f>AH1388</f>
        <v/>
      </c>
      <c r="CW1388">
        <f>AI1388</f>
        <v/>
      </c>
      <c r="CX1388">
        <f>AJ1388</f>
        <v/>
      </c>
      <c r="CY1388">
        <f>(((S1388+R1388)*AT1388)/100)</f>
        <v/>
      </c>
      <c r="CZ1388">
        <f>(((S1388+R1388)*AU1388)/100)</f>
        <v/>
      </c>
      <c r="DC1388" t="inlineStr"/>
      <c r="DD1388" t="inlineStr">
        <is>
          <t>)*8</t>
        </is>
      </c>
      <c r="DE1388" t="inlineStr">
        <is>
          <t>)*8</t>
        </is>
      </c>
      <c r="DF1388" t="inlineStr">
        <is>
          <t>)*8</t>
        </is>
      </c>
      <c r="DG1388" t="inlineStr">
        <is>
          <t>)*8</t>
        </is>
      </c>
      <c r="DH1388" t="inlineStr"/>
      <c r="DI1388" t="inlineStr">
        <is>
          <t>)*8</t>
        </is>
      </c>
      <c r="DJ1388" t="inlineStr">
        <is>
          <t>)*8</t>
        </is>
      </c>
      <c r="DK1388" t="inlineStr"/>
      <c r="DL1388" t="inlineStr"/>
      <c r="DM1388" t="inlineStr"/>
      <c r="DN1388" t="n">
        <v>0</v>
      </c>
      <c r="DO1388" t="n">
        <v>0</v>
      </c>
      <c r="DP1388" t="n">
        <v>1</v>
      </c>
      <c r="DQ1388" t="n">
        <v>1</v>
      </c>
      <c r="DU1388" t="n">
        <v>1013</v>
      </c>
      <c r="DV1388" t="inlineStr">
        <is>
          <t>100 м трубопровода</t>
        </is>
      </c>
      <c r="DW1388" t="inlineStr">
        <is>
          <t>100 м трубопровода</t>
        </is>
      </c>
      <c r="DX1388" t="n">
        <v>1</v>
      </c>
      <c r="DZ1388" t="inlineStr"/>
      <c r="EA1388" t="inlineStr"/>
      <c r="EB1388" t="inlineStr"/>
      <c r="EC1388" t="inlineStr"/>
      <c r="EE1388" t="n">
        <v>78725882</v>
      </c>
      <c r="EF1388" t="n">
        <v>2</v>
      </c>
      <c r="EG1388" t="inlineStr">
        <is>
          <t>Общестроительные работы</t>
        </is>
      </c>
      <c r="EH1388" t="n">
        <v>16</v>
      </c>
      <c r="EI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88" t="n">
        <v>1</v>
      </c>
      <c r="EK1388" t="n">
        <v>16001</v>
      </c>
      <c r="EL1388" t="inlineStr">
        <is>
          <t>Трубопроводы внутренние</t>
        </is>
      </c>
      <c r="EM1388" t="inlineStr">
        <is>
          <t>ФЕР-16</t>
        </is>
      </c>
      <c r="EO1388" t="inlineStr"/>
      <c r="EQ1388" t="n">
        <v>0</v>
      </c>
      <c r="ER1388" t="n">
        <v>107.11</v>
      </c>
      <c r="ES1388" t="n">
        <v>4.28</v>
      </c>
      <c r="ET1388" t="n">
        <v>44.51</v>
      </c>
      <c r="EU1388" t="n">
        <v>0</v>
      </c>
      <c r="EV1388" t="n">
        <v>58.32</v>
      </c>
      <c r="EW1388" t="n">
        <v>5.01</v>
      </c>
      <c r="EX1388" t="n">
        <v>0</v>
      </c>
      <c r="EY1388" t="n">
        <v>0</v>
      </c>
      <c r="FQ1388" t="n">
        <v>0</v>
      </c>
      <c r="FR1388" t="n">
        <v>0</v>
      </c>
      <c r="FS1388" t="n">
        <v>0</v>
      </c>
      <c r="FX1388" t="n">
        <v>121</v>
      </c>
      <c r="FY1388" t="n">
        <v>72</v>
      </c>
      <c r="GA1388" t="inlineStr"/>
      <c r="GD1388" t="n">
        <v>1</v>
      </c>
      <c r="GF1388" t="n">
        <v>635989612</v>
      </c>
      <c r="GG1388" t="n">
        <v>2</v>
      </c>
      <c r="GH1388" t="n">
        <v>1</v>
      </c>
      <c r="GI1388" t="n">
        <v>2</v>
      </c>
      <c r="GJ1388" t="n">
        <v>0</v>
      </c>
      <c r="GK1388" t="n">
        <v>0</v>
      </c>
      <c r="GL1388">
        <f>ROUND(IF(AND(BH1388=3,BI1388=3,FS1388&lt;&gt;0),P1388,0),0)</f>
        <v/>
      </c>
      <c r="GM1388">
        <f>ROUND(O1388+X1388+Y1388,0)+GX1388</f>
        <v/>
      </c>
      <c r="GN1388">
        <f>IF(OR(BI1388=0,BI1388=1),GM1388-GX1388,0)</f>
        <v/>
      </c>
      <c r="GO1388">
        <f>IF(BI1388=2,GM1388-GX1388,0)</f>
        <v/>
      </c>
      <c r="GP1388">
        <f>IF(BI1388=4,GM1388-GX1388,0)</f>
        <v/>
      </c>
      <c r="GR1388" t="n">
        <v>0</v>
      </c>
      <c r="GS1388" t="n">
        <v>3</v>
      </c>
      <c r="GT1388" t="n">
        <v>0</v>
      </c>
      <c r="GU1388" t="inlineStr"/>
      <c r="GV1388">
        <f>ROUND((GT1388),2)</f>
        <v/>
      </c>
      <c r="GW1388" t="n">
        <v>1</v>
      </c>
      <c r="GX1388">
        <f>ROUND(HC1388*I1388,0)</f>
        <v/>
      </c>
      <c r="HA1388" t="n">
        <v>0</v>
      </c>
      <c r="HB1388" t="n">
        <v>0</v>
      </c>
      <c r="HC1388">
        <f>GV1388*GW1388</f>
        <v/>
      </c>
      <c r="HE1388" t="inlineStr"/>
      <c r="HF1388" t="inlineStr"/>
      <c r="HM1388" t="inlineStr"/>
      <c r="HN1388" t="inlineStr">
        <is>
          <t>Пр/812-016.0-1</t>
        </is>
      </c>
      <c r="HO1388" t="inlineStr">
        <is>
          <t>Пр/774-016.0</t>
        </is>
      </c>
      <c r="HP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88" t="n">
        <v>0</v>
      </c>
      <c r="IK1388" t="n">
        <v>0</v>
      </c>
    </row>
    <row r="1389"/>
    <row r="1390">
      <c r="A1390" s="402" t="n">
        <v>51</v>
      </c>
      <c r="B1390" s="402">
        <f>B1381</f>
        <v/>
      </c>
      <c r="C1390" s="402">
        <f>A1381</f>
        <v/>
      </c>
      <c r="D1390" s="402">
        <f>ROW(A1381)</f>
        <v/>
      </c>
      <c r="E1390" s="402" t="n"/>
      <c r="F1390" s="402">
        <f>IF(F1381&lt;&gt;"",F1381,"")</f>
        <v/>
      </c>
      <c r="G1390" s="402">
        <f>IF(G1381&lt;&gt;"",G1381,"")</f>
        <v/>
      </c>
      <c r="H1390" s="402" t="n">
        <v>0</v>
      </c>
      <c r="I1390" s="402" t="n"/>
      <c r="J1390" s="402" t="n"/>
      <c r="K1390" s="402" t="n"/>
      <c r="L1390" s="402" t="n"/>
      <c r="M1390" s="402" t="n"/>
      <c r="N1390" s="402" t="n"/>
      <c r="O1390" s="402" t="n">
        <v>0</v>
      </c>
      <c r="P1390" s="402" t="n">
        <v>0</v>
      </c>
      <c r="Q1390" s="402" t="n">
        <v>0</v>
      </c>
      <c r="R1390" s="402" t="n">
        <v>0</v>
      </c>
      <c r="S1390" s="402" t="n">
        <v>0</v>
      </c>
      <c r="T1390" s="402" t="n">
        <v>0</v>
      </c>
      <c r="U1390" s="402" t="n">
        <v>0</v>
      </c>
      <c r="V1390" s="402" t="n">
        <v>0</v>
      </c>
      <c r="W1390" s="402" t="n">
        <v>0</v>
      </c>
      <c r="X1390" s="402" t="n">
        <v>0</v>
      </c>
      <c r="Y1390" s="402" t="n">
        <v>0</v>
      </c>
      <c r="Z1390" s="402" t="n"/>
      <c r="AA1390" s="402" t="n"/>
      <c r="AB1390" s="402" t="n"/>
      <c r="AC1390" s="402" t="n"/>
      <c r="AD1390" s="402" t="n"/>
      <c r="AE1390" s="402" t="n"/>
      <c r="AF1390" s="402" t="n"/>
      <c r="AG1390" s="402" t="n"/>
      <c r="AH1390" s="402" t="n"/>
      <c r="AI1390" s="402" t="n"/>
      <c r="AJ1390" s="402" t="n"/>
      <c r="AK1390" s="402" t="n"/>
      <c r="AL1390" s="402" t="n"/>
      <c r="AM1390" s="402" t="n"/>
      <c r="AN1390" s="402" t="n"/>
      <c r="AO1390" s="402">
        <f>ROUND(BX1390,0)</f>
        <v/>
      </c>
      <c r="AP1390" s="402">
        <f>ROUND(BY1390,0)</f>
        <v/>
      </c>
      <c r="AQ1390" s="402">
        <f>ROUND(BZ1390,0)</f>
        <v/>
      </c>
      <c r="AR1390" s="402">
        <f>ROUND(CA1390,0)</f>
        <v/>
      </c>
      <c r="AS1390" s="402">
        <f>ROUND(CB1390,0)</f>
        <v/>
      </c>
      <c r="AT1390" s="402">
        <f>ROUND(CC1390,0)</f>
        <v/>
      </c>
      <c r="AU1390" s="402">
        <f>ROUND(CD1390,0)</f>
        <v/>
      </c>
      <c r="AV1390" s="402">
        <f>ROUND(CE1390,0)</f>
        <v/>
      </c>
      <c r="AW1390" s="402">
        <f>ROUND(CF1390,0)</f>
        <v/>
      </c>
      <c r="AX1390" s="402">
        <f>ROUND(CG1390,0)</f>
        <v/>
      </c>
      <c r="AY1390" s="402">
        <f>ROUND(CH1390,0)</f>
        <v/>
      </c>
      <c r="AZ1390" s="402">
        <f>ROUND(CI1390,0)</f>
        <v/>
      </c>
      <c r="BA1390" s="402">
        <f>ROUND(CJ1390,0)</f>
        <v/>
      </c>
      <c r="BB1390" s="402">
        <f>ROUND(CK1390,0)</f>
        <v/>
      </c>
      <c r="BC1390" s="402">
        <f>ROUND(CL1390,0)</f>
        <v/>
      </c>
      <c r="BD1390" s="402">
        <f>ROUND(CM1390,0)</f>
        <v/>
      </c>
      <c r="BE1390" s="402" t="n"/>
      <c r="BF1390" s="402" t="n"/>
      <c r="BG1390" s="402" t="n"/>
      <c r="BH1390" s="402" t="n"/>
      <c r="BI1390" s="402" t="n"/>
      <c r="BJ1390" s="402" t="n"/>
      <c r="BK1390" s="402" t="n"/>
      <c r="BL1390" s="402" t="n"/>
      <c r="BM1390" s="402" t="n"/>
      <c r="BN1390" s="402" t="n"/>
      <c r="BO1390" s="402" t="n"/>
      <c r="BP1390" s="402" t="n"/>
      <c r="BQ1390" s="402" t="n"/>
      <c r="BR1390" s="402" t="n"/>
      <c r="BS1390" s="402" t="n"/>
      <c r="BT1390" s="402" t="n"/>
      <c r="BU1390" s="402" t="n"/>
      <c r="BV1390" s="402" t="n"/>
      <c r="BW1390" s="402" t="n"/>
      <c r="BX1390" s="402" t="n"/>
      <c r="BY1390" s="402" t="n"/>
      <c r="BZ1390" s="402" t="n"/>
      <c r="CA1390" s="402" t="n"/>
      <c r="CB1390" s="402" t="n"/>
      <c r="CC1390" s="402" t="n"/>
      <c r="CD1390" s="402" t="n"/>
      <c r="CE1390" s="402" t="n"/>
      <c r="CF1390" s="402" t="n"/>
      <c r="CG1390" s="402" t="n"/>
      <c r="CH1390" s="402" t="n"/>
      <c r="CI1390" s="402" t="n"/>
      <c r="CJ1390" s="402" t="n"/>
      <c r="CK1390" s="402" t="n"/>
      <c r="CL1390" s="402" t="n"/>
      <c r="CM1390" s="402" t="n"/>
      <c r="CN1390" s="402" t="n"/>
      <c r="CO1390" s="402" t="n"/>
      <c r="CP1390" s="402" t="n"/>
      <c r="CQ1390" s="402" t="n"/>
      <c r="CR1390" s="402" t="n"/>
      <c r="CS1390" s="402" t="n"/>
      <c r="CT1390" s="402" t="n"/>
      <c r="CU1390" s="402" t="n"/>
      <c r="CV1390" s="402" t="n"/>
      <c r="CW1390" s="402" t="n"/>
      <c r="CX1390" s="402" t="n"/>
      <c r="CY1390" s="402" t="n"/>
      <c r="CZ1390" s="402" t="n"/>
      <c r="DA1390" s="402" t="n"/>
      <c r="DB1390" s="402" t="n"/>
      <c r="DC1390" s="402" t="n"/>
      <c r="DD1390" s="402" t="n"/>
      <c r="DE1390" s="402" t="n"/>
      <c r="DF1390" s="402" t="n"/>
      <c r="DG1390" s="403" t="n"/>
      <c r="DH1390" s="403" t="n"/>
      <c r="DI1390" s="403" t="n"/>
      <c r="DJ1390" s="403" t="n"/>
      <c r="DK1390" s="403" t="n"/>
      <c r="DL1390" s="403" t="n"/>
      <c r="DM1390" s="403" t="n"/>
      <c r="DN1390" s="403" t="n"/>
      <c r="DO1390" s="403" t="n"/>
      <c r="DP1390" s="403" t="n"/>
      <c r="DQ1390" s="403" t="n"/>
      <c r="DR1390" s="403" t="n"/>
      <c r="DS1390" s="403" t="n"/>
      <c r="DT1390" s="403" t="n"/>
      <c r="DU1390" s="403" t="n"/>
      <c r="DV1390" s="403" t="n"/>
      <c r="DW1390" s="403" t="n"/>
      <c r="DX1390" s="403" t="n"/>
      <c r="DY1390" s="403" t="n"/>
      <c r="DZ1390" s="403" t="n"/>
      <c r="EA1390" s="403" t="n"/>
      <c r="EB1390" s="403" t="n"/>
      <c r="EC1390" s="403" t="n"/>
      <c r="ED1390" s="403" t="n"/>
      <c r="EE1390" s="403" t="n"/>
      <c r="EF1390" s="403" t="n"/>
      <c r="EG1390" s="403" t="n"/>
      <c r="EH1390" s="403" t="n"/>
      <c r="EI1390" s="403" t="n"/>
      <c r="EJ1390" s="403" t="n"/>
      <c r="EK1390" s="403" t="n"/>
      <c r="EL1390" s="403" t="n"/>
      <c r="EM1390" s="403" t="n"/>
      <c r="EN1390" s="403" t="n"/>
      <c r="EO1390" s="403" t="n"/>
      <c r="EP1390" s="403" t="n"/>
      <c r="EQ1390" s="403" t="n"/>
      <c r="ER1390" s="403" t="n"/>
      <c r="ES1390" s="403" t="n"/>
      <c r="ET1390" s="403" t="n"/>
      <c r="EU1390" s="403" t="n"/>
      <c r="EV1390" s="403" t="n"/>
      <c r="EW1390" s="403" t="n"/>
      <c r="EX1390" s="403" t="n"/>
      <c r="EY1390" s="403" t="n"/>
      <c r="EZ1390" s="403" t="n"/>
      <c r="FA1390" s="403" t="n"/>
      <c r="FB1390" s="403" t="n"/>
      <c r="FC1390" s="403" t="n"/>
      <c r="FD1390" s="403" t="n"/>
      <c r="FE1390" s="403" t="n"/>
      <c r="FF1390" s="403" t="n"/>
      <c r="FG1390" s="403" t="n"/>
      <c r="FH1390" s="403" t="n"/>
      <c r="FI1390" s="403" t="n"/>
      <c r="FJ1390" s="403" t="n"/>
      <c r="FK1390" s="403" t="n"/>
      <c r="FL1390" s="403" t="n"/>
      <c r="FM1390" s="403" t="n"/>
      <c r="FN1390" s="403" t="n"/>
      <c r="FO1390" s="403" t="n"/>
      <c r="FP1390" s="403" t="n"/>
      <c r="FQ1390" s="403" t="n"/>
      <c r="FR1390" s="403" t="n"/>
      <c r="FS1390" s="403" t="n"/>
      <c r="FT1390" s="403" t="n"/>
      <c r="FU1390" s="403" t="n"/>
      <c r="FV1390" s="403" t="n"/>
      <c r="FW1390" s="403" t="n"/>
      <c r="FX1390" s="403" t="n"/>
      <c r="FY1390" s="403" t="n"/>
      <c r="FZ1390" s="403" t="n"/>
      <c r="GA1390" s="403" t="n"/>
      <c r="GB1390" s="403" t="n"/>
      <c r="GC1390" s="403" t="n"/>
      <c r="GD1390" s="403" t="n"/>
      <c r="GE1390" s="403" t="n"/>
      <c r="GF1390" s="403" t="n"/>
      <c r="GG1390" s="403" t="n"/>
      <c r="GH1390" s="403" t="n"/>
      <c r="GI1390" s="403" t="n"/>
      <c r="GJ1390" s="403" t="n"/>
      <c r="GK1390" s="403" t="n"/>
      <c r="GL1390" s="403" t="n"/>
      <c r="GM1390" s="403" t="n"/>
      <c r="GN1390" s="403" t="n"/>
      <c r="GO1390" s="403" t="n"/>
      <c r="GP1390" s="403" t="n"/>
      <c r="GQ1390" s="403" t="n"/>
      <c r="GR1390" s="403" t="n"/>
      <c r="GS1390" s="403" t="n"/>
      <c r="GT1390" s="403" t="n"/>
      <c r="GU1390" s="403" t="n"/>
      <c r="GV1390" s="403" t="n"/>
      <c r="GW1390" s="403" t="n"/>
      <c r="GX1390" s="403" t="n">
        <v>0</v>
      </c>
    </row>
    <row r="1391"/>
    <row r="1392">
      <c r="A1392" s="404" t="n">
        <v>50</v>
      </c>
      <c r="B1392" s="404" t="n">
        <v>0</v>
      </c>
      <c r="C1392" s="404" t="n">
        <v>0</v>
      </c>
      <c r="D1392" s="404" t="n">
        <v>1</v>
      </c>
      <c r="E1392" s="404" t="n">
        <v>201</v>
      </c>
      <c r="F1392" s="404">
        <f>ROUND(Source!O1390,O1392)</f>
        <v/>
      </c>
      <c r="G1392" s="404" t="inlineStr">
        <is>
          <t>ПЗ</t>
        </is>
      </c>
      <c r="H1392" s="404" t="inlineStr">
        <is>
          <t>Прямые затраты</t>
        </is>
      </c>
      <c r="I1392" s="404" t="n"/>
      <c r="J1392" s="404" t="n"/>
      <c r="K1392" s="404" t="n">
        <v>201</v>
      </c>
      <c r="L1392" s="404" t="n">
        <v>1</v>
      </c>
      <c r="M1392" s="404" t="n">
        <v>3</v>
      </c>
      <c r="N1392" s="404" t="inlineStr"/>
      <c r="O1392" s="404" t="n">
        <v>0</v>
      </c>
      <c r="P1392" s="404" t="n"/>
      <c r="Q1392" s="404" t="n"/>
      <c r="R1392" s="404" t="n"/>
      <c r="S1392" s="404" t="n"/>
      <c r="T1392" s="404" t="n"/>
      <c r="U1392" s="404" t="n"/>
      <c r="V1392" s="404" t="n"/>
      <c r="W1392" s="404" t="n">
        <v>0</v>
      </c>
      <c r="X1392" s="404" t="n">
        <v>1</v>
      </c>
      <c r="Y1392" s="404" t="n">
        <v>0</v>
      </c>
      <c r="Z1392" s="404" t="n"/>
      <c r="AA1392" s="404" t="n"/>
      <c r="AB1392" s="404" t="n"/>
    </row>
    <row r="1393">
      <c r="A1393" s="404" t="n">
        <v>50</v>
      </c>
      <c r="B1393" s="404" t="n">
        <v>0</v>
      </c>
      <c r="C1393" s="404" t="n">
        <v>0</v>
      </c>
      <c r="D1393" s="404" t="n">
        <v>1</v>
      </c>
      <c r="E1393" s="404" t="n">
        <v>202</v>
      </c>
      <c r="F1393" s="404">
        <f>ROUND(Source!P1390,O1393)</f>
        <v/>
      </c>
      <c r="G1393" s="404" t="inlineStr">
        <is>
          <t>СтМатОб</t>
        </is>
      </c>
      <c r="H1393" s="404" t="inlineStr">
        <is>
          <t>Стоимость материальных ресурсов (всего)</t>
        </is>
      </c>
      <c r="I1393" s="404" t="n"/>
      <c r="J1393" s="404" t="n"/>
      <c r="K1393" s="404" t="n">
        <v>202</v>
      </c>
      <c r="L1393" s="404" t="n">
        <v>2</v>
      </c>
      <c r="M1393" s="404" t="n">
        <v>3</v>
      </c>
      <c r="N1393" s="404" t="inlineStr"/>
      <c r="O1393" s="404" t="n">
        <v>0</v>
      </c>
      <c r="P1393" s="404" t="n"/>
      <c r="Q1393" s="404" t="n"/>
      <c r="R1393" s="404" t="n"/>
      <c r="S1393" s="404" t="n"/>
      <c r="T1393" s="404" t="n"/>
      <c r="U1393" s="404" t="n"/>
      <c r="V1393" s="404" t="n"/>
      <c r="W1393" s="404" t="n">
        <v>0</v>
      </c>
      <c r="X1393" s="404" t="n">
        <v>1</v>
      </c>
      <c r="Y1393" s="404" t="n">
        <v>0</v>
      </c>
      <c r="Z1393" s="404" t="n"/>
      <c r="AA1393" s="404" t="n"/>
      <c r="AB1393" s="404" t="n"/>
    </row>
    <row r="1394">
      <c r="A1394" s="404" t="n">
        <v>50</v>
      </c>
      <c r="B1394" s="404" t="n">
        <v>0</v>
      </c>
      <c r="C1394" s="404" t="n">
        <v>0</v>
      </c>
      <c r="D1394" s="404" t="n">
        <v>1</v>
      </c>
      <c r="E1394" s="404" t="n">
        <v>222</v>
      </c>
      <c r="F1394" s="404">
        <f>ROUND(Source!AO1390,O1394)</f>
        <v/>
      </c>
      <c r="G1394" s="404" t="inlineStr">
        <is>
          <t>СтМатОбЗак</t>
        </is>
      </c>
      <c r="H1394" s="404" t="inlineStr">
        <is>
          <t>Стоимость материалов и оборудования заказчика</t>
        </is>
      </c>
      <c r="I1394" s="404" t="n"/>
      <c r="J1394" s="404" t="n"/>
      <c r="K1394" s="404" t="n">
        <v>222</v>
      </c>
      <c r="L1394" s="404" t="n">
        <v>3</v>
      </c>
      <c r="M1394" s="404" t="n">
        <v>3</v>
      </c>
      <c r="N1394" s="404" t="inlineStr"/>
      <c r="O1394" s="404" t="n">
        <v>0</v>
      </c>
      <c r="P1394" s="404" t="n"/>
      <c r="Q1394" s="404" t="n"/>
      <c r="R1394" s="404" t="n"/>
      <c r="S1394" s="404" t="n"/>
      <c r="T1394" s="404" t="n"/>
      <c r="U1394" s="404" t="n"/>
      <c r="V1394" s="404" t="n"/>
      <c r="W1394" s="404" t="n">
        <v>0</v>
      </c>
      <c r="X1394" s="404" t="n">
        <v>1</v>
      </c>
      <c r="Y1394" s="404" t="n">
        <v>0</v>
      </c>
      <c r="Z1394" s="404" t="n"/>
      <c r="AA1394" s="404" t="n"/>
      <c r="AB1394" s="404" t="n"/>
    </row>
    <row r="1395">
      <c r="A1395" s="404" t="n">
        <v>50</v>
      </c>
      <c r="B1395" s="404" t="n">
        <v>0</v>
      </c>
      <c r="C1395" s="404" t="n">
        <v>0</v>
      </c>
      <c r="D1395" s="404" t="n">
        <v>1</v>
      </c>
      <c r="E1395" s="404" t="n">
        <v>225</v>
      </c>
      <c r="F1395" s="404">
        <f>ROUND(Source!AV1390,O1395)</f>
        <v/>
      </c>
      <c r="G1395" s="404" t="inlineStr">
        <is>
          <t>СтМатОбПод</t>
        </is>
      </c>
      <c r="H1395" s="404" t="inlineStr">
        <is>
          <t>Стоимость материалов и оборудования подрядчика</t>
        </is>
      </c>
      <c r="I1395" s="404" t="n"/>
      <c r="J1395" s="404" t="n"/>
      <c r="K1395" s="404" t="n">
        <v>225</v>
      </c>
      <c r="L1395" s="404" t="n">
        <v>4</v>
      </c>
      <c r="M1395" s="404" t="n">
        <v>3</v>
      </c>
      <c r="N1395" s="404" t="inlineStr"/>
      <c r="O1395" s="404" t="n">
        <v>0</v>
      </c>
      <c r="P1395" s="404" t="n"/>
      <c r="Q1395" s="404" t="n"/>
      <c r="R1395" s="404" t="n"/>
      <c r="S1395" s="404" t="n"/>
      <c r="T1395" s="404" t="n"/>
      <c r="U1395" s="404" t="n"/>
      <c r="V1395" s="404" t="n"/>
      <c r="W1395" s="404" t="n">
        <v>0</v>
      </c>
      <c r="X1395" s="404" t="n">
        <v>1</v>
      </c>
      <c r="Y1395" s="404" t="n">
        <v>0</v>
      </c>
      <c r="Z1395" s="404" t="n"/>
      <c r="AA1395" s="404" t="n"/>
      <c r="AB1395" s="404" t="n"/>
    </row>
    <row r="1396">
      <c r="A1396" s="404" t="n">
        <v>50</v>
      </c>
      <c r="B1396" s="404" t="n">
        <v>0</v>
      </c>
      <c r="C1396" s="404" t="n">
        <v>0</v>
      </c>
      <c r="D1396" s="404" t="n">
        <v>1</v>
      </c>
      <c r="E1396" s="404" t="n">
        <v>226</v>
      </c>
      <c r="F1396" s="404">
        <f>ROUND(Source!AW1390,O1396)</f>
        <v/>
      </c>
      <c r="G1396" s="404" t="inlineStr">
        <is>
          <t>СтМат</t>
        </is>
      </c>
      <c r="H1396" s="404" t="inlineStr">
        <is>
          <t>Стоимость материалов (всего)</t>
        </is>
      </c>
      <c r="I1396" s="404" t="n"/>
      <c r="J1396" s="404" t="n"/>
      <c r="K1396" s="404" t="n">
        <v>226</v>
      </c>
      <c r="L1396" s="404" t="n">
        <v>5</v>
      </c>
      <c r="M1396" s="404" t="n">
        <v>3</v>
      </c>
      <c r="N1396" s="404" t="inlineStr"/>
      <c r="O1396" s="404" t="n">
        <v>0</v>
      </c>
      <c r="P1396" s="404" t="n"/>
      <c r="Q1396" s="404" t="n"/>
      <c r="R1396" s="404" t="n"/>
      <c r="S1396" s="404" t="n"/>
      <c r="T1396" s="404" t="n"/>
      <c r="U1396" s="404" t="n"/>
      <c r="V1396" s="404" t="n"/>
      <c r="W1396" s="404" t="n">
        <v>0</v>
      </c>
      <c r="X1396" s="404" t="n">
        <v>1</v>
      </c>
      <c r="Y1396" s="404" t="n">
        <v>0</v>
      </c>
      <c r="Z1396" s="404" t="n"/>
      <c r="AA1396" s="404" t="n"/>
      <c r="AB1396" s="404" t="n"/>
    </row>
    <row r="1397">
      <c r="A1397" s="404" t="n">
        <v>50</v>
      </c>
      <c r="B1397" s="404" t="n">
        <v>0</v>
      </c>
      <c r="C1397" s="404" t="n">
        <v>0</v>
      </c>
      <c r="D1397" s="404" t="n">
        <v>1</v>
      </c>
      <c r="E1397" s="404" t="n">
        <v>227</v>
      </c>
      <c r="F1397" s="404">
        <f>ROUND(Source!AX1390,O1397)</f>
        <v/>
      </c>
      <c r="G1397" s="404" t="inlineStr">
        <is>
          <t>СтМатЗак</t>
        </is>
      </c>
      <c r="H1397" s="404" t="inlineStr">
        <is>
          <t>Стоимость материалов заказчика</t>
        </is>
      </c>
      <c r="I1397" s="404" t="n"/>
      <c r="J1397" s="404" t="n"/>
      <c r="K1397" s="404" t="n">
        <v>227</v>
      </c>
      <c r="L1397" s="404" t="n">
        <v>6</v>
      </c>
      <c r="M1397" s="404" t="n">
        <v>3</v>
      </c>
      <c r="N1397" s="404" t="inlineStr"/>
      <c r="O1397" s="404" t="n">
        <v>0</v>
      </c>
      <c r="P1397" s="404" t="n"/>
      <c r="Q1397" s="404" t="n"/>
      <c r="R1397" s="404" t="n"/>
      <c r="S1397" s="404" t="n"/>
      <c r="T1397" s="404" t="n"/>
      <c r="U1397" s="404" t="n"/>
      <c r="V1397" s="404" t="n"/>
      <c r="W1397" s="404" t="n">
        <v>0</v>
      </c>
      <c r="X1397" s="404" t="n">
        <v>1</v>
      </c>
      <c r="Y1397" s="404" t="n">
        <v>0</v>
      </c>
      <c r="Z1397" s="404" t="n"/>
      <c r="AA1397" s="404" t="n"/>
      <c r="AB1397" s="404" t="n"/>
    </row>
    <row r="1398">
      <c r="A1398" s="404" t="n">
        <v>50</v>
      </c>
      <c r="B1398" s="404" t="n">
        <v>0</v>
      </c>
      <c r="C1398" s="404" t="n">
        <v>0</v>
      </c>
      <c r="D1398" s="404" t="n">
        <v>1</v>
      </c>
      <c r="E1398" s="404" t="n">
        <v>228</v>
      </c>
      <c r="F1398" s="404">
        <f>ROUND(Source!AY1390,O1398)</f>
        <v/>
      </c>
      <c r="G1398" s="404" t="inlineStr">
        <is>
          <t>СтМатПод</t>
        </is>
      </c>
      <c r="H1398" s="404" t="inlineStr">
        <is>
          <t>Стоимость материалов подрядчика</t>
        </is>
      </c>
      <c r="I1398" s="404" t="n"/>
      <c r="J1398" s="404" t="n"/>
      <c r="K1398" s="404" t="n">
        <v>228</v>
      </c>
      <c r="L1398" s="404" t="n">
        <v>7</v>
      </c>
      <c r="M1398" s="404" t="n">
        <v>3</v>
      </c>
      <c r="N1398" s="404" t="inlineStr"/>
      <c r="O1398" s="404" t="n">
        <v>0</v>
      </c>
      <c r="P1398" s="404" t="n"/>
      <c r="Q1398" s="404" t="n"/>
      <c r="R1398" s="404" t="n"/>
      <c r="S1398" s="404" t="n"/>
      <c r="T1398" s="404" t="n"/>
      <c r="U1398" s="404" t="n"/>
      <c r="V1398" s="404" t="n"/>
      <c r="W1398" s="404" t="n">
        <v>0</v>
      </c>
      <c r="X1398" s="404" t="n">
        <v>1</v>
      </c>
      <c r="Y1398" s="404" t="n">
        <v>0</v>
      </c>
      <c r="Z1398" s="404" t="n"/>
      <c r="AA1398" s="404" t="n"/>
      <c r="AB1398" s="404" t="n"/>
    </row>
    <row r="1399">
      <c r="A1399" s="404" t="n">
        <v>50</v>
      </c>
      <c r="B1399" s="404" t="n">
        <v>0</v>
      </c>
      <c r="C1399" s="404" t="n">
        <v>0</v>
      </c>
      <c r="D1399" s="404" t="n">
        <v>1</v>
      </c>
      <c r="E1399" s="404" t="n">
        <v>216</v>
      </c>
      <c r="F1399" s="404">
        <f>ROUND(Source!AP1390,O1399)</f>
        <v/>
      </c>
      <c r="G1399" s="404" t="inlineStr">
        <is>
          <t>Оборуд</t>
        </is>
      </c>
      <c r="H1399" s="404" t="inlineStr">
        <is>
          <t>Стоимость оборудования (всего)</t>
        </is>
      </c>
      <c r="I1399" s="404" t="n"/>
      <c r="J1399" s="404" t="n"/>
      <c r="K1399" s="404" t="n">
        <v>216</v>
      </c>
      <c r="L1399" s="404" t="n">
        <v>8</v>
      </c>
      <c r="M1399" s="404" t="n">
        <v>3</v>
      </c>
      <c r="N1399" s="404" t="inlineStr"/>
      <c r="O1399" s="404" t="n">
        <v>0</v>
      </c>
      <c r="P1399" s="404" t="n"/>
      <c r="Q1399" s="404" t="n"/>
      <c r="R1399" s="404" t="n"/>
      <c r="S1399" s="404" t="n"/>
      <c r="T1399" s="404" t="n"/>
      <c r="U1399" s="404" t="n"/>
      <c r="V1399" s="404" t="n"/>
      <c r="W1399" s="404" t="n">
        <v>0</v>
      </c>
      <c r="X1399" s="404" t="n">
        <v>1</v>
      </c>
      <c r="Y1399" s="404" t="n">
        <v>0</v>
      </c>
      <c r="Z1399" s="404" t="n"/>
      <c r="AA1399" s="404" t="n"/>
      <c r="AB1399" s="404" t="n"/>
    </row>
    <row r="1400">
      <c r="A1400" s="404" t="n">
        <v>50</v>
      </c>
      <c r="B1400" s="404" t="n">
        <v>0</v>
      </c>
      <c r="C1400" s="404" t="n">
        <v>0</v>
      </c>
      <c r="D1400" s="404" t="n">
        <v>1</v>
      </c>
      <c r="E1400" s="404" t="n">
        <v>223</v>
      </c>
      <c r="F1400" s="404">
        <f>ROUND(Source!AQ1390,O1400)</f>
        <v/>
      </c>
      <c r="G1400" s="404" t="inlineStr">
        <is>
          <t>ОборудЗак</t>
        </is>
      </c>
      <c r="H1400" s="404" t="inlineStr">
        <is>
          <t>Стоимость оборудования заказчика</t>
        </is>
      </c>
      <c r="I1400" s="404" t="n"/>
      <c r="J1400" s="404" t="n"/>
      <c r="K1400" s="404" t="n">
        <v>223</v>
      </c>
      <c r="L1400" s="404" t="n">
        <v>9</v>
      </c>
      <c r="M1400" s="404" t="n">
        <v>3</v>
      </c>
      <c r="N1400" s="404" t="inlineStr"/>
      <c r="O1400" s="404" t="n">
        <v>0</v>
      </c>
      <c r="P1400" s="404" t="n"/>
      <c r="Q1400" s="404" t="n"/>
      <c r="R1400" s="404" t="n"/>
      <c r="S1400" s="404" t="n"/>
      <c r="T1400" s="404" t="n"/>
      <c r="U1400" s="404" t="n"/>
      <c r="V1400" s="404" t="n"/>
      <c r="W1400" s="404" t="n">
        <v>0</v>
      </c>
      <c r="X1400" s="404" t="n">
        <v>1</v>
      </c>
      <c r="Y1400" s="404" t="n">
        <v>0</v>
      </c>
      <c r="Z1400" s="404" t="n"/>
      <c r="AA1400" s="404" t="n"/>
      <c r="AB1400" s="404" t="n"/>
    </row>
    <row r="1401">
      <c r="A1401" s="404" t="n">
        <v>50</v>
      </c>
      <c r="B1401" s="404" t="n">
        <v>0</v>
      </c>
      <c r="C1401" s="404" t="n">
        <v>0</v>
      </c>
      <c r="D1401" s="404" t="n">
        <v>1</v>
      </c>
      <c r="E1401" s="404" t="n">
        <v>229</v>
      </c>
      <c r="F1401" s="404">
        <f>ROUND(Source!AZ1390,O1401)</f>
        <v/>
      </c>
      <c r="G1401" s="404" t="inlineStr">
        <is>
          <t>ОборудПод</t>
        </is>
      </c>
      <c r="H1401" s="404" t="inlineStr">
        <is>
          <t>Стоимость оборудования подрядчика</t>
        </is>
      </c>
      <c r="I1401" s="404" t="n"/>
      <c r="J1401" s="404" t="n"/>
      <c r="K1401" s="404" t="n">
        <v>229</v>
      </c>
      <c r="L1401" s="404" t="n">
        <v>10</v>
      </c>
      <c r="M1401" s="404" t="n">
        <v>3</v>
      </c>
      <c r="N1401" s="404" t="inlineStr"/>
      <c r="O1401" s="404" t="n">
        <v>0</v>
      </c>
      <c r="P1401" s="404" t="n"/>
      <c r="Q1401" s="404" t="n"/>
      <c r="R1401" s="404" t="n"/>
      <c r="S1401" s="404" t="n"/>
      <c r="T1401" s="404" t="n"/>
      <c r="U1401" s="404" t="n"/>
      <c r="V1401" s="404" t="n"/>
      <c r="W1401" s="404" t="n">
        <v>0</v>
      </c>
      <c r="X1401" s="404" t="n">
        <v>1</v>
      </c>
      <c r="Y1401" s="404" t="n">
        <v>0</v>
      </c>
      <c r="Z1401" s="404" t="n"/>
      <c r="AA1401" s="404" t="n"/>
      <c r="AB1401" s="404" t="n"/>
    </row>
    <row r="1402">
      <c r="A1402" s="404" t="n">
        <v>50</v>
      </c>
      <c r="B1402" s="404" t="n">
        <v>0</v>
      </c>
      <c r="C1402" s="404" t="n">
        <v>0</v>
      </c>
      <c r="D1402" s="404" t="n">
        <v>1</v>
      </c>
      <c r="E1402" s="404" t="n">
        <v>203</v>
      </c>
      <c r="F1402" s="404">
        <f>ROUND(Source!Q1390,O1402)</f>
        <v/>
      </c>
      <c r="G1402" s="404" t="inlineStr">
        <is>
          <t>ЭММ</t>
        </is>
      </c>
      <c r="H1402" s="404" t="inlineStr">
        <is>
          <t>Эксплуатация машин</t>
        </is>
      </c>
      <c r="I1402" s="404" t="n"/>
      <c r="J1402" s="404" t="n"/>
      <c r="K1402" s="404" t="n">
        <v>203</v>
      </c>
      <c r="L1402" s="404" t="n">
        <v>11</v>
      </c>
      <c r="M1402" s="404" t="n">
        <v>3</v>
      </c>
      <c r="N1402" s="404" t="inlineStr"/>
      <c r="O1402" s="404" t="n">
        <v>0</v>
      </c>
      <c r="P1402" s="404" t="n"/>
      <c r="Q1402" s="404" t="n"/>
      <c r="R1402" s="404" t="n"/>
      <c r="S1402" s="404" t="n"/>
      <c r="T1402" s="404" t="n"/>
      <c r="U1402" s="404" t="n"/>
      <c r="V1402" s="404" t="n"/>
      <c r="W1402" s="404" t="n">
        <v>0</v>
      </c>
      <c r="X1402" s="404" t="n">
        <v>1</v>
      </c>
      <c r="Y1402" s="404" t="n">
        <v>0</v>
      </c>
      <c r="Z1402" s="404" t="n"/>
      <c r="AA1402" s="404" t="n"/>
      <c r="AB1402" s="404" t="n"/>
    </row>
    <row r="1403">
      <c r="A1403" s="404" t="n">
        <v>50</v>
      </c>
      <c r="B1403" s="404" t="n">
        <v>0</v>
      </c>
      <c r="C1403" s="404" t="n">
        <v>0</v>
      </c>
      <c r="D1403" s="404" t="n">
        <v>1</v>
      </c>
      <c r="E1403" s="404" t="n">
        <v>231</v>
      </c>
      <c r="F1403" s="404">
        <f>ROUND(Source!BB1390,O1403)</f>
        <v/>
      </c>
      <c r="G1403" s="404" t="inlineStr">
        <is>
          <t>ЭММсНРиСП</t>
        </is>
      </c>
      <c r="H1403" s="404" t="inlineStr">
        <is>
          <t>Эксплуатация машин по ТСН-2001.16</t>
        </is>
      </c>
      <c r="I1403" s="404" t="n"/>
      <c r="J1403" s="404" t="n"/>
      <c r="K1403" s="404" t="n">
        <v>231</v>
      </c>
      <c r="L1403" s="404" t="n">
        <v>12</v>
      </c>
      <c r="M1403" s="404" t="n">
        <v>3</v>
      </c>
      <c r="N1403" s="404" t="inlineStr"/>
      <c r="O1403" s="404" t="n">
        <v>0</v>
      </c>
      <c r="P1403" s="404" t="n"/>
      <c r="Q1403" s="404" t="n"/>
      <c r="R1403" s="404" t="n"/>
      <c r="S1403" s="404" t="n"/>
      <c r="T1403" s="404" t="n"/>
      <c r="U1403" s="404" t="n"/>
      <c r="V1403" s="404" t="n"/>
      <c r="W1403" s="404" t="n">
        <v>0</v>
      </c>
      <c r="X1403" s="404" t="n">
        <v>1</v>
      </c>
      <c r="Y1403" s="404" t="n">
        <v>0</v>
      </c>
      <c r="Z1403" s="404" t="n"/>
      <c r="AA1403" s="404" t="n"/>
      <c r="AB1403" s="404" t="n"/>
    </row>
    <row r="1404">
      <c r="A1404" s="404" t="n">
        <v>50</v>
      </c>
      <c r="B1404" s="404" t="n">
        <v>0</v>
      </c>
      <c r="C1404" s="404" t="n">
        <v>0</v>
      </c>
      <c r="D1404" s="404" t="n">
        <v>1</v>
      </c>
      <c r="E1404" s="404" t="n">
        <v>204</v>
      </c>
      <c r="F1404" s="404">
        <f>ROUND(Source!R1390,O1404)</f>
        <v/>
      </c>
      <c r="G1404" s="404" t="inlineStr">
        <is>
          <t>ЗПМ</t>
        </is>
      </c>
      <c r="H1404" s="404" t="inlineStr">
        <is>
          <t>ЗП машинистов</t>
        </is>
      </c>
      <c r="I1404" s="404" t="n"/>
      <c r="J1404" s="404" t="n"/>
      <c r="K1404" s="404" t="n">
        <v>204</v>
      </c>
      <c r="L1404" s="404" t="n">
        <v>13</v>
      </c>
      <c r="M1404" s="404" t="n">
        <v>3</v>
      </c>
      <c r="N1404" s="404" t="inlineStr"/>
      <c r="O1404" s="404" t="n">
        <v>0</v>
      </c>
      <c r="P1404" s="404" t="n"/>
      <c r="Q1404" s="404" t="n"/>
      <c r="R1404" s="404" t="n"/>
      <c r="S1404" s="404" t="n"/>
      <c r="T1404" s="404" t="n"/>
      <c r="U1404" s="404" t="n"/>
      <c r="V1404" s="404" t="n"/>
      <c r="W1404" s="404" t="n">
        <v>0</v>
      </c>
      <c r="X1404" s="404" t="n">
        <v>1</v>
      </c>
      <c r="Y1404" s="404" t="n">
        <v>0</v>
      </c>
      <c r="Z1404" s="404" t="n"/>
      <c r="AA1404" s="404" t="n"/>
      <c r="AB1404" s="404" t="n"/>
    </row>
    <row r="1405">
      <c r="A1405" s="404" t="n">
        <v>50</v>
      </c>
      <c r="B1405" s="404" t="n">
        <v>0</v>
      </c>
      <c r="C1405" s="404" t="n">
        <v>0</v>
      </c>
      <c r="D1405" s="404" t="n">
        <v>1</v>
      </c>
      <c r="E1405" s="404" t="n">
        <v>205</v>
      </c>
      <c r="F1405" s="404">
        <f>ROUND(Source!S1390,O1405)</f>
        <v/>
      </c>
      <c r="G1405" s="404" t="inlineStr">
        <is>
          <t>ОЗП</t>
        </is>
      </c>
      <c r="H1405" s="404" t="inlineStr">
        <is>
          <t>Основная ЗП рабочих</t>
        </is>
      </c>
      <c r="I1405" s="404" t="n"/>
      <c r="J1405" s="404" t="n"/>
      <c r="K1405" s="404" t="n">
        <v>205</v>
      </c>
      <c r="L1405" s="404" t="n">
        <v>14</v>
      </c>
      <c r="M1405" s="404" t="n">
        <v>3</v>
      </c>
      <c r="N1405" s="404" t="inlineStr"/>
      <c r="O1405" s="404" t="n">
        <v>0</v>
      </c>
      <c r="P1405" s="404" t="n"/>
      <c r="Q1405" s="404" t="n"/>
      <c r="R1405" s="404" t="n"/>
      <c r="S1405" s="404" t="n"/>
      <c r="T1405" s="404" t="n"/>
      <c r="U1405" s="404" t="n"/>
      <c r="V1405" s="404" t="n"/>
      <c r="W1405" s="404" t="n">
        <v>0</v>
      </c>
      <c r="X1405" s="404" t="n">
        <v>1</v>
      </c>
      <c r="Y1405" s="404" t="n">
        <v>0</v>
      </c>
      <c r="Z1405" s="404" t="n"/>
      <c r="AA1405" s="404" t="n"/>
      <c r="AB1405" s="404" t="n"/>
    </row>
    <row r="1406">
      <c r="A1406" s="404" t="n">
        <v>50</v>
      </c>
      <c r="B1406" s="404" t="n">
        <v>0</v>
      </c>
      <c r="C1406" s="404" t="n">
        <v>0</v>
      </c>
      <c r="D1406" s="404" t="n">
        <v>1</v>
      </c>
      <c r="E1406" s="404" t="n">
        <v>232</v>
      </c>
      <c r="F1406" s="404">
        <f>ROUND(Source!BC1390,O1406)</f>
        <v/>
      </c>
      <c r="G1406" s="404" t="inlineStr">
        <is>
          <t>ОЗПсНРиСП</t>
        </is>
      </c>
      <c r="H1406" s="404" t="inlineStr">
        <is>
          <t>Основная ЗП рабочих по ТСН-2001.16</t>
        </is>
      </c>
      <c r="I1406" s="404" t="n"/>
      <c r="J1406" s="404" t="n"/>
      <c r="K1406" s="404" t="n">
        <v>232</v>
      </c>
      <c r="L1406" s="404" t="n">
        <v>15</v>
      </c>
      <c r="M1406" s="404" t="n">
        <v>3</v>
      </c>
      <c r="N1406" s="404" t="inlineStr"/>
      <c r="O1406" s="404" t="n">
        <v>0</v>
      </c>
      <c r="P1406" s="404" t="n"/>
      <c r="Q1406" s="404" t="n"/>
      <c r="R1406" s="404" t="n"/>
      <c r="S1406" s="404" t="n"/>
      <c r="T1406" s="404" t="n"/>
      <c r="U1406" s="404" t="n"/>
      <c r="V1406" s="404" t="n"/>
      <c r="W1406" s="404" t="n">
        <v>0</v>
      </c>
      <c r="X1406" s="404" t="n">
        <v>1</v>
      </c>
      <c r="Y1406" s="404" t="n">
        <v>0</v>
      </c>
      <c r="Z1406" s="404" t="n"/>
      <c r="AA1406" s="404" t="n"/>
      <c r="AB1406" s="404" t="n"/>
    </row>
    <row r="1407">
      <c r="A1407" s="404" t="n">
        <v>50</v>
      </c>
      <c r="B1407" s="404" t="n">
        <v>0</v>
      </c>
      <c r="C1407" s="404" t="n">
        <v>0</v>
      </c>
      <c r="D1407" s="404" t="n">
        <v>1</v>
      </c>
      <c r="E1407" s="404" t="n">
        <v>214</v>
      </c>
      <c r="F1407" s="404">
        <f>ROUND(Source!AS1390,O1407)</f>
        <v/>
      </c>
      <c r="G1407" s="404" t="inlineStr">
        <is>
          <t>Строит</t>
        </is>
      </c>
      <c r="H1407" s="404" t="inlineStr">
        <is>
          <t>Строительные работы с НР и СП</t>
        </is>
      </c>
      <c r="I1407" s="404" t="n"/>
      <c r="J1407" s="404" t="n"/>
      <c r="K1407" s="404" t="n">
        <v>214</v>
      </c>
      <c r="L1407" s="404" t="n">
        <v>16</v>
      </c>
      <c r="M1407" s="404" t="n">
        <v>3</v>
      </c>
      <c r="N1407" s="404" t="inlineStr"/>
      <c r="O1407" s="404" t="n">
        <v>0</v>
      </c>
      <c r="P1407" s="404" t="n"/>
      <c r="Q1407" s="404" t="n"/>
      <c r="R1407" s="404" t="n"/>
      <c r="S1407" s="404" t="n"/>
      <c r="T1407" s="404" t="n"/>
      <c r="U1407" s="404" t="n"/>
      <c r="V1407" s="404" t="n"/>
      <c r="W1407" s="404" t="n">
        <v>0</v>
      </c>
      <c r="X1407" s="404" t="n">
        <v>1</v>
      </c>
      <c r="Y1407" s="404" t="n">
        <v>0</v>
      </c>
      <c r="Z1407" s="404" t="n"/>
      <c r="AA1407" s="404" t="n"/>
      <c r="AB1407" s="404" t="n"/>
    </row>
    <row r="1408">
      <c r="A1408" s="404" t="n">
        <v>50</v>
      </c>
      <c r="B1408" s="404" t="n">
        <v>0</v>
      </c>
      <c r="C1408" s="404" t="n">
        <v>0</v>
      </c>
      <c r="D1408" s="404" t="n">
        <v>1</v>
      </c>
      <c r="E1408" s="404" t="n">
        <v>215</v>
      </c>
      <c r="F1408" s="404">
        <f>ROUND(Source!AT1390,O1408)</f>
        <v/>
      </c>
      <c r="G1408" s="404" t="inlineStr">
        <is>
          <t>Монтаж</t>
        </is>
      </c>
      <c r="H1408" s="404" t="inlineStr">
        <is>
          <t>Монтажные работы с НР и СП</t>
        </is>
      </c>
      <c r="I1408" s="404" t="n"/>
      <c r="J1408" s="404" t="n"/>
      <c r="K1408" s="404" t="n">
        <v>215</v>
      </c>
      <c r="L1408" s="404" t="n">
        <v>17</v>
      </c>
      <c r="M1408" s="404" t="n">
        <v>3</v>
      </c>
      <c r="N1408" s="404" t="inlineStr"/>
      <c r="O1408" s="404" t="n">
        <v>0</v>
      </c>
      <c r="P1408" s="404" t="n"/>
      <c r="Q1408" s="404" t="n"/>
      <c r="R1408" s="404" t="n"/>
      <c r="S1408" s="404" t="n"/>
      <c r="T1408" s="404" t="n"/>
      <c r="U1408" s="404" t="n"/>
      <c r="V1408" s="404" t="n"/>
      <c r="W1408" s="404" t="n">
        <v>0</v>
      </c>
      <c r="X1408" s="404" t="n">
        <v>1</v>
      </c>
      <c r="Y1408" s="404" t="n">
        <v>0</v>
      </c>
      <c r="Z1408" s="404" t="n"/>
      <c r="AA1408" s="404" t="n"/>
      <c r="AB1408" s="404" t="n"/>
    </row>
    <row r="1409">
      <c r="A1409" s="404" t="n">
        <v>50</v>
      </c>
      <c r="B1409" s="404" t="n">
        <v>0</v>
      </c>
      <c r="C1409" s="404" t="n">
        <v>0</v>
      </c>
      <c r="D1409" s="404" t="n">
        <v>1</v>
      </c>
      <c r="E1409" s="404" t="n">
        <v>217</v>
      </c>
      <c r="F1409" s="404">
        <f>ROUND(Source!AU1390,O1409)</f>
        <v/>
      </c>
      <c r="G1409" s="404" t="inlineStr">
        <is>
          <t>Прочие</t>
        </is>
      </c>
      <c r="H1409" s="404" t="inlineStr">
        <is>
          <t>Прочие работы с НР и СП</t>
        </is>
      </c>
      <c r="I1409" s="404" t="n"/>
      <c r="J1409" s="404" t="n"/>
      <c r="K1409" s="404" t="n">
        <v>217</v>
      </c>
      <c r="L1409" s="404" t="n">
        <v>18</v>
      </c>
      <c r="M1409" s="404" t="n">
        <v>3</v>
      </c>
      <c r="N1409" s="404" t="inlineStr"/>
      <c r="O1409" s="404" t="n">
        <v>0</v>
      </c>
      <c r="P1409" s="404" t="n"/>
      <c r="Q1409" s="404" t="n"/>
      <c r="R1409" s="404" t="n"/>
      <c r="S1409" s="404" t="n"/>
      <c r="T1409" s="404" t="n"/>
      <c r="U1409" s="404" t="n"/>
      <c r="V1409" s="404" t="n"/>
      <c r="W1409" s="404" t="n">
        <v>0</v>
      </c>
      <c r="X1409" s="404" t="n">
        <v>1</v>
      </c>
      <c r="Y1409" s="404" t="n">
        <v>0</v>
      </c>
      <c r="Z1409" s="404" t="n"/>
      <c r="AA1409" s="404" t="n"/>
      <c r="AB1409" s="404" t="n"/>
    </row>
    <row r="1410">
      <c r="A1410" s="404" t="n">
        <v>50</v>
      </c>
      <c r="B1410" s="404" t="n">
        <v>0</v>
      </c>
      <c r="C1410" s="404" t="n">
        <v>0</v>
      </c>
      <c r="D1410" s="404" t="n">
        <v>1</v>
      </c>
      <c r="E1410" s="404" t="n">
        <v>230</v>
      </c>
      <c r="F1410" s="404">
        <f>ROUND(Source!BA1390,O1410)</f>
        <v/>
      </c>
      <c r="G1410" s="404" t="inlineStr">
        <is>
          <t>ПрочиеЗатр</t>
        </is>
      </c>
      <c r="H1410" s="404" t="inlineStr">
        <is>
          <t>Прочие затраты по ТСН-2001.16</t>
        </is>
      </c>
      <c r="I1410" s="404" t="n"/>
      <c r="J1410" s="404" t="n"/>
      <c r="K1410" s="404" t="n">
        <v>230</v>
      </c>
      <c r="L1410" s="404" t="n">
        <v>19</v>
      </c>
      <c r="M1410" s="404" t="n">
        <v>3</v>
      </c>
      <c r="N1410" s="404" t="inlineStr"/>
      <c r="O1410" s="404" t="n">
        <v>0</v>
      </c>
      <c r="P1410" s="404" t="n"/>
      <c r="Q1410" s="404" t="n"/>
      <c r="R1410" s="404" t="n"/>
      <c r="S1410" s="404" t="n"/>
      <c r="T1410" s="404" t="n"/>
      <c r="U1410" s="404" t="n"/>
      <c r="V1410" s="404" t="n"/>
      <c r="W1410" s="404" t="n">
        <v>0</v>
      </c>
      <c r="X1410" s="404" t="n">
        <v>1</v>
      </c>
      <c r="Y1410" s="404" t="n">
        <v>0</v>
      </c>
      <c r="Z1410" s="404" t="n"/>
      <c r="AA1410" s="404" t="n"/>
      <c r="AB1410" s="404" t="n"/>
    </row>
    <row r="1411">
      <c r="A1411" s="404" t="n">
        <v>50</v>
      </c>
      <c r="B1411" s="404" t="n">
        <v>0</v>
      </c>
      <c r="C1411" s="404" t="n">
        <v>0</v>
      </c>
      <c r="D1411" s="404" t="n">
        <v>1</v>
      </c>
      <c r="E1411" s="404" t="n">
        <v>206</v>
      </c>
      <c r="F1411" s="404">
        <f>ROUND(Source!T1390,O1411)</f>
        <v/>
      </c>
      <c r="G1411" s="404" t="inlineStr">
        <is>
          <t>ВозврМат</t>
        </is>
      </c>
      <c r="H1411" s="404" t="inlineStr">
        <is>
          <t>Возврат материалов</t>
        </is>
      </c>
      <c r="I1411" s="404" t="n"/>
      <c r="J1411" s="404" t="n"/>
      <c r="K1411" s="404" t="n">
        <v>206</v>
      </c>
      <c r="L1411" s="404" t="n">
        <v>20</v>
      </c>
      <c r="M1411" s="404" t="n">
        <v>3</v>
      </c>
      <c r="N1411" s="404" t="inlineStr"/>
      <c r="O1411" s="404" t="n">
        <v>0</v>
      </c>
      <c r="P1411" s="404" t="n"/>
      <c r="Q1411" s="404" t="n"/>
      <c r="R1411" s="404" t="n"/>
      <c r="S1411" s="404" t="n"/>
      <c r="T1411" s="404" t="n"/>
      <c r="U1411" s="404" t="n"/>
      <c r="V1411" s="404" t="n"/>
      <c r="W1411" s="404" t="n">
        <v>0</v>
      </c>
      <c r="X1411" s="404" t="n">
        <v>1</v>
      </c>
      <c r="Y1411" s="404" t="n">
        <v>0</v>
      </c>
      <c r="Z1411" s="404" t="n"/>
      <c r="AA1411" s="404" t="n"/>
      <c r="AB1411" s="404" t="n"/>
    </row>
    <row r="1412">
      <c r="A1412" s="404" t="n">
        <v>50</v>
      </c>
      <c r="B1412" s="404" t="n">
        <v>0</v>
      </c>
      <c r="C1412" s="404" t="n">
        <v>0</v>
      </c>
      <c r="D1412" s="404" t="n">
        <v>1</v>
      </c>
      <c r="E1412" s="404" t="n">
        <v>207</v>
      </c>
      <c r="F1412" s="404">
        <f>ROUND(Source!U1390,O1412)</f>
        <v/>
      </c>
      <c r="G1412" s="404" t="inlineStr">
        <is>
          <t>ТрудСтр</t>
        </is>
      </c>
      <c r="H1412" s="404" t="inlineStr">
        <is>
          <t>Трудозатраты строителей</t>
        </is>
      </c>
      <c r="I1412" s="404" t="n"/>
      <c r="J1412" s="404" t="n"/>
      <c r="K1412" s="404" t="n">
        <v>207</v>
      </c>
      <c r="L1412" s="404" t="n">
        <v>21</v>
      </c>
      <c r="M1412" s="404" t="n">
        <v>3</v>
      </c>
      <c r="N1412" s="404" t="inlineStr"/>
      <c r="O1412" s="404" t="n">
        <v>7</v>
      </c>
      <c r="P1412" s="404" t="n"/>
      <c r="Q1412" s="404" t="n"/>
      <c r="R1412" s="404" t="n"/>
      <c r="S1412" s="404" t="n"/>
      <c r="T1412" s="404" t="n"/>
      <c r="U1412" s="404" t="n"/>
      <c r="V1412" s="404" t="n"/>
      <c r="W1412" s="404" t="n">
        <v>0</v>
      </c>
      <c r="X1412" s="404" t="n">
        <v>1</v>
      </c>
      <c r="Y1412" s="404" t="n">
        <v>0</v>
      </c>
      <c r="Z1412" s="404" t="n"/>
      <c r="AA1412" s="404" t="n"/>
      <c r="AB1412" s="404" t="n"/>
    </row>
    <row r="1413">
      <c r="A1413" s="404" t="n">
        <v>50</v>
      </c>
      <c r="B1413" s="404" t="n">
        <v>0</v>
      </c>
      <c r="C1413" s="404" t="n">
        <v>0</v>
      </c>
      <c r="D1413" s="404" t="n">
        <v>1</v>
      </c>
      <c r="E1413" s="404" t="n">
        <v>208</v>
      </c>
      <c r="F1413" s="404">
        <f>ROUND(Source!V1390,O1413)</f>
        <v/>
      </c>
      <c r="G1413" s="404" t="inlineStr">
        <is>
          <t>ТрудМаш</t>
        </is>
      </c>
      <c r="H1413" s="404" t="inlineStr">
        <is>
          <t>Трудозатраты машинистов</t>
        </is>
      </c>
      <c r="I1413" s="404" t="n"/>
      <c r="J1413" s="404" t="n"/>
      <c r="K1413" s="404" t="n">
        <v>208</v>
      </c>
      <c r="L1413" s="404" t="n">
        <v>22</v>
      </c>
      <c r="M1413" s="404" t="n">
        <v>3</v>
      </c>
      <c r="N1413" s="404" t="inlineStr"/>
      <c r="O1413" s="404" t="n">
        <v>7</v>
      </c>
      <c r="P1413" s="404" t="n"/>
      <c r="Q1413" s="404" t="n"/>
      <c r="R1413" s="404" t="n"/>
      <c r="S1413" s="404" t="n"/>
      <c r="T1413" s="404" t="n"/>
      <c r="U1413" s="404" t="n"/>
      <c r="V1413" s="404" t="n"/>
      <c r="W1413" s="404" t="n">
        <v>0</v>
      </c>
      <c r="X1413" s="404" t="n">
        <v>1</v>
      </c>
      <c r="Y1413" s="404" t="n">
        <v>0</v>
      </c>
      <c r="Z1413" s="404" t="n"/>
      <c r="AA1413" s="404" t="n"/>
      <c r="AB1413" s="404" t="n"/>
    </row>
    <row r="1414">
      <c r="A1414" s="404" t="n">
        <v>50</v>
      </c>
      <c r="B1414" s="404" t="n">
        <v>0</v>
      </c>
      <c r="C1414" s="404" t="n">
        <v>0</v>
      </c>
      <c r="D1414" s="404" t="n">
        <v>1</v>
      </c>
      <c r="E1414" s="404" t="n">
        <v>209</v>
      </c>
      <c r="F1414" s="404">
        <f>ROUND(Source!W1390,O1414)</f>
        <v/>
      </c>
      <c r="G1414" s="404" t="inlineStr">
        <is>
          <t>ТранспМат</t>
        </is>
      </c>
      <c r="H1414" s="404" t="inlineStr">
        <is>
          <t>Транспорт материалов</t>
        </is>
      </c>
      <c r="I1414" s="404" t="n"/>
      <c r="J1414" s="404" t="n"/>
      <c r="K1414" s="404" t="n">
        <v>209</v>
      </c>
      <c r="L1414" s="404" t="n">
        <v>23</v>
      </c>
      <c r="M1414" s="404" t="n">
        <v>3</v>
      </c>
      <c r="N1414" s="404" t="inlineStr"/>
      <c r="O1414" s="404" t="n">
        <v>0</v>
      </c>
      <c r="P1414" s="404" t="n"/>
      <c r="Q1414" s="404" t="n"/>
      <c r="R1414" s="404" t="n"/>
      <c r="S1414" s="404" t="n"/>
      <c r="T1414" s="404" t="n"/>
      <c r="U1414" s="404" t="n"/>
      <c r="V1414" s="404" t="n"/>
      <c r="W1414" s="404" t="n">
        <v>0</v>
      </c>
      <c r="X1414" s="404" t="n">
        <v>1</v>
      </c>
      <c r="Y1414" s="404" t="n">
        <v>0</v>
      </c>
      <c r="Z1414" s="404" t="n"/>
      <c r="AA1414" s="404" t="n"/>
      <c r="AB1414" s="404" t="n"/>
    </row>
    <row r="1415">
      <c r="A1415" s="404" t="n">
        <v>50</v>
      </c>
      <c r="B1415" s="404" t="n">
        <v>0</v>
      </c>
      <c r="C1415" s="404" t="n">
        <v>0</v>
      </c>
      <c r="D1415" s="404" t="n">
        <v>1</v>
      </c>
      <c r="E1415" s="404" t="n">
        <v>233</v>
      </c>
      <c r="F1415" s="404">
        <f>ROUND(Source!BD1390,O1415)</f>
        <v/>
      </c>
      <c r="G1415" s="404" t="inlineStr">
        <is>
          <t>Перевозка</t>
        </is>
      </c>
      <c r="H1415" s="404" t="inlineStr">
        <is>
          <t>Перевозка грузов</t>
        </is>
      </c>
      <c r="I1415" s="404" t="n"/>
      <c r="J1415" s="404" t="n"/>
      <c r="K1415" s="404" t="n">
        <v>233</v>
      </c>
      <c r="L1415" s="404" t="n">
        <v>24</v>
      </c>
      <c r="M1415" s="404" t="n">
        <v>3</v>
      </c>
      <c r="N1415" s="404" t="inlineStr"/>
      <c r="O1415" s="404" t="n">
        <v>0</v>
      </c>
      <c r="P1415" s="404" t="n"/>
      <c r="Q1415" s="404" t="n"/>
      <c r="R1415" s="404" t="n"/>
      <c r="S1415" s="404" t="n"/>
      <c r="T1415" s="404" t="n"/>
      <c r="U1415" s="404" t="n"/>
      <c r="V1415" s="404" t="n"/>
      <c r="W1415" s="404" t="n">
        <v>0</v>
      </c>
      <c r="X1415" s="404" t="n">
        <v>1</v>
      </c>
      <c r="Y1415" s="404" t="n">
        <v>0</v>
      </c>
      <c r="Z1415" s="404" t="n"/>
      <c r="AA1415" s="404" t="n"/>
      <c r="AB1415" s="404" t="n"/>
    </row>
    <row r="1416">
      <c r="A1416" s="404" t="n">
        <v>50</v>
      </c>
      <c r="B1416" s="404" t="n">
        <v>0</v>
      </c>
      <c r="C1416" s="404" t="n">
        <v>0</v>
      </c>
      <c r="D1416" s="404" t="n">
        <v>1</v>
      </c>
      <c r="E1416" s="404" t="n">
        <v>210</v>
      </c>
      <c r="F1416" s="404">
        <f>ROUND(Source!X1390,O1416)</f>
        <v/>
      </c>
      <c r="G1416" s="404" t="inlineStr">
        <is>
          <t>НР</t>
        </is>
      </c>
      <c r="H1416" s="404" t="inlineStr">
        <is>
          <t>Накладные расходы</t>
        </is>
      </c>
      <c r="I1416" s="404" t="n"/>
      <c r="J1416" s="404" t="n"/>
      <c r="K1416" s="404" t="n">
        <v>210</v>
      </c>
      <c r="L1416" s="404" t="n">
        <v>25</v>
      </c>
      <c r="M1416" s="404" t="n">
        <v>3</v>
      </c>
      <c r="N1416" s="404" t="inlineStr"/>
      <c r="O1416" s="404" t="n">
        <v>0</v>
      </c>
      <c r="P1416" s="404" t="n"/>
      <c r="Q1416" s="404" t="n"/>
      <c r="R1416" s="404" t="n"/>
      <c r="S1416" s="404" t="n"/>
      <c r="T1416" s="404" t="n"/>
      <c r="U1416" s="404" t="n"/>
      <c r="V1416" s="404" t="n"/>
      <c r="W1416" s="404" t="n">
        <v>0</v>
      </c>
      <c r="X1416" s="404" t="n">
        <v>1</v>
      </c>
      <c r="Y1416" s="404" t="n">
        <v>0</v>
      </c>
      <c r="Z1416" s="404" t="n"/>
      <c r="AA1416" s="404" t="n"/>
      <c r="AB1416" s="404" t="n"/>
    </row>
    <row r="1417">
      <c r="A1417" s="404" t="n">
        <v>50</v>
      </c>
      <c r="B1417" s="404" t="n">
        <v>0</v>
      </c>
      <c r="C1417" s="404" t="n">
        <v>0</v>
      </c>
      <c r="D1417" s="404" t="n">
        <v>1</v>
      </c>
      <c r="E1417" s="404" t="n">
        <v>211</v>
      </c>
      <c r="F1417" s="404">
        <f>ROUND(Source!Y1390,O1417)</f>
        <v/>
      </c>
      <c r="G1417" s="404" t="inlineStr">
        <is>
          <t>СмПриб</t>
        </is>
      </c>
      <c r="H1417" s="404" t="inlineStr">
        <is>
          <t>Сметная прибыль</t>
        </is>
      </c>
      <c r="I1417" s="404" t="n"/>
      <c r="J1417" s="404" t="n"/>
      <c r="K1417" s="404" t="n">
        <v>211</v>
      </c>
      <c r="L1417" s="404" t="n">
        <v>26</v>
      </c>
      <c r="M1417" s="404" t="n">
        <v>3</v>
      </c>
      <c r="N1417" s="404" t="inlineStr"/>
      <c r="O1417" s="404" t="n">
        <v>0</v>
      </c>
      <c r="P1417" s="404" t="n"/>
      <c r="Q1417" s="404" t="n"/>
      <c r="R1417" s="404" t="n"/>
      <c r="S1417" s="404" t="n"/>
      <c r="T1417" s="404" t="n"/>
      <c r="U1417" s="404" t="n"/>
      <c r="V1417" s="404" t="n"/>
      <c r="W1417" s="404" t="n">
        <v>0</v>
      </c>
      <c r="X1417" s="404" t="n">
        <v>1</v>
      </c>
      <c r="Y1417" s="404" t="n">
        <v>0</v>
      </c>
      <c r="Z1417" s="404" t="n"/>
      <c r="AA1417" s="404" t="n"/>
      <c r="AB1417" s="404" t="n"/>
    </row>
    <row r="1418">
      <c r="A1418" s="404" t="n">
        <v>50</v>
      </c>
      <c r="B1418" s="404" t="n">
        <v>0</v>
      </c>
      <c r="C1418" s="404" t="n">
        <v>0</v>
      </c>
      <c r="D1418" s="404" t="n">
        <v>1</v>
      </c>
      <c r="E1418" s="404" t="n">
        <v>224</v>
      </c>
      <c r="F1418" s="404">
        <f>ROUND(Source!AR1390,O1418)</f>
        <v/>
      </c>
      <c r="G1418" s="404" t="inlineStr">
        <is>
          <t>Всего</t>
        </is>
      </c>
      <c r="H1418" s="404" t="inlineStr">
        <is>
          <t>Всего с НР и СП</t>
        </is>
      </c>
      <c r="I1418" s="404" t="n"/>
      <c r="J1418" s="404" t="n"/>
      <c r="K1418" s="404" t="n">
        <v>224</v>
      </c>
      <c r="L1418" s="404" t="n">
        <v>27</v>
      </c>
      <c r="M1418" s="404" t="n">
        <v>3</v>
      </c>
      <c r="N1418" s="404" t="inlineStr"/>
      <c r="O1418" s="404" t="n">
        <v>0</v>
      </c>
      <c r="P1418" s="404" t="n"/>
      <c r="Q1418" s="404" t="n"/>
      <c r="R1418" s="404" t="n"/>
      <c r="S1418" s="404" t="n"/>
      <c r="T1418" s="404" t="n"/>
      <c r="U1418" s="404" t="n"/>
      <c r="V1418" s="404" t="n"/>
      <c r="W1418" s="404" t="n">
        <v>0</v>
      </c>
      <c r="X1418" s="404" t="n">
        <v>1</v>
      </c>
      <c r="Y1418" s="404" t="n">
        <v>0</v>
      </c>
      <c r="Z1418" s="404" t="n"/>
      <c r="AA1418" s="404" t="n"/>
      <c r="AB1418" s="404" t="n"/>
    </row>
    <row r="1419">
      <c r="A1419" s="404" t="n">
        <v>50</v>
      </c>
      <c r="B1419" s="404" t="n">
        <v>0</v>
      </c>
      <c r="C1419" s="404" t="n">
        <v>0</v>
      </c>
      <c r="D1419" s="404" t="n">
        <v>2</v>
      </c>
      <c r="E1419" s="404" t="n">
        <v>0</v>
      </c>
      <c r="F1419" s="404">
        <f>ROUND(F1418,O1419)</f>
        <v/>
      </c>
      <c r="G1419" s="404" t="inlineStr">
        <is>
          <t>и1</t>
        </is>
      </c>
      <c r="H1419" s="404" t="inlineStr">
        <is>
          <t>Итого</t>
        </is>
      </c>
      <c r="I1419" s="404" t="n"/>
      <c r="J1419" s="404" t="n"/>
      <c r="K1419" s="404" t="n">
        <v>212</v>
      </c>
      <c r="L1419" s="404" t="n">
        <v>28</v>
      </c>
      <c r="M1419" s="404" t="n">
        <v>0</v>
      </c>
      <c r="N1419" s="404" t="inlineStr"/>
      <c r="O1419" s="404" t="n">
        <v>0</v>
      </c>
      <c r="P1419" s="404" t="n"/>
      <c r="Q1419" s="404" t="n"/>
      <c r="R1419" s="404" t="n"/>
      <c r="S1419" s="404" t="n"/>
      <c r="T1419" s="404" t="n"/>
      <c r="U1419" s="404" t="n"/>
      <c r="V1419" s="404" t="n"/>
      <c r="W1419" s="404" t="n">
        <v>0</v>
      </c>
      <c r="X1419" s="404" t="n">
        <v>1</v>
      </c>
      <c r="Y1419" s="404" t="n">
        <v>0</v>
      </c>
      <c r="Z1419" s="404" t="n"/>
      <c r="AA1419" s="404" t="n"/>
      <c r="AB1419" s="404" t="n"/>
    </row>
    <row r="1420">
      <c r="A1420" s="404" t="n">
        <v>50</v>
      </c>
      <c r="B1420" s="404" t="n">
        <v>0</v>
      </c>
      <c r="C1420" s="404" t="n">
        <v>0</v>
      </c>
      <c r="D1420" s="404" t="n">
        <v>2</v>
      </c>
      <c r="E1420" s="404" t="n">
        <v>0</v>
      </c>
      <c r="F1420" s="404">
        <f>ROUND(F1419*0.22,O1420)</f>
        <v/>
      </c>
      <c r="G1420" s="404" t="inlineStr">
        <is>
          <t>и2</t>
        </is>
      </c>
      <c r="H1420" s="404" t="inlineStr">
        <is>
          <t>НДС 22%</t>
        </is>
      </c>
      <c r="I1420" s="404" t="n"/>
      <c r="J1420" s="404" t="n"/>
      <c r="K1420" s="404" t="n">
        <v>212</v>
      </c>
      <c r="L1420" s="404" t="n">
        <v>29</v>
      </c>
      <c r="M1420" s="404" t="n">
        <v>0</v>
      </c>
      <c r="N1420" s="404" t="inlineStr"/>
      <c r="O1420" s="404" t="n">
        <v>0</v>
      </c>
      <c r="P1420" s="404" t="n"/>
      <c r="Q1420" s="404" t="n"/>
      <c r="R1420" s="404" t="n"/>
      <c r="S1420" s="404" t="n"/>
      <c r="T1420" s="404" t="n"/>
      <c r="U1420" s="404" t="n"/>
      <c r="V1420" s="404" t="n"/>
      <c r="W1420" s="404" t="n">
        <v>0</v>
      </c>
      <c r="X1420" s="404" t="n">
        <v>1</v>
      </c>
      <c r="Y1420" s="404" t="n">
        <v>0</v>
      </c>
      <c r="Z1420" s="404" t="n"/>
      <c r="AA1420" s="404" t="n"/>
      <c r="AB1420" s="404" t="n"/>
    </row>
    <row r="1421">
      <c r="A1421" s="404" t="n">
        <v>50</v>
      </c>
      <c r="B1421" s="404" t="n">
        <v>0</v>
      </c>
      <c r="C1421" s="404" t="n">
        <v>0</v>
      </c>
      <c r="D1421" s="404" t="n">
        <v>2</v>
      </c>
      <c r="E1421" s="404" t="n">
        <v>213</v>
      </c>
      <c r="F1421" s="404">
        <f>ROUND(F1419+F1420,O1421)</f>
        <v/>
      </c>
      <c r="G1421" s="404" t="inlineStr">
        <is>
          <t>и3</t>
        </is>
      </c>
      <c r="H1421" s="404" t="inlineStr">
        <is>
          <t>Всего</t>
        </is>
      </c>
      <c r="I1421" s="404" t="n"/>
      <c r="J1421" s="404" t="n"/>
      <c r="K1421" s="404" t="n">
        <v>212</v>
      </c>
      <c r="L1421" s="404" t="n">
        <v>30</v>
      </c>
      <c r="M1421" s="404" t="n">
        <v>0</v>
      </c>
      <c r="N1421" s="404" t="inlineStr"/>
      <c r="O1421" s="404" t="n">
        <v>0</v>
      </c>
      <c r="P1421" s="404" t="n"/>
      <c r="Q1421" s="404" t="n"/>
      <c r="R1421" s="404" t="n"/>
      <c r="S1421" s="404" t="n"/>
      <c r="T1421" s="404" t="n"/>
      <c r="U1421" s="404" t="n"/>
      <c r="V1421" s="404" t="n"/>
      <c r="W1421" s="404" t="n">
        <v>0</v>
      </c>
      <c r="X1421" s="404" t="n">
        <v>1</v>
      </c>
      <c r="Y1421" s="404" t="n">
        <v>0</v>
      </c>
      <c r="Z1421" s="404" t="n"/>
      <c r="AA1421" s="404" t="n"/>
      <c r="AB1421" s="404" t="n"/>
    </row>
    <row r="1422"/>
    <row r="1423">
      <c r="A1423" s="401" t="n">
        <v>3</v>
      </c>
      <c r="B1423" s="401" t="n">
        <v>0</v>
      </c>
      <c r="C1423" s="401" t="n"/>
      <c r="D1423" s="401">
        <f>ROW(A1438)</f>
        <v/>
      </c>
      <c r="E1423" s="401" t="n"/>
      <c r="F1423" s="401" t="inlineStr">
        <is>
          <t>Новая локальная смета</t>
        </is>
      </c>
      <c r="G1423" s="401" t="inlineStr">
        <is>
          <t>Молодежная 14</t>
        </is>
      </c>
      <c r="H1423" s="401" t="inlineStr"/>
      <c r="I1423" s="401" t="n">
        <v>0</v>
      </c>
      <c r="J1423" s="401" t="inlineStr"/>
      <c r="K1423" s="401" t="n">
        <v>-1</v>
      </c>
      <c r="L1423" s="401" t="inlineStr">
        <is>
          <t>Новая локальная смета</t>
        </is>
      </c>
      <c r="M1423" s="401" t="inlineStr"/>
      <c r="N1423" s="401" t="n"/>
      <c r="O1423" s="401" t="n"/>
      <c r="P1423" s="401" t="n"/>
      <c r="Q1423" s="401" t="n"/>
      <c r="R1423" s="401" t="n"/>
      <c r="S1423" s="401" t="n">
        <v>0</v>
      </c>
      <c r="T1423" s="401" t="n"/>
      <c r="U1423" s="401" t="inlineStr"/>
      <c r="V1423" s="401" t="n">
        <v>0</v>
      </c>
      <c r="W1423" s="401" t="n"/>
      <c r="X1423" s="401" t="n"/>
      <c r="Y1423" s="401" t="n"/>
      <c r="Z1423" s="401" t="n"/>
      <c r="AA1423" s="401" t="n"/>
      <c r="AB1423" s="401" t="inlineStr"/>
      <c r="AC1423" s="401" t="inlineStr"/>
      <c r="AD1423" s="401" t="inlineStr"/>
      <c r="AE1423" s="401" t="inlineStr"/>
      <c r="AF1423" s="401" t="inlineStr"/>
      <c r="AG1423" s="401" t="inlineStr"/>
      <c r="AH1423" s="401" t="n"/>
      <c r="AI1423" s="401" t="n"/>
      <c r="AJ1423" s="401" t="n"/>
      <c r="AK1423" s="401" t="n"/>
      <c r="AL1423" s="401" t="n"/>
      <c r="AM1423" s="401" t="n"/>
      <c r="AN1423" s="401" t="n"/>
      <c r="AO1423" s="401" t="n"/>
      <c r="AP1423" s="401" t="inlineStr"/>
      <c r="AQ1423" s="401" t="inlineStr"/>
      <c r="AR1423" s="401" t="inlineStr"/>
      <c r="AS1423" s="401" t="n"/>
      <c r="AT1423" s="401" t="n"/>
      <c r="AU1423" s="401" t="n"/>
      <c r="AV1423" s="401" t="n"/>
      <c r="AW1423" s="401" t="n"/>
      <c r="AX1423" s="401" t="n"/>
      <c r="AY1423" s="401" t="n"/>
      <c r="AZ1423" s="401" t="inlineStr"/>
      <c r="BA1423" s="401" t="n"/>
      <c r="BB1423" s="401" t="inlineStr"/>
      <c r="BC1423" s="401" t="inlineStr"/>
      <c r="BD1423" s="401" t="inlineStr"/>
      <c r="BE1423" s="401" t="inlineStr"/>
      <c r="BF1423" s="401" t="inlineStr"/>
      <c r="BG1423" s="401" t="inlineStr"/>
      <c r="BH1423" s="401" t="inlineStr"/>
      <c r="BI1423" s="401" t="inlineStr"/>
      <c r="BJ1423" s="401" t="inlineStr"/>
      <c r="BK1423" s="401" t="inlineStr"/>
      <c r="BL1423" s="401" t="inlineStr"/>
      <c r="BM1423" s="401" t="inlineStr"/>
      <c r="BN1423" s="401" t="inlineStr"/>
      <c r="BO1423" s="401" t="inlineStr"/>
      <c r="BP1423" s="401" t="inlineStr"/>
      <c r="BQ1423" s="401" t="n"/>
      <c r="BR1423" s="401" t="n"/>
      <c r="BS1423" s="401" t="n"/>
      <c r="BT1423" s="401" t="n"/>
      <c r="BU1423" s="401" t="n"/>
      <c r="BV1423" s="401" t="n"/>
      <c r="BW1423" s="401" t="n"/>
      <c r="BX1423" s="401" t="n">
        <v>0</v>
      </c>
      <c r="BY1423" s="401" t="n"/>
      <c r="BZ1423" s="401" t="n"/>
      <c r="CA1423" s="401" t="n"/>
      <c r="CB1423" s="401" t="n"/>
      <c r="CC1423" s="401" t="n"/>
      <c r="CD1423" s="401" t="n"/>
      <c r="CE1423" s="401" t="n"/>
      <c r="CF1423" s="401" t="n">
        <v>0</v>
      </c>
      <c r="CG1423" s="401" t="n">
        <v>0</v>
      </c>
      <c r="CH1423" s="401" t="n"/>
      <c r="CI1423" s="401" t="inlineStr"/>
      <c r="CJ1423" s="401" t="inlineStr"/>
      <c r="CK1423" t="inlineStr"/>
      <c r="CL1423" t="inlineStr"/>
      <c r="CM1423" t="inlineStr"/>
      <c r="CN1423" t="inlineStr"/>
      <c r="CO1423" t="inlineStr"/>
      <c r="CP1423" t="inlineStr"/>
      <c r="CQ1423" t="inlineStr"/>
    </row>
    <row r="1424"/>
    <row r="1425">
      <c r="A1425" s="402" t="n">
        <v>52</v>
      </c>
      <c r="B1425" s="402">
        <f>B1438</f>
        <v/>
      </c>
      <c r="C1425" s="402">
        <f>C1438</f>
        <v/>
      </c>
      <c r="D1425" s="402">
        <f>D1438</f>
        <v/>
      </c>
      <c r="E1425" s="402">
        <f>E1438</f>
        <v/>
      </c>
      <c r="F1425" s="402">
        <f>F1438</f>
        <v/>
      </c>
      <c r="G1425" s="402">
        <f>G1438</f>
        <v/>
      </c>
      <c r="H1425" s="402" t="n"/>
      <c r="I1425" s="402" t="n"/>
      <c r="J1425" s="402" t="n"/>
      <c r="K1425" s="402" t="n"/>
      <c r="L1425" s="402" t="n"/>
      <c r="M1425" s="402" t="n"/>
      <c r="N1425" s="402" t="n"/>
      <c r="O1425" s="402">
        <f>O1438</f>
        <v/>
      </c>
      <c r="P1425" s="402">
        <f>P1438</f>
        <v/>
      </c>
      <c r="Q1425" s="402">
        <f>Q1438</f>
        <v/>
      </c>
      <c r="R1425" s="402">
        <f>R1438</f>
        <v/>
      </c>
      <c r="S1425" s="402">
        <f>S1438</f>
        <v/>
      </c>
      <c r="T1425" s="402">
        <f>T1438</f>
        <v/>
      </c>
      <c r="U1425" s="402">
        <f>U1438</f>
        <v/>
      </c>
      <c r="V1425" s="402">
        <f>V1438</f>
        <v/>
      </c>
      <c r="W1425" s="402">
        <f>W1438</f>
        <v/>
      </c>
      <c r="X1425" s="402">
        <f>X1438</f>
        <v/>
      </c>
      <c r="Y1425" s="402">
        <f>Y1438</f>
        <v/>
      </c>
      <c r="Z1425" s="402">
        <f>Z1438</f>
        <v/>
      </c>
      <c r="AA1425" s="402">
        <f>AA1438</f>
        <v/>
      </c>
      <c r="AB1425" s="402">
        <f>AB1438</f>
        <v/>
      </c>
      <c r="AC1425" s="402">
        <f>AC1438</f>
        <v/>
      </c>
      <c r="AD1425" s="402">
        <f>AD1438</f>
        <v/>
      </c>
      <c r="AE1425" s="402">
        <f>AE1438</f>
        <v/>
      </c>
      <c r="AF1425" s="402">
        <f>AF1438</f>
        <v/>
      </c>
      <c r="AG1425" s="402">
        <f>AG1438</f>
        <v/>
      </c>
      <c r="AH1425" s="402">
        <f>AH1438</f>
        <v/>
      </c>
      <c r="AI1425" s="402">
        <f>AI1438</f>
        <v/>
      </c>
      <c r="AJ1425" s="402">
        <f>AJ1438</f>
        <v/>
      </c>
      <c r="AK1425" s="402">
        <f>AK1438</f>
        <v/>
      </c>
      <c r="AL1425" s="402">
        <f>AL1438</f>
        <v/>
      </c>
      <c r="AM1425" s="402">
        <f>AM1438</f>
        <v/>
      </c>
      <c r="AN1425" s="402">
        <f>AN1438</f>
        <v/>
      </c>
      <c r="AO1425" s="402">
        <f>AO1438</f>
        <v/>
      </c>
      <c r="AP1425" s="402">
        <f>AP1438</f>
        <v/>
      </c>
      <c r="AQ1425" s="402">
        <f>AQ1438</f>
        <v/>
      </c>
      <c r="AR1425" s="402">
        <f>AR1438</f>
        <v/>
      </c>
      <c r="AS1425" s="402">
        <f>AS1438</f>
        <v/>
      </c>
      <c r="AT1425" s="402">
        <f>AT1438</f>
        <v/>
      </c>
      <c r="AU1425" s="402">
        <f>AU1438</f>
        <v/>
      </c>
      <c r="AV1425" s="402">
        <f>AV1438</f>
        <v/>
      </c>
      <c r="AW1425" s="402">
        <f>AW1438</f>
        <v/>
      </c>
      <c r="AX1425" s="402">
        <f>AX1438</f>
        <v/>
      </c>
      <c r="AY1425" s="402">
        <f>AY1438</f>
        <v/>
      </c>
      <c r="AZ1425" s="402">
        <f>AZ1438</f>
        <v/>
      </c>
      <c r="BA1425" s="402">
        <f>BA1438</f>
        <v/>
      </c>
      <c r="BB1425" s="402">
        <f>BB1438</f>
        <v/>
      </c>
      <c r="BC1425" s="402">
        <f>BC1438</f>
        <v/>
      </c>
      <c r="BD1425" s="402">
        <f>BD1438</f>
        <v/>
      </c>
      <c r="BE1425" s="402">
        <f>BE1438</f>
        <v/>
      </c>
      <c r="BF1425" s="402">
        <f>BF1438</f>
        <v/>
      </c>
      <c r="BG1425" s="402">
        <f>BG1438</f>
        <v/>
      </c>
      <c r="BH1425" s="402">
        <f>BH1438</f>
        <v/>
      </c>
      <c r="BI1425" s="402">
        <f>BI1438</f>
        <v/>
      </c>
      <c r="BJ1425" s="402">
        <f>BJ1438</f>
        <v/>
      </c>
      <c r="BK1425" s="402">
        <f>BK1438</f>
        <v/>
      </c>
      <c r="BL1425" s="402">
        <f>BL1438</f>
        <v/>
      </c>
      <c r="BM1425" s="402">
        <f>BM1438</f>
        <v/>
      </c>
      <c r="BN1425" s="402">
        <f>BN1438</f>
        <v/>
      </c>
      <c r="BO1425" s="402">
        <f>BO1438</f>
        <v/>
      </c>
      <c r="BP1425" s="402">
        <f>BP1438</f>
        <v/>
      </c>
      <c r="BQ1425" s="402">
        <f>BQ1438</f>
        <v/>
      </c>
      <c r="BR1425" s="402">
        <f>BR1438</f>
        <v/>
      </c>
      <c r="BS1425" s="402">
        <f>BS1438</f>
        <v/>
      </c>
      <c r="BT1425" s="402">
        <f>BT1438</f>
        <v/>
      </c>
      <c r="BU1425" s="402">
        <f>BU1438</f>
        <v/>
      </c>
      <c r="BV1425" s="402">
        <f>BV1438</f>
        <v/>
      </c>
      <c r="BW1425" s="402">
        <f>BW1438</f>
        <v/>
      </c>
      <c r="BX1425" s="402">
        <f>BX1438</f>
        <v/>
      </c>
      <c r="BY1425" s="402">
        <f>BY1438</f>
        <v/>
      </c>
      <c r="BZ1425" s="402">
        <f>BZ1438</f>
        <v/>
      </c>
      <c r="CA1425" s="402">
        <f>CA1438</f>
        <v/>
      </c>
      <c r="CB1425" s="402">
        <f>CB1438</f>
        <v/>
      </c>
      <c r="CC1425" s="402">
        <f>CC1438</f>
        <v/>
      </c>
      <c r="CD1425" s="402">
        <f>CD1438</f>
        <v/>
      </c>
      <c r="CE1425" s="402">
        <f>CE1438</f>
        <v/>
      </c>
      <c r="CF1425" s="402">
        <f>CF1438</f>
        <v/>
      </c>
      <c r="CG1425" s="402">
        <f>CG1438</f>
        <v/>
      </c>
      <c r="CH1425" s="402">
        <f>CH1438</f>
        <v/>
      </c>
      <c r="CI1425" s="402">
        <f>CI1438</f>
        <v/>
      </c>
      <c r="CJ1425" s="402">
        <f>CJ1438</f>
        <v/>
      </c>
      <c r="CK1425" s="402">
        <f>CK1438</f>
        <v/>
      </c>
      <c r="CL1425" s="402">
        <f>CL1438</f>
        <v/>
      </c>
      <c r="CM1425" s="402">
        <f>CM1438</f>
        <v/>
      </c>
      <c r="CN1425" s="402">
        <f>CN1438</f>
        <v/>
      </c>
      <c r="CO1425" s="402">
        <f>CO1438</f>
        <v/>
      </c>
      <c r="CP1425" s="402">
        <f>CP1438</f>
        <v/>
      </c>
      <c r="CQ1425" s="402">
        <f>CQ1438</f>
        <v/>
      </c>
      <c r="CR1425" s="402">
        <f>CR1438</f>
        <v/>
      </c>
      <c r="CS1425" s="402">
        <f>CS1438</f>
        <v/>
      </c>
      <c r="CT1425" s="402">
        <f>CT1438</f>
        <v/>
      </c>
      <c r="CU1425" s="402">
        <f>CU1438</f>
        <v/>
      </c>
      <c r="CV1425" s="402">
        <f>CV1438</f>
        <v/>
      </c>
      <c r="CW1425" s="402">
        <f>CW1438</f>
        <v/>
      </c>
      <c r="CX1425" s="402">
        <f>CX1438</f>
        <v/>
      </c>
      <c r="CY1425" s="402">
        <f>CY1438</f>
        <v/>
      </c>
      <c r="CZ1425" s="402">
        <f>CZ1438</f>
        <v/>
      </c>
      <c r="DA1425" s="402">
        <f>DA1438</f>
        <v/>
      </c>
      <c r="DB1425" s="402">
        <f>DB1438</f>
        <v/>
      </c>
      <c r="DC1425" s="402">
        <f>DC1438</f>
        <v/>
      </c>
      <c r="DD1425" s="402">
        <f>DD1438</f>
        <v/>
      </c>
      <c r="DE1425" s="402">
        <f>DE1438</f>
        <v/>
      </c>
      <c r="DF1425" s="402">
        <f>DF1438</f>
        <v/>
      </c>
      <c r="DG1425" s="403">
        <f>DG1438</f>
        <v/>
      </c>
      <c r="DH1425" s="403">
        <f>DH1438</f>
        <v/>
      </c>
      <c r="DI1425" s="403">
        <f>DI1438</f>
        <v/>
      </c>
      <c r="DJ1425" s="403">
        <f>DJ1438</f>
        <v/>
      </c>
      <c r="DK1425" s="403">
        <f>DK1438</f>
        <v/>
      </c>
      <c r="DL1425" s="403">
        <f>DL1438</f>
        <v/>
      </c>
      <c r="DM1425" s="403">
        <f>DM1438</f>
        <v/>
      </c>
      <c r="DN1425" s="403">
        <f>DN1438</f>
        <v/>
      </c>
      <c r="DO1425" s="403">
        <f>DO1438</f>
        <v/>
      </c>
      <c r="DP1425" s="403">
        <f>DP1438</f>
        <v/>
      </c>
      <c r="DQ1425" s="403">
        <f>DQ1438</f>
        <v/>
      </c>
      <c r="DR1425" s="403">
        <f>DR1438</f>
        <v/>
      </c>
      <c r="DS1425" s="403">
        <f>DS1438</f>
        <v/>
      </c>
      <c r="DT1425" s="403">
        <f>DT1438</f>
        <v/>
      </c>
      <c r="DU1425" s="403">
        <f>DU1438</f>
        <v/>
      </c>
      <c r="DV1425" s="403">
        <f>DV1438</f>
        <v/>
      </c>
      <c r="DW1425" s="403">
        <f>DW1438</f>
        <v/>
      </c>
      <c r="DX1425" s="403">
        <f>DX1438</f>
        <v/>
      </c>
      <c r="DY1425" s="403">
        <f>DY1438</f>
        <v/>
      </c>
      <c r="DZ1425" s="403">
        <f>DZ1438</f>
        <v/>
      </c>
      <c r="EA1425" s="403">
        <f>EA1438</f>
        <v/>
      </c>
      <c r="EB1425" s="403">
        <f>EB1438</f>
        <v/>
      </c>
      <c r="EC1425" s="403">
        <f>EC1438</f>
        <v/>
      </c>
      <c r="ED1425" s="403">
        <f>ED1438</f>
        <v/>
      </c>
      <c r="EE1425" s="403">
        <f>EE1438</f>
        <v/>
      </c>
      <c r="EF1425" s="403">
        <f>EF1438</f>
        <v/>
      </c>
      <c r="EG1425" s="403">
        <f>EG1438</f>
        <v/>
      </c>
      <c r="EH1425" s="403">
        <f>EH1438</f>
        <v/>
      </c>
      <c r="EI1425" s="403">
        <f>EI1438</f>
        <v/>
      </c>
      <c r="EJ1425" s="403">
        <f>EJ1438</f>
        <v/>
      </c>
      <c r="EK1425" s="403">
        <f>EK1438</f>
        <v/>
      </c>
      <c r="EL1425" s="403">
        <f>EL1438</f>
        <v/>
      </c>
      <c r="EM1425" s="403">
        <f>EM1438</f>
        <v/>
      </c>
      <c r="EN1425" s="403">
        <f>EN1438</f>
        <v/>
      </c>
      <c r="EO1425" s="403">
        <f>EO1438</f>
        <v/>
      </c>
      <c r="EP1425" s="403">
        <f>EP1438</f>
        <v/>
      </c>
      <c r="EQ1425" s="403">
        <f>EQ1438</f>
        <v/>
      </c>
      <c r="ER1425" s="403">
        <f>ER1438</f>
        <v/>
      </c>
      <c r="ES1425" s="403">
        <f>ES1438</f>
        <v/>
      </c>
      <c r="ET1425" s="403">
        <f>ET1438</f>
        <v/>
      </c>
      <c r="EU1425" s="403">
        <f>EU1438</f>
        <v/>
      </c>
      <c r="EV1425" s="403">
        <f>EV1438</f>
        <v/>
      </c>
      <c r="EW1425" s="403">
        <f>EW1438</f>
        <v/>
      </c>
      <c r="EX1425" s="403">
        <f>EX1438</f>
        <v/>
      </c>
      <c r="EY1425" s="403">
        <f>EY1438</f>
        <v/>
      </c>
      <c r="EZ1425" s="403">
        <f>EZ1438</f>
        <v/>
      </c>
      <c r="FA1425" s="403">
        <f>FA1438</f>
        <v/>
      </c>
      <c r="FB1425" s="403">
        <f>FB1438</f>
        <v/>
      </c>
      <c r="FC1425" s="403">
        <f>FC1438</f>
        <v/>
      </c>
      <c r="FD1425" s="403">
        <f>FD1438</f>
        <v/>
      </c>
      <c r="FE1425" s="403">
        <f>FE1438</f>
        <v/>
      </c>
      <c r="FF1425" s="403">
        <f>FF1438</f>
        <v/>
      </c>
      <c r="FG1425" s="403">
        <f>FG1438</f>
        <v/>
      </c>
      <c r="FH1425" s="403">
        <f>FH1438</f>
        <v/>
      </c>
      <c r="FI1425" s="403">
        <f>FI1438</f>
        <v/>
      </c>
      <c r="FJ1425" s="403">
        <f>FJ1438</f>
        <v/>
      </c>
      <c r="FK1425" s="403">
        <f>FK1438</f>
        <v/>
      </c>
      <c r="FL1425" s="403">
        <f>FL1438</f>
        <v/>
      </c>
      <c r="FM1425" s="403">
        <f>FM1438</f>
        <v/>
      </c>
      <c r="FN1425" s="403">
        <f>FN1438</f>
        <v/>
      </c>
      <c r="FO1425" s="403">
        <f>FO1438</f>
        <v/>
      </c>
      <c r="FP1425" s="403">
        <f>FP1438</f>
        <v/>
      </c>
      <c r="FQ1425" s="403">
        <f>FQ1438</f>
        <v/>
      </c>
      <c r="FR1425" s="403">
        <f>FR1438</f>
        <v/>
      </c>
      <c r="FS1425" s="403">
        <f>FS1438</f>
        <v/>
      </c>
      <c r="FT1425" s="403">
        <f>FT1438</f>
        <v/>
      </c>
      <c r="FU1425" s="403">
        <f>FU1438</f>
        <v/>
      </c>
      <c r="FV1425" s="403">
        <f>FV1438</f>
        <v/>
      </c>
      <c r="FW1425" s="403">
        <f>FW1438</f>
        <v/>
      </c>
      <c r="FX1425" s="403">
        <f>FX1438</f>
        <v/>
      </c>
      <c r="FY1425" s="403">
        <f>FY1438</f>
        <v/>
      </c>
      <c r="FZ1425" s="403">
        <f>FZ1438</f>
        <v/>
      </c>
      <c r="GA1425" s="403">
        <f>GA1438</f>
        <v/>
      </c>
      <c r="GB1425" s="403">
        <f>GB1438</f>
        <v/>
      </c>
      <c r="GC1425" s="403">
        <f>GC1438</f>
        <v/>
      </c>
      <c r="GD1425" s="403">
        <f>GD1438</f>
        <v/>
      </c>
      <c r="GE1425" s="403">
        <f>GE1438</f>
        <v/>
      </c>
      <c r="GF1425" s="403">
        <f>GF1438</f>
        <v/>
      </c>
      <c r="GG1425" s="403">
        <f>GG1438</f>
        <v/>
      </c>
      <c r="GH1425" s="403">
        <f>GH1438</f>
        <v/>
      </c>
      <c r="GI1425" s="403">
        <f>GI1438</f>
        <v/>
      </c>
      <c r="GJ1425" s="403">
        <f>GJ1438</f>
        <v/>
      </c>
      <c r="GK1425" s="403">
        <f>GK1438</f>
        <v/>
      </c>
      <c r="GL1425" s="403">
        <f>GL1438</f>
        <v/>
      </c>
      <c r="GM1425" s="403">
        <f>GM1438</f>
        <v/>
      </c>
      <c r="GN1425" s="403">
        <f>GN1438</f>
        <v/>
      </c>
      <c r="GO1425" s="403">
        <f>GO1438</f>
        <v/>
      </c>
      <c r="GP1425" s="403">
        <f>GP1438</f>
        <v/>
      </c>
      <c r="GQ1425" s="403">
        <f>GQ1438</f>
        <v/>
      </c>
      <c r="GR1425" s="403">
        <f>GR1438</f>
        <v/>
      </c>
      <c r="GS1425" s="403">
        <f>GS1438</f>
        <v/>
      </c>
      <c r="GT1425" s="403">
        <f>GT1438</f>
        <v/>
      </c>
      <c r="GU1425" s="403">
        <f>GU1438</f>
        <v/>
      </c>
      <c r="GV1425" s="403">
        <f>GV1438</f>
        <v/>
      </c>
      <c r="GW1425" s="403">
        <f>GW1438</f>
        <v/>
      </c>
      <c r="GX1425" s="403">
        <f>GX1438</f>
        <v/>
      </c>
    </row>
    <row r="1426"/>
    <row r="1427">
      <c r="A1427" t="n">
        <v>17</v>
      </c>
      <c r="B1427" t="n">
        <v>0</v>
      </c>
      <c r="C1427">
        <f>ROW(SmtRes!A677)</f>
        <v/>
      </c>
      <c r="D1427">
        <f>ROW(EtalonRes!A623)</f>
        <v/>
      </c>
      <c r="E1427" t="inlineStr">
        <is>
          <t>1</t>
        </is>
      </c>
      <c r="F1427" t="inlineStr">
        <is>
          <t>65-10-1</t>
        </is>
      </c>
      <c r="G1427" t="inlineStr">
        <is>
          <t>Очистка канализационной сети внутренней</t>
        </is>
      </c>
      <c r="H1427" t="inlineStr">
        <is>
          <t>100 м трубопровода</t>
        </is>
      </c>
      <c r="I1427">
        <f>ROUND(ROUND(20/100,4),7)</f>
        <v/>
      </c>
      <c r="J1427" t="n">
        <v>0</v>
      </c>
      <c r="K1427">
        <f>ROUND(ROUND(20/100,4),7)</f>
        <v/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78869116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403.3</v>
      </c>
      <c r="AL1427" t="n">
        <v>139.36</v>
      </c>
      <c r="AM1427" t="n">
        <v>0.87</v>
      </c>
      <c r="AN1427" t="n">
        <v>0</v>
      </c>
      <c r="AO1427" t="n">
        <v>263.07</v>
      </c>
      <c r="AP1427" t="n">
        <v>0</v>
      </c>
      <c r="AQ1427" t="n">
        <v>32.2</v>
      </c>
      <c r="AR1427" t="n">
        <v>0</v>
      </c>
      <c r="AS1427" t="n">
        <v>0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52.25</v>
      </c>
      <c r="BB1427" t="n">
        <v>25.03</v>
      </c>
      <c r="BC1427" t="n">
        <v>11.85</v>
      </c>
      <c r="BD1427" t="inlineStr"/>
      <c r="BE1427" t="inlineStr"/>
      <c r="BF1427" t="inlineStr"/>
      <c r="BG1427" t="inlineStr"/>
      <c r="BH1427" t="n">
        <v>0</v>
      </c>
      <c r="BI1427" t="n">
        <v>1</v>
      </c>
      <c r="BJ1427" t="inlineStr">
        <is>
          <t>ТЕРр Московской обл., 65-10-1, приказ Минстроя России №675/пр от 28.02.2017 № 263/пр</t>
        </is>
      </c>
      <c r="BM1427" t="n">
        <v>65007</v>
      </c>
      <c r="BN1427" t="n">
        <v>0</v>
      </c>
      <c r="BO1427" t="inlineStr">
        <is>
          <t>65-10-1</t>
        </is>
      </c>
      <c r="BP1427" t="n">
        <v>1</v>
      </c>
      <c r="BQ1427" t="n">
        <v>6</v>
      </c>
      <c r="BR1427" t="n">
        <v>0</v>
      </c>
      <c r="BS1427" t="n">
        <v>52.25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1013</v>
      </c>
      <c r="DV1427" t="inlineStr">
        <is>
          <t>100 м трубопровода</t>
        </is>
      </c>
      <c r="DW1427" t="inlineStr">
        <is>
          <t>100 м трубопровода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403.3</v>
      </c>
      <c r="ES1427" t="n">
        <v>139.36</v>
      </c>
      <c r="ET1427" t="n">
        <v>0.87</v>
      </c>
      <c r="EU1427" t="n">
        <v>0</v>
      </c>
      <c r="EV1427" t="n">
        <v>263.07</v>
      </c>
      <c r="EW1427" t="n">
        <v>32.2</v>
      </c>
      <c r="EX1427" t="n">
        <v>0</v>
      </c>
      <c r="EY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-66904957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17</v>
      </c>
      <c r="B1428" t="n">
        <v>0</v>
      </c>
      <c r="C1428">
        <f>ROW(SmtRes!A683)</f>
        <v/>
      </c>
      <c r="D1428">
        <f>ROW(EtalonRes!A629)</f>
        <v/>
      </c>
      <c r="E1428" t="inlineStr">
        <is>
          <t>2</t>
        </is>
      </c>
      <c r="F1428" t="inlineStr">
        <is>
          <t>16-07-005-1</t>
        </is>
      </c>
      <c r="G142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28" t="inlineStr">
        <is>
          <t>100 м трубопровода</t>
        </is>
      </c>
      <c r="I1428">
        <f>ROUND(ROUND(27/100,4),7)</f>
        <v/>
      </c>
      <c r="J1428" t="n">
        <v>0</v>
      </c>
      <c r="K1428">
        <f>ROUND(ROUND(27/100,4),7)</f>
        <v/>
      </c>
      <c r="O1428">
        <f>ROUND(CP1428,0)</f>
        <v/>
      </c>
      <c r="P1428">
        <f>ROUND(CQ1428*I1428,0)</f>
        <v/>
      </c>
      <c r="Q1428">
        <f>(ROUND((ROUND((((ET1428*ROUND(7,7)))*I1428),0)*BB1428),0)+ROUND((ROUND(((AE1428-((EU1428*ROUND(7,7))))*I1428),0)*BS1428),0))</f>
        <v/>
      </c>
      <c r="R1428">
        <f>(ROUND((ROUND((((EU1428*ROUND(7,7)))*I1428),0)*BS1428),0)+ROUND((ROUND(((AE1428-((EU1428*ROUND(7,7))))*I1428),0)*BS1428),0))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78869116</v>
      </c>
      <c r="AB1428">
        <f>ROUND((AC1428+AD1428+AF1428),2)</f>
        <v/>
      </c>
      <c r="AC1428">
        <f>ROUND(((ES1428*ROUND(7,7))),2)</f>
        <v/>
      </c>
      <c r="AD1428">
        <f>ROUND(((((ET1428*ROUND(7,7)))-((EU1428*ROUND(7,7))))+AE1428),2)</f>
        <v/>
      </c>
      <c r="AE1428">
        <f>ROUND(((EU1428*ROUND(7,7))),2)</f>
        <v/>
      </c>
      <c r="AF1428">
        <f>ROUND(((EV1428*ROUND(7,7))),2)</f>
        <v/>
      </c>
      <c r="AG1428">
        <f>ROUND((AP1428),2)</f>
        <v/>
      </c>
      <c r="AH1428">
        <f>((EW1428*ROUND(7,7)))</f>
        <v/>
      </c>
      <c r="AI1428">
        <f>((EX1428*ROUND(7,7)))</f>
        <v/>
      </c>
      <c r="AJ1428">
        <f>(AS1428)</f>
        <v/>
      </c>
      <c r="AK1428" t="n">
        <v>107.11</v>
      </c>
      <c r="AL1428" t="n">
        <v>4.28</v>
      </c>
      <c r="AM1428" t="n">
        <v>44.51</v>
      </c>
      <c r="AN1428" t="n">
        <v>0</v>
      </c>
      <c r="AO1428" t="n">
        <v>58.32</v>
      </c>
      <c r="AP1428" t="n">
        <v>0</v>
      </c>
      <c r="AQ1428" t="n">
        <v>5.01</v>
      </c>
      <c r="AR1428" t="n">
        <v>0</v>
      </c>
      <c r="AS1428" t="n">
        <v>0</v>
      </c>
      <c r="AT1428" t="n">
        <v>121</v>
      </c>
      <c r="AU1428" t="n">
        <v>72</v>
      </c>
      <c r="AV1428" t="n">
        <v>1</v>
      </c>
      <c r="AW1428" t="n">
        <v>1</v>
      </c>
      <c r="AZ1428" t="n">
        <v>1</v>
      </c>
      <c r="BA1428" t="n">
        <v>52.25</v>
      </c>
      <c r="BB1428" t="n">
        <v>5.97</v>
      </c>
      <c r="BC1428" t="n">
        <v>11.38</v>
      </c>
      <c r="BD1428" t="inlineStr"/>
      <c r="BE1428" t="inlineStr"/>
      <c r="BF1428" t="inlineStr"/>
      <c r="BG1428" t="inlineStr"/>
      <c r="BH1428" t="n">
        <v>0</v>
      </c>
      <c r="BI1428" t="n">
        <v>1</v>
      </c>
      <c r="BJ1428" t="inlineStr">
        <is>
          <t>ТЕР Московской обл., 16-07-005-1, приказ Минстроя России №675/пр от 28.02.2017 № 260/пр</t>
        </is>
      </c>
      <c r="BM1428" t="n">
        <v>16001</v>
      </c>
      <c r="BN1428" t="n">
        <v>0</v>
      </c>
      <c r="BO1428" t="inlineStr">
        <is>
          <t>16-07-005-1</t>
        </is>
      </c>
      <c r="BP1428" t="n">
        <v>1</v>
      </c>
      <c r="BQ1428" t="n">
        <v>2</v>
      </c>
      <c r="BR1428" t="n">
        <v>0</v>
      </c>
      <c r="BS1428" t="n">
        <v>52.25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121</v>
      </c>
      <c r="CA1428" t="n">
        <v>72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(ROUND((ROUND((((ET1428*ROUND(7,7)))*1),0)*BB1428),0)+ROUND((ROUND(((AE1428-((EU1428*ROUND(7,7))))*1),0)*BS1428),0))</f>
        <v/>
      </c>
      <c r="CS1428">
        <f>(ROUND((ROUND((((EU1428*ROUND(7,7)))*1),0)*BS1428),0)+ROUND((ROUND(((AE1428-((EU1428*ROUND(7,7))))*1),0)*BS1428),0))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>
        <is>
          <t>)*7</t>
        </is>
      </c>
      <c r="DE1428" t="inlineStr">
        <is>
          <t>)*7</t>
        </is>
      </c>
      <c r="DF1428" t="inlineStr">
        <is>
          <t>)*7</t>
        </is>
      </c>
      <c r="DG1428" t="inlineStr">
        <is>
          <t>)*7</t>
        </is>
      </c>
      <c r="DH1428" t="inlineStr"/>
      <c r="DI1428" t="inlineStr">
        <is>
          <t>)*7</t>
        </is>
      </c>
      <c r="DJ1428" t="inlineStr">
        <is>
          <t>)*7</t>
        </is>
      </c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1013</v>
      </c>
      <c r="DV1428" t="inlineStr">
        <is>
          <t>100 м трубопровода</t>
        </is>
      </c>
      <c r="DW1428" t="inlineStr">
        <is>
          <t>100 м трубопровода</t>
        </is>
      </c>
      <c r="DX1428" t="n">
        <v>1</v>
      </c>
      <c r="DZ1428" t="inlineStr"/>
      <c r="EA1428" t="inlineStr"/>
      <c r="EB1428" t="inlineStr"/>
      <c r="EC1428" t="inlineStr"/>
      <c r="EE1428" t="n">
        <v>78725882</v>
      </c>
      <c r="EF1428" t="n">
        <v>2</v>
      </c>
      <c r="EG1428" t="inlineStr">
        <is>
          <t>Общестроительные работы</t>
        </is>
      </c>
      <c r="EH1428" t="n">
        <v>16</v>
      </c>
      <c r="EI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28" t="n">
        <v>1</v>
      </c>
      <c r="EK1428" t="n">
        <v>16001</v>
      </c>
      <c r="EL1428" t="inlineStr">
        <is>
          <t>Трубопроводы внутренние</t>
        </is>
      </c>
      <c r="EM1428" t="inlineStr">
        <is>
          <t>ФЕР-16</t>
        </is>
      </c>
      <c r="EO1428" t="inlineStr"/>
      <c r="EQ1428" t="n">
        <v>0</v>
      </c>
      <c r="ER1428" t="n">
        <v>107.11</v>
      </c>
      <c r="ES1428" t="n">
        <v>4.28</v>
      </c>
      <c r="ET1428" t="n">
        <v>44.51</v>
      </c>
      <c r="EU1428" t="n">
        <v>0</v>
      </c>
      <c r="EV1428" t="n">
        <v>58.32</v>
      </c>
      <c r="EW1428" t="n">
        <v>5.01</v>
      </c>
      <c r="EX1428" t="n">
        <v>0</v>
      </c>
      <c r="EY1428" t="n">
        <v>0</v>
      </c>
      <c r="FQ1428" t="n">
        <v>0</v>
      </c>
      <c r="FR1428" t="n">
        <v>0</v>
      </c>
      <c r="FS1428" t="n">
        <v>0</v>
      </c>
      <c r="FX1428" t="n">
        <v>121</v>
      </c>
      <c r="FY1428" t="n">
        <v>72</v>
      </c>
      <c r="GA1428" t="inlineStr"/>
      <c r="GD1428" t="n">
        <v>1</v>
      </c>
      <c r="GF1428" t="n">
        <v>635989612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Пр/812-016.0-1</t>
        </is>
      </c>
      <c r="HO1428" t="inlineStr">
        <is>
          <t>Пр/774-016.0</t>
        </is>
      </c>
      <c r="HP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28" t="n">
        <v>0</v>
      </c>
      <c r="IK1428" t="n">
        <v>0</v>
      </c>
    </row>
    <row r="1429">
      <c r="A1429" t="n">
        <v>17</v>
      </c>
      <c r="B1429" t="n">
        <v>0</v>
      </c>
      <c r="C1429">
        <f>ROW(SmtRes!A693)</f>
        <v/>
      </c>
      <c r="D1429">
        <f>ROW(EtalonRes!A636)</f>
        <v/>
      </c>
      <c r="E1429" t="inlineStr">
        <is>
          <t>3</t>
        </is>
      </c>
      <c r="F1429" t="inlineStr">
        <is>
          <t>65-5-3</t>
        </is>
      </c>
      <c r="G1429" t="inlineStr">
        <is>
          <t>Смена вентилей и клапанов обратных муфтовых диаметром до 50 мм</t>
        </is>
      </c>
      <c r="H1429" t="inlineStr">
        <is>
          <t>100 шт.</t>
        </is>
      </c>
      <c r="I1429">
        <f>ROUND(ROUND(3/100,4),7)</f>
        <v/>
      </c>
      <c r="J1429" t="n">
        <v>0</v>
      </c>
      <c r="K1429">
        <f>ROUND(ROUND(3/100,4),7)</f>
        <v/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78869116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9617.030000000001</v>
      </c>
      <c r="AL1429" t="n">
        <v>8388.059999999999</v>
      </c>
      <c r="AM1429" t="n">
        <v>22.66</v>
      </c>
      <c r="AN1429" t="n">
        <v>0</v>
      </c>
      <c r="AO1429" t="n">
        <v>1206.31</v>
      </c>
      <c r="AP1429" t="n">
        <v>0</v>
      </c>
      <c r="AQ1429" t="n">
        <v>133</v>
      </c>
      <c r="AR1429" t="n">
        <v>0</v>
      </c>
      <c r="AS1429" t="n">
        <v>0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52.25</v>
      </c>
      <c r="BB1429" t="n">
        <v>24.99</v>
      </c>
      <c r="BC1429" t="n">
        <v>12</v>
      </c>
      <c r="BD1429" t="inlineStr"/>
      <c r="BE1429" t="inlineStr"/>
      <c r="BF1429" t="inlineStr"/>
      <c r="BG1429" t="inlineStr"/>
      <c r="BH1429" t="n">
        <v>0</v>
      </c>
      <c r="BI1429" t="n">
        <v>1</v>
      </c>
      <c r="BJ1429" t="inlineStr">
        <is>
          <t>ТЕРр Московской обл., 65-5-3, приказ Минстроя России №675/пр от 28.02.2017 № 263/пр</t>
        </is>
      </c>
      <c r="BM1429" t="n">
        <v>65007</v>
      </c>
      <c r="BN1429" t="n">
        <v>0</v>
      </c>
      <c r="BO1429" t="inlineStr">
        <is>
          <t>65-5-3</t>
        </is>
      </c>
      <c r="BP1429" t="n">
        <v>1</v>
      </c>
      <c r="BQ1429" t="n">
        <v>6</v>
      </c>
      <c r="BR1429" t="n">
        <v>0</v>
      </c>
      <c r="BS1429" t="n">
        <v>52.25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100 шт.</t>
        </is>
      </c>
      <c r="DW1429" t="inlineStr">
        <is>
          <t>100 шт.</t>
        </is>
      </c>
      <c r="DX1429" t="n">
        <v>100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9617.030000000001</v>
      </c>
      <c r="ES1429" t="n">
        <v>8388.059999999999</v>
      </c>
      <c r="ET1429" t="n">
        <v>22.66</v>
      </c>
      <c r="EU1429" t="n">
        <v>0</v>
      </c>
      <c r="EV1429" t="n">
        <v>1206.31</v>
      </c>
      <c r="EW1429" t="n">
        <v>133</v>
      </c>
      <c r="EX1429" t="n">
        <v>0</v>
      </c>
      <c r="EY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-1150937131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693</v>
      </c>
      <c r="E1430" t="inlineStr">
        <is>
          <t>3,1</t>
        </is>
      </c>
      <c r="F1430" t="inlineStr">
        <is>
          <t>509-9899</t>
        </is>
      </c>
      <c r="G1430" t="inlineStr">
        <is>
          <t>Строительный мусор и масса возвратных материалов</t>
        </is>
      </c>
      <c r="H1430" t="inlineStr">
        <is>
          <t>т</t>
        </is>
      </c>
      <c r="I1430">
        <f>I1429*J1430</f>
        <v/>
      </c>
      <c r="J1430" t="n">
        <v>0.24</v>
      </c>
      <c r="K1430" t="n">
        <v>0.24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78869116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0</v>
      </c>
      <c r="AL1430" t="n">
        <v>0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509-9899, приказ Минстроя России №675/пр от 28.02.2017 № 258/пр</t>
        </is>
      </c>
      <c r="BM1430" t="n">
        <v>65007</v>
      </c>
      <c r="BN1430" t="n">
        <v>0</v>
      </c>
      <c r="BO1430" t="inlineStr"/>
      <c r="BP1430" t="n">
        <v>0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1009</v>
      </c>
      <c r="DV1430" t="inlineStr">
        <is>
          <t>т</t>
        </is>
      </c>
      <c r="DW1430" t="inlineStr">
        <is>
          <t>т</t>
        </is>
      </c>
      <c r="DX1430" t="n">
        <v>1000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0</v>
      </c>
      <c r="ES1430" t="n">
        <v>0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1839160745</v>
      </c>
      <c r="GG1430" t="n">
        <v>2</v>
      </c>
      <c r="GH1430" t="n">
        <v>1</v>
      </c>
      <c r="GI1430" t="n">
        <v>-2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689</v>
      </c>
      <c r="E1431" t="inlineStr">
        <is>
          <t>3,2</t>
        </is>
      </c>
      <c r="F1431" t="inlineStr">
        <is>
          <t>302-0062</t>
        </is>
      </c>
      <c r="G1431" t="inlineStr">
        <is>
          <t>Кран шаровый муфтовый Valtec для воды диаметром 15 мм, тип в/в</t>
        </is>
      </c>
      <c r="H1431" t="inlineStr">
        <is>
          <t>шт.</t>
        </is>
      </c>
      <c r="I1431">
        <f>I1429*J1431</f>
        <v/>
      </c>
      <c r="J1431" t="n">
        <v>66.66666666666667</v>
      </c>
      <c r="K1431" t="n">
        <v>66.66666669999999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78869116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28.53</v>
      </c>
      <c r="AL1431" t="n">
        <v>28.53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0.01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13.47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302-0062, приказ Минстроя России №675/пр от 28.02.2017 № 256/пр</t>
        </is>
      </c>
      <c r="BM1431" t="n">
        <v>65007</v>
      </c>
      <c r="BN1431" t="n">
        <v>0</v>
      </c>
      <c r="BO1431" t="inlineStr">
        <is>
          <t>302-0062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шт.</t>
        </is>
      </c>
      <c r="DW1431" t="inlineStr">
        <is>
          <t>шт.</t>
        </is>
      </c>
      <c r="DX1431" t="n">
        <v>1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28.53</v>
      </c>
      <c r="ES1431" t="n">
        <v>28.53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-1687406522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>
      <c r="A1432" t="n">
        <v>18</v>
      </c>
      <c r="B1432" t="n">
        <v>0</v>
      </c>
      <c r="C1432" t="n">
        <v>690</v>
      </c>
      <c r="E1432" t="inlineStr">
        <is>
          <t>3,3</t>
        </is>
      </c>
      <c r="F1432" t="inlineStr">
        <is>
          <t>302-0066</t>
        </is>
      </c>
      <c r="G1432" t="inlineStr">
        <is>
          <t>Кран шаровый муфтовый Valtec для воды диаметром 40 мм, тип в/в</t>
        </is>
      </c>
      <c r="H1432" t="inlineStr">
        <is>
          <t>шт.</t>
        </is>
      </c>
      <c r="I1432">
        <f>I1429*J1432</f>
        <v/>
      </c>
      <c r="J1432" t="n">
        <v>33.33333333333334</v>
      </c>
      <c r="K1432" t="n">
        <v>33.3333333</v>
      </c>
      <c r="O1432">
        <f>ROUND(CP1432,0)</f>
        <v/>
      </c>
      <c r="P1432">
        <f>ROUND(CQ1432*I1432,0)</f>
        <v/>
      </c>
      <c r="Q1432">
        <f>(ROUND((ROUND(((ET1432)*I1432),0)*BB1432),0)+ROUND((ROUND(((AE1432-(EU1432))*I1432),0)*BS1432),0))</f>
        <v/>
      </c>
      <c r="R1432">
        <f>(ROUND((ROUND(((EU1432)*I1432),0)*BS1432),0)+ROUND((ROUND(((AE1432-(EU1432))*I1432),0)*BS1432),0))</f>
        <v/>
      </c>
      <c r="S1432">
        <f>ROUND(CT1432*I1432,0)</f>
        <v/>
      </c>
      <c r="T1432">
        <f>ROUND(CU1432*I1432,0)</f>
        <v/>
      </c>
      <c r="U1432">
        <f>ROUND(CV1432*I1432,7)</f>
        <v/>
      </c>
      <c r="V1432">
        <f>ROUND(CW1432*I1432,7)</f>
        <v/>
      </c>
      <c r="W1432">
        <f>ROUND(CX1432*I1432,0)</f>
        <v/>
      </c>
      <c r="X1432">
        <f>ROUND(CY1432,0)</f>
        <v/>
      </c>
      <c r="Y1432">
        <f>ROUND(CZ1432,0)</f>
        <v/>
      </c>
      <c r="AA1432" t="n">
        <v>78869116</v>
      </c>
      <c r="AB1432">
        <f>ROUND((AC1432+AD1432+AF1432),2)</f>
        <v/>
      </c>
      <c r="AC1432">
        <f>ROUND((ES1432),2)</f>
        <v/>
      </c>
      <c r="AD1432">
        <f>ROUND((((ET1432)-(EU1432))+AE1432),2)</f>
        <v/>
      </c>
      <c r="AE1432">
        <f>ROUND((EU1432),2)</f>
        <v/>
      </c>
      <c r="AF1432">
        <f>ROUND((EV1432),2)</f>
        <v/>
      </c>
      <c r="AG1432">
        <f>ROUND((AP1432),2)</f>
        <v/>
      </c>
      <c r="AH1432">
        <f>(EW1432)</f>
        <v/>
      </c>
      <c r="AI1432">
        <f>(EX1432)</f>
        <v/>
      </c>
      <c r="AJ1432">
        <f>(AS1432)</f>
        <v/>
      </c>
      <c r="AK1432" t="n">
        <v>172.88</v>
      </c>
      <c r="AL1432" t="n">
        <v>172.88</v>
      </c>
      <c r="AM1432" t="n">
        <v>0</v>
      </c>
      <c r="AN1432" t="n">
        <v>0</v>
      </c>
      <c r="AO1432" t="n">
        <v>0</v>
      </c>
      <c r="AP1432" t="n">
        <v>0</v>
      </c>
      <c r="AQ1432" t="n">
        <v>0</v>
      </c>
      <c r="AR1432" t="n">
        <v>0</v>
      </c>
      <c r="AS1432" t="n">
        <v>0.04</v>
      </c>
      <c r="AT1432" t="n">
        <v>103</v>
      </c>
      <c r="AU1432" t="n">
        <v>52</v>
      </c>
      <c r="AV1432" t="n">
        <v>1</v>
      </c>
      <c r="AW1432" t="n">
        <v>1</v>
      </c>
      <c r="AZ1432" t="n">
        <v>1</v>
      </c>
      <c r="BA1432" t="n">
        <v>1</v>
      </c>
      <c r="BB1432" t="n">
        <v>1</v>
      </c>
      <c r="BC1432" t="n">
        <v>13.16</v>
      </c>
      <c r="BD1432" t="inlineStr"/>
      <c r="BE1432" t="inlineStr"/>
      <c r="BF1432" t="inlineStr"/>
      <c r="BG1432" t="inlineStr"/>
      <c r="BH1432" t="n">
        <v>3</v>
      </c>
      <c r="BI1432" t="n">
        <v>1</v>
      </c>
      <c r="BJ1432" t="inlineStr">
        <is>
          <t>ТССЦ Московской обл., 302-0066, приказ Минстроя России №675/пр от 28.02.2017 № 256/пр</t>
        </is>
      </c>
      <c r="BM1432" t="n">
        <v>65007</v>
      </c>
      <c r="BN1432" t="n">
        <v>0</v>
      </c>
      <c r="BO1432" t="inlineStr">
        <is>
          <t>302-0066</t>
        </is>
      </c>
      <c r="BP1432" t="n">
        <v>1</v>
      </c>
      <c r="BQ1432" t="n">
        <v>6</v>
      </c>
      <c r="BR1432" t="n">
        <v>0</v>
      </c>
      <c r="BS1432" t="n">
        <v>1</v>
      </c>
      <c r="BT1432" t="n">
        <v>1</v>
      </c>
      <c r="BU1432" t="n">
        <v>1</v>
      </c>
      <c r="BV1432" t="n">
        <v>1</v>
      </c>
      <c r="BW1432" t="n">
        <v>1</v>
      </c>
      <c r="BX1432" t="n">
        <v>1</v>
      </c>
      <c r="BY1432" t="inlineStr"/>
      <c r="BZ1432" t="n">
        <v>103</v>
      </c>
      <c r="CA1432" t="n">
        <v>52</v>
      </c>
      <c r="CB1432" t="inlineStr"/>
      <c r="CE1432" t="n">
        <v>12</v>
      </c>
      <c r="CF1432" t="n">
        <v>0</v>
      </c>
      <c r="CG1432" t="n">
        <v>0</v>
      </c>
      <c r="CM1432" t="n">
        <v>0</v>
      </c>
      <c r="CN1432" t="inlineStr"/>
      <c r="CO1432" t="n">
        <v>0</v>
      </c>
      <c r="CP1432">
        <f>(P1432+Q1432+S1432)</f>
        <v/>
      </c>
      <c r="CQ1432">
        <f>AC1432*BC1432</f>
        <v/>
      </c>
      <c r="CR1432">
        <f>(ROUND((ROUND(((ET1432)*1),0)*BB1432),0)+ROUND((ROUND(((AE1432-(EU1432))*1),0)*BS1432),0))</f>
        <v/>
      </c>
      <c r="CS1432">
        <f>(ROUND((ROUND(((EU1432)*1),0)*BS1432),0)+ROUND((ROUND(((AE1432-(EU1432))*1),0)*BS1432),0))</f>
        <v/>
      </c>
      <c r="CT1432">
        <f>AF1432*BA1432</f>
        <v/>
      </c>
      <c r="CU1432">
        <f>AG1432</f>
        <v/>
      </c>
      <c r="CV1432">
        <f>AH1432</f>
        <v/>
      </c>
      <c r="CW1432">
        <f>AI1432</f>
        <v/>
      </c>
      <c r="CX1432">
        <f>AJ1432</f>
        <v/>
      </c>
      <c r="CY1432">
        <f>(((S1432+R1432)*AT1432)/100)</f>
        <v/>
      </c>
      <c r="CZ1432">
        <f>(((S1432+R1432)*AU1432)/100)</f>
        <v/>
      </c>
      <c r="DC1432" t="inlineStr"/>
      <c r="DD1432" t="inlineStr"/>
      <c r="DE1432" t="inlineStr"/>
      <c r="DF1432" t="inlineStr"/>
      <c r="DG1432" t="inlineStr"/>
      <c r="DH1432" t="inlineStr"/>
      <c r="DI1432" t="inlineStr"/>
      <c r="DJ1432" t="inlineStr"/>
      <c r="DK1432" t="inlineStr"/>
      <c r="DL1432" t="inlineStr"/>
      <c r="DM1432" t="inlineStr"/>
      <c r="DN1432" t="n">
        <v>0</v>
      </c>
      <c r="DO1432" t="n">
        <v>0</v>
      </c>
      <c r="DP1432" t="n">
        <v>1</v>
      </c>
      <c r="DQ1432" t="n">
        <v>1</v>
      </c>
      <c r="DU1432" t="n">
        <v>1010</v>
      </c>
      <c r="DV1432" t="inlineStr">
        <is>
          <t>шт.</t>
        </is>
      </c>
      <c r="DW1432" t="inlineStr">
        <is>
          <t>шт.</t>
        </is>
      </c>
      <c r="DX1432" t="n">
        <v>1</v>
      </c>
      <c r="DZ1432" t="inlineStr"/>
      <c r="EA1432" t="inlineStr"/>
      <c r="EB1432" t="inlineStr"/>
      <c r="EC1432" t="inlineStr"/>
      <c r="EE1432" t="n">
        <v>78726000</v>
      </c>
      <c r="EF1432" t="n">
        <v>6</v>
      </c>
      <c r="EG1432" t="inlineStr">
        <is>
          <t>Ремонтно-строительные работы</t>
        </is>
      </c>
      <c r="EH1432" t="n">
        <v>99</v>
      </c>
      <c r="EI1432" t="inlineStr">
        <is>
          <t>Внутренние санитарно-технические работы</t>
        </is>
      </c>
      <c r="EJ1432" t="n">
        <v>1</v>
      </c>
      <c r="EK1432" t="n">
        <v>65007</v>
      </c>
      <c r="EL1432" t="inlineStr">
        <is>
          <t>Внутренние санитарнотехнические работы: смена труб, санприборов, запорной арматуры и другое</t>
        </is>
      </c>
      <c r="EM1432" t="inlineStr">
        <is>
          <t>рФЕР-65</t>
        </is>
      </c>
      <c r="EO1432" t="inlineStr"/>
      <c r="EQ1432" t="n">
        <v>0</v>
      </c>
      <c r="ER1432" t="n">
        <v>172.88</v>
      </c>
      <c r="ES1432" t="n">
        <v>172.88</v>
      </c>
      <c r="ET1432" t="n">
        <v>0</v>
      </c>
      <c r="EU1432" t="n">
        <v>0</v>
      </c>
      <c r="EV1432" t="n">
        <v>0</v>
      </c>
      <c r="EW1432" t="n">
        <v>0</v>
      </c>
      <c r="EX1432" t="n">
        <v>0</v>
      </c>
      <c r="FQ1432" t="n">
        <v>0</v>
      </c>
      <c r="FR1432" t="n">
        <v>0</v>
      </c>
      <c r="FS1432" t="n">
        <v>0</v>
      </c>
      <c r="FX1432" t="n">
        <v>103</v>
      </c>
      <c r="FY1432" t="n">
        <v>52</v>
      </c>
      <c r="GA1432" t="inlineStr"/>
      <c r="GD1432" t="n">
        <v>1</v>
      </c>
      <c r="GF1432" t="n">
        <v>-1542320480</v>
      </c>
      <c r="GG1432" t="n">
        <v>2</v>
      </c>
      <c r="GH1432" t="n">
        <v>1</v>
      </c>
      <c r="GI1432" t="n">
        <v>2</v>
      </c>
      <c r="GJ1432" t="n">
        <v>0</v>
      </c>
      <c r="GK1432" t="n">
        <v>0</v>
      </c>
      <c r="GL1432">
        <f>ROUND(IF(AND(BH1432=3,BI1432=3,FS1432&lt;&gt;0),P1432,0),0)</f>
        <v/>
      </c>
      <c r="GM1432">
        <f>ROUND(O1432+X1432+Y1432,0)+GX1432</f>
        <v/>
      </c>
      <c r="GN1432">
        <f>IF(OR(BI1432=0,BI1432=1),GM1432-GX1432,0)</f>
        <v/>
      </c>
      <c r="GO1432">
        <f>IF(BI1432=2,GM1432-GX1432,0)</f>
        <v/>
      </c>
      <c r="GP1432">
        <f>IF(BI1432=4,GM1432-GX1432,0)</f>
        <v/>
      </c>
      <c r="GR1432" t="n">
        <v>0</v>
      </c>
      <c r="GS1432" t="n">
        <v>3</v>
      </c>
      <c r="GT1432" t="n">
        <v>0</v>
      </c>
      <c r="GU1432" t="inlineStr"/>
      <c r="GV1432">
        <f>ROUND((GT1432),2)</f>
        <v/>
      </c>
      <c r="GW1432" t="n">
        <v>1</v>
      </c>
      <c r="GX1432">
        <f>ROUND(HC1432*I1432,0)</f>
        <v/>
      </c>
      <c r="HA1432" t="n">
        <v>0</v>
      </c>
      <c r="HB1432" t="n">
        <v>0</v>
      </c>
      <c r="HC1432">
        <f>GV1432*GW1432</f>
        <v/>
      </c>
      <c r="HE1432" t="inlineStr"/>
      <c r="HF1432" t="inlineStr"/>
      <c r="HM1432" t="inlineStr"/>
      <c r="HN1432" t="inlineStr">
        <is>
          <t>Пр/812-099.2-1</t>
        </is>
      </c>
      <c r="HO1432" t="inlineStr">
        <is>
          <t>Пр/774-099.2</t>
        </is>
      </c>
      <c r="HP1432" t="inlineStr">
        <is>
          <t>Внутренние санитарнотехнические работы: смена труб, санприборов, запорной арматуры и другое</t>
        </is>
      </c>
      <c r="HQ1432" t="inlineStr">
        <is>
          <t>Внутренние санитарнотехнические работы: смена труб, санприборов, запорной арматуры и другое</t>
        </is>
      </c>
      <c r="HS1432" t="n">
        <v>0</v>
      </c>
      <c r="IK1432" t="n">
        <v>0</v>
      </c>
    </row>
    <row r="1433">
      <c r="A1433" t="n">
        <v>18</v>
      </c>
      <c r="B1433" t="n">
        <v>0</v>
      </c>
      <c r="C1433" t="n">
        <v>692</v>
      </c>
      <c r="E1433" t="inlineStr">
        <is>
          <t>3,4</t>
        </is>
      </c>
      <c r="F1433" t="inlineStr">
        <is>
          <t>507-5010</t>
        </is>
      </c>
      <c r="G1433" t="inlineStr">
        <is>
          <t>Муфта полипропиленовая соединительная диаметром 40 мм</t>
        </is>
      </c>
      <c r="H1433" t="inlineStr">
        <is>
          <t>10 шт.</t>
        </is>
      </c>
      <c r="I1433">
        <f>I1429*J1433</f>
        <v/>
      </c>
      <c r="J1433" t="n">
        <v>3.333333333333333</v>
      </c>
      <c r="K1433" t="n">
        <v>3.3333333</v>
      </c>
      <c r="O1433">
        <f>ROUND(CP1433,0)</f>
        <v/>
      </c>
      <c r="P1433">
        <f>ROUND(CQ1433*I1433,0)</f>
        <v/>
      </c>
      <c r="Q1433">
        <f>(ROUND((ROUND(((ET1433)*I1433),0)*BB1433),0)+ROUND((ROUND(((AE1433-(EU1433))*I1433),0)*BS1433),0))</f>
        <v/>
      </c>
      <c r="R1433">
        <f>(ROUND((ROUND(((EU1433)*I1433),0)*BS1433),0)+ROUND((ROUND(((AE1433-(EU1433))*I1433),0)*BS1433),0))</f>
        <v/>
      </c>
      <c r="S1433">
        <f>ROUND(CT1433*I1433,0)</f>
        <v/>
      </c>
      <c r="T1433">
        <f>ROUND(CU1433*I1433,0)</f>
        <v/>
      </c>
      <c r="U1433">
        <f>ROUND(CV1433*I1433,7)</f>
        <v/>
      </c>
      <c r="V1433">
        <f>ROUND(CW1433*I1433,7)</f>
        <v/>
      </c>
      <c r="W1433">
        <f>ROUND(CX1433*I1433,0)</f>
        <v/>
      </c>
      <c r="X1433">
        <f>ROUND(CY1433,0)</f>
        <v/>
      </c>
      <c r="Y1433">
        <f>ROUND(CZ1433,0)</f>
        <v/>
      </c>
      <c r="AA1433" t="n">
        <v>78869116</v>
      </c>
      <c r="AB1433">
        <f>ROUND((AC1433+AD1433+AF1433),2)</f>
        <v/>
      </c>
      <c r="AC1433">
        <f>ROUND((ES1433),2)</f>
        <v/>
      </c>
      <c r="AD1433">
        <f>ROUND((((ET1433)-(EU1433))+AE1433),2)</f>
        <v/>
      </c>
      <c r="AE1433">
        <f>ROUND((EU1433),2)</f>
        <v/>
      </c>
      <c r="AF1433">
        <f>ROUND((EV1433),2)</f>
        <v/>
      </c>
      <c r="AG1433">
        <f>ROUND((AP1433),2)</f>
        <v/>
      </c>
      <c r="AH1433">
        <f>(EW1433)</f>
        <v/>
      </c>
      <c r="AI1433">
        <f>(EX1433)</f>
        <v/>
      </c>
      <c r="AJ1433">
        <f>(AS1433)</f>
        <v/>
      </c>
      <c r="AK1433" t="n">
        <v>24.9</v>
      </c>
      <c r="AL1433" t="n">
        <v>24.9</v>
      </c>
      <c r="AM1433" t="n">
        <v>0</v>
      </c>
      <c r="AN1433" t="n">
        <v>0</v>
      </c>
      <c r="AO1433" t="n">
        <v>0</v>
      </c>
      <c r="AP1433" t="n">
        <v>0</v>
      </c>
      <c r="AQ1433" t="n">
        <v>0</v>
      </c>
      <c r="AR1433" t="n">
        <v>0</v>
      </c>
      <c r="AS1433" t="n">
        <v>0.02</v>
      </c>
      <c r="AT1433" t="n">
        <v>103</v>
      </c>
      <c r="AU1433" t="n">
        <v>52</v>
      </c>
      <c r="AV1433" t="n">
        <v>1</v>
      </c>
      <c r="AW1433" t="n">
        <v>1</v>
      </c>
      <c r="AZ1433" t="n">
        <v>1</v>
      </c>
      <c r="BA1433" t="n">
        <v>1</v>
      </c>
      <c r="BB1433" t="n">
        <v>1</v>
      </c>
      <c r="BC1433" t="n">
        <v>8.220000000000001</v>
      </c>
      <c r="BD1433" t="inlineStr"/>
      <c r="BE1433" t="inlineStr"/>
      <c r="BF1433" t="inlineStr"/>
      <c r="BG1433" t="inlineStr"/>
      <c r="BH1433" t="n">
        <v>3</v>
      </c>
      <c r="BI1433" t="n">
        <v>1</v>
      </c>
      <c r="BJ1433" t="inlineStr">
        <is>
          <t>ТССЦ Московской обл., 507-5010, приказ Минстроя России №675/пр от 28.02.2017 № 258/пр</t>
        </is>
      </c>
      <c r="BM1433" t="n">
        <v>65007</v>
      </c>
      <c r="BN1433" t="n">
        <v>0</v>
      </c>
      <c r="BO1433" t="inlineStr">
        <is>
          <t>507-5010</t>
        </is>
      </c>
      <c r="BP1433" t="n">
        <v>1</v>
      </c>
      <c r="BQ1433" t="n">
        <v>6</v>
      </c>
      <c r="BR1433" t="n">
        <v>0</v>
      </c>
      <c r="BS1433" t="n">
        <v>1</v>
      </c>
      <c r="BT1433" t="n">
        <v>1</v>
      </c>
      <c r="BU1433" t="n">
        <v>1</v>
      </c>
      <c r="BV1433" t="n">
        <v>1</v>
      </c>
      <c r="BW1433" t="n">
        <v>1</v>
      </c>
      <c r="BX1433" t="n">
        <v>1</v>
      </c>
      <c r="BY1433" t="inlineStr"/>
      <c r="BZ1433" t="n">
        <v>103</v>
      </c>
      <c r="CA1433" t="n">
        <v>52</v>
      </c>
      <c r="CB1433" t="inlineStr"/>
      <c r="CE1433" t="n">
        <v>12</v>
      </c>
      <c r="CF1433" t="n">
        <v>0</v>
      </c>
      <c r="CG1433" t="n">
        <v>0</v>
      </c>
      <c r="CM1433" t="n">
        <v>0</v>
      </c>
      <c r="CN1433" t="inlineStr"/>
      <c r="CO1433" t="n">
        <v>0</v>
      </c>
      <c r="CP1433">
        <f>(P1433+Q1433+S1433)</f>
        <v/>
      </c>
      <c r="CQ1433">
        <f>AC1433*BC1433</f>
        <v/>
      </c>
      <c r="CR1433">
        <f>(ROUND((ROUND(((ET1433)*1),0)*BB1433),0)+ROUND((ROUND(((AE1433-(EU1433))*1),0)*BS1433),0))</f>
        <v/>
      </c>
      <c r="CS1433">
        <f>(ROUND((ROUND(((EU1433)*1),0)*BS1433),0)+ROUND((ROUND(((AE1433-(EU1433))*1),0)*BS1433),0))</f>
        <v/>
      </c>
      <c r="CT1433">
        <f>AF1433*BA1433</f>
        <v/>
      </c>
      <c r="CU1433">
        <f>AG1433</f>
        <v/>
      </c>
      <c r="CV1433">
        <f>AH1433</f>
        <v/>
      </c>
      <c r="CW1433">
        <f>AI1433</f>
        <v/>
      </c>
      <c r="CX1433">
        <f>AJ1433</f>
        <v/>
      </c>
      <c r="CY1433">
        <f>(((S1433+R1433)*AT1433)/100)</f>
        <v/>
      </c>
      <c r="CZ1433">
        <f>(((S1433+R1433)*AU1433)/100)</f>
        <v/>
      </c>
      <c r="DC1433" t="inlineStr"/>
      <c r="DD1433" t="inlineStr"/>
      <c r="DE1433" t="inlineStr"/>
      <c r="DF1433" t="inlineStr"/>
      <c r="DG1433" t="inlineStr"/>
      <c r="DH1433" t="inlineStr"/>
      <c r="DI1433" t="inlineStr"/>
      <c r="DJ1433" t="inlineStr"/>
      <c r="DK1433" t="inlineStr"/>
      <c r="DL1433" t="inlineStr"/>
      <c r="DM1433" t="inlineStr"/>
      <c r="DN1433" t="n">
        <v>0</v>
      </c>
      <c r="DO1433" t="n">
        <v>0</v>
      </c>
      <c r="DP1433" t="n">
        <v>1</v>
      </c>
      <c r="DQ1433" t="n">
        <v>1</v>
      </c>
      <c r="DU1433" t="n">
        <v>1010</v>
      </c>
      <c r="DV1433" t="inlineStr">
        <is>
          <t>10 шт.</t>
        </is>
      </c>
      <c r="DW1433" t="inlineStr">
        <is>
          <t>10 шт.</t>
        </is>
      </c>
      <c r="DX1433" t="n">
        <v>10</v>
      </c>
      <c r="DZ1433" t="inlineStr"/>
      <c r="EA1433" t="inlineStr"/>
      <c r="EB1433" t="inlineStr"/>
      <c r="EC1433" t="inlineStr"/>
      <c r="EE1433" t="n">
        <v>78726000</v>
      </c>
      <c r="EF1433" t="n">
        <v>6</v>
      </c>
      <c r="EG1433" t="inlineStr">
        <is>
          <t>Ремонтно-строительные работы</t>
        </is>
      </c>
      <c r="EH1433" t="n">
        <v>99</v>
      </c>
      <c r="EI1433" t="inlineStr">
        <is>
          <t>Внутренние санитарно-технические работы</t>
        </is>
      </c>
      <c r="EJ1433" t="n">
        <v>1</v>
      </c>
      <c r="EK1433" t="n">
        <v>65007</v>
      </c>
      <c r="EL1433" t="inlineStr">
        <is>
          <t>Внутренние санитарнотехнические работы: смена труб, санприборов, запорной арматуры и другое</t>
        </is>
      </c>
      <c r="EM1433" t="inlineStr">
        <is>
          <t>рФЕР-65</t>
        </is>
      </c>
      <c r="EO1433" t="inlineStr"/>
      <c r="EQ1433" t="n">
        <v>0</v>
      </c>
      <c r="ER1433" t="n">
        <v>24.9</v>
      </c>
      <c r="ES1433" t="n">
        <v>24.9</v>
      </c>
      <c r="ET1433" t="n">
        <v>0</v>
      </c>
      <c r="EU1433" t="n">
        <v>0</v>
      </c>
      <c r="EV1433" t="n">
        <v>0</v>
      </c>
      <c r="EW1433" t="n">
        <v>0</v>
      </c>
      <c r="EX1433" t="n">
        <v>0</v>
      </c>
      <c r="FQ1433" t="n">
        <v>0</v>
      </c>
      <c r="FR1433" t="n">
        <v>0</v>
      </c>
      <c r="FS1433" t="n">
        <v>0</v>
      </c>
      <c r="FX1433" t="n">
        <v>103</v>
      </c>
      <c r="FY1433" t="n">
        <v>52</v>
      </c>
      <c r="GA1433" t="inlineStr"/>
      <c r="GD1433" t="n">
        <v>1</v>
      </c>
      <c r="GF1433" t="n">
        <v>1049066160</v>
      </c>
      <c r="GG1433" t="n">
        <v>2</v>
      </c>
      <c r="GH1433" t="n">
        <v>1</v>
      </c>
      <c r="GI1433" t="n">
        <v>2</v>
      </c>
      <c r="GJ1433" t="n">
        <v>0</v>
      </c>
      <c r="GK1433" t="n">
        <v>0</v>
      </c>
      <c r="GL1433">
        <f>ROUND(IF(AND(BH1433=3,BI1433=3,FS1433&lt;&gt;0),P1433,0),0)</f>
        <v/>
      </c>
      <c r="GM1433">
        <f>ROUND(O1433+X1433+Y1433,0)+GX1433</f>
        <v/>
      </c>
      <c r="GN1433">
        <f>IF(OR(BI1433=0,BI1433=1),GM1433-GX1433,0)</f>
        <v/>
      </c>
      <c r="GO1433">
        <f>IF(BI1433=2,GM1433-GX1433,0)</f>
        <v/>
      </c>
      <c r="GP1433">
        <f>IF(BI1433=4,GM1433-GX1433,0)</f>
        <v/>
      </c>
      <c r="GR1433" t="n">
        <v>0</v>
      </c>
      <c r="GS1433" t="n">
        <v>3</v>
      </c>
      <c r="GT1433" t="n">
        <v>0</v>
      </c>
      <c r="GU1433" t="inlineStr"/>
      <c r="GV1433">
        <f>ROUND((GT1433),2)</f>
        <v/>
      </c>
      <c r="GW1433" t="n">
        <v>1</v>
      </c>
      <c r="GX1433">
        <f>ROUND(HC1433*I1433,0)</f>
        <v/>
      </c>
      <c r="HA1433" t="n">
        <v>0</v>
      </c>
      <c r="HB1433" t="n">
        <v>0</v>
      </c>
      <c r="HC1433">
        <f>GV1433*GW1433</f>
        <v/>
      </c>
      <c r="HE1433" t="inlineStr"/>
      <c r="HF1433" t="inlineStr"/>
      <c r="HM1433" t="inlineStr"/>
      <c r="HN1433" t="inlineStr">
        <is>
          <t>Пр/812-099.2-1</t>
        </is>
      </c>
      <c r="HO1433" t="inlineStr">
        <is>
          <t>Пр/774-099.2</t>
        </is>
      </c>
      <c r="HP1433" t="inlineStr">
        <is>
          <t>Внутренние санитарнотехнические работы: смена труб, санприборов, запорной арматуры и другое</t>
        </is>
      </c>
      <c r="HQ1433" t="inlineStr">
        <is>
          <t>Внутренние санитарнотехнические работы: смена труб, санприборов, запорной арматуры и другое</t>
        </is>
      </c>
      <c r="HS1433" t="n">
        <v>0</v>
      </c>
      <c r="IK1433" t="n">
        <v>0</v>
      </c>
    </row>
    <row r="1434">
      <c r="A1434" t="n">
        <v>17</v>
      </c>
      <c r="B1434" t="n">
        <v>0</v>
      </c>
      <c r="C1434">
        <f>ROW(SmtRes!A701)</f>
        <v/>
      </c>
      <c r="D1434">
        <f>ROW(EtalonRes!A643)</f>
        <v/>
      </c>
      <c r="E1434" t="inlineStr">
        <is>
          <t>4</t>
        </is>
      </c>
      <c r="F1434" t="inlineStr">
        <is>
          <t>65-16-3</t>
        </is>
      </c>
      <c r="G1434" t="inlineStr">
        <is>
          <t>Смена сгонов у трубопроводов диаметром до 50 мм</t>
        </is>
      </c>
      <c r="H1434" t="inlineStr">
        <is>
          <t>100 сгонов</t>
        </is>
      </c>
      <c r="I1434">
        <f>ROUND(ROUND(1/100,4),7)</f>
        <v/>
      </c>
      <c r="J1434" t="n">
        <v>0</v>
      </c>
      <c r="K1434">
        <f>ROUND(ROUND(1/100,4),7)</f>
        <v/>
      </c>
      <c r="O1434">
        <f>ROUND(CP1434,0)</f>
        <v/>
      </c>
      <c r="P1434">
        <f>ROUND(CQ1434*I1434,0)</f>
        <v/>
      </c>
      <c r="Q1434">
        <f>(ROUND((ROUND(((ET1434)*I1434),0)*BB1434),0)+ROUND((ROUND(((AE1434-(EU1434))*I1434),0)*BS1434),0))</f>
        <v/>
      </c>
      <c r="R1434">
        <f>(ROUND((ROUND(((EU1434)*I1434),0)*BS1434),0)+ROUND((ROUND(((AE1434-(EU1434))*I1434),0)*BS1434),0))</f>
        <v/>
      </c>
      <c r="S1434">
        <f>ROUND(CT1434*I1434,0)</f>
        <v/>
      </c>
      <c r="T1434">
        <f>ROUND(CU1434*I1434,0)</f>
        <v/>
      </c>
      <c r="U1434">
        <f>ROUND(CV1434*I1434,7)</f>
        <v/>
      </c>
      <c r="V1434">
        <f>ROUND(CW1434*I1434,7)</f>
        <v/>
      </c>
      <c r="W1434">
        <f>ROUND(CX1434*I1434,0)</f>
        <v/>
      </c>
      <c r="X1434">
        <f>ROUND(CY1434,0)</f>
        <v/>
      </c>
      <c r="Y1434">
        <f>ROUND(CZ1434,0)</f>
        <v/>
      </c>
      <c r="AA1434" t="n">
        <v>78869116</v>
      </c>
      <c r="AB1434">
        <f>ROUND((AC1434+AD1434+AF1434),2)</f>
        <v/>
      </c>
      <c r="AC1434">
        <f>ROUND((ES1434),2)</f>
        <v/>
      </c>
      <c r="AD1434">
        <f>ROUND((((ET1434)-(EU1434))+AE1434),2)</f>
        <v/>
      </c>
      <c r="AE1434">
        <f>ROUND((EU1434),2)</f>
        <v/>
      </c>
      <c r="AF1434">
        <f>ROUND((EV1434),2)</f>
        <v/>
      </c>
      <c r="AG1434">
        <f>ROUND((AP1434),2)</f>
        <v/>
      </c>
      <c r="AH1434">
        <f>(EW1434)</f>
        <v/>
      </c>
      <c r="AI1434">
        <f>(EX1434)</f>
        <v/>
      </c>
      <c r="AJ1434">
        <f>(AS1434)</f>
        <v/>
      </c>
      <c r="AK1434" t="n">
        <v>3617.87</v>
      </c>
      <c r="AL1434" t="n">
        <v>2939.22</v>
      </c>
      <c r="AM1434" t="n">
        <v>3.44</v>
      </c>
      <c r="AN1434" t="n">
        <v>1.49</v>
      </c>
      <c r="AO1434" t="n">
        <v>675.21</v>
      </c>
      <c r="AP1434" t="n">
        <v>0</v>
      </c>
      <c r="AQ1434" t="n">
        <v>71</v>
      </c>
      <c r="AR1434" t="n">
        <v>0.11</v>
      </c>
      <c r="AS1434" t="n">
        <v>0</v>
      </c>
      <c r="AT1434" t="n">
        <v>103</v>
      </c>
      <c r="AU1434" t="n">
        <v>52</v>
      </c>
      <c r="AV1434" t="n">
        <v>1</v>
      </c>
      <c r="AW1434" t="n">
        <v>1</v>
      </c>
      <c r="AZ1434" t="n">
        <v>1</v>
      </c>
      <c r="BA1434" t="n">
        <v>52.25</v>
      </c>
      <c r="BB1434" t="n">
        <v>23.31</v>
      </c>
      <c r="BC1434" t="n">
        <v>13.54</v>
      </c>
      <c r="BD1434" t="inlineStr"/>
      <c r="BE1434" t="inlineStr"/>
      <c r="BF1434" t="inlineStr"/>
      <c r="BG1434" t="inlineStr"/>
      <c r="BH1434" t="n">
        <v>0</v>
      </c>
      <c r="BI1434" t="n">
        <v>1</v>
      </c>
      <c r="BJ1434" t="inlineStr">
        <is>
          <t>ТЕРр Московской обл., 65-16-3, приказ Минстроя России №675/пр от 28.02.2017 № 263/пр</t>
        </is>
      </c>
      <c r="BM1434" t="n">
        <v>65008</v>
      </c>
      <c r="BN1434" t="n">
        <v>0</v>
      </c>
      <c r="BO1434" t="inlineStr">
        <is>
          <t>65-16-3</t>
        </is>
      </c>
      <c r="BP1434" t="n">
        <v>1</v>
      </c>
      <c r="BQ1434" t="n">
        <v>6</v>
      </c>
      <c r="BR1434" t="n">
        <v>0</v>
      </c>
      <c r="BS1434" t="n">
        <v>52.25</v>
      </c>
      <c r="BT1434" t="n">
        <v>1</v>
      </c>
      <c r="BU1434" t="n">
        <v>1</v>
      </c>
      <c r="BV1434" t="n">
        <v>1</v>
      </c>
      <c r="BW1434" t="n">
        <v>1</v>
      </c>
      <c r="BX1434" t="n">
        <v>1</v>
      </c>
      <c r="BY1434" t="inlineStr"/>
      <c r="BZ1434" t="n">
        <v>103</v>
      </c>
      <c r="CA1434" t="n">
        <v>52</v>
      </c>
      <c r="CB1434" t="inlineStr"/>
      <c r="CE1434" t="n">
        <v>12</v>
      </c>
      <c r="CF1434" t="n">
        <v>0</v>
      </c>
      <c r="CG1434" t="n">
        <v>0</v>
      </c>
      <c r="CM1434" t="n">
        <v>0</v>
      </c>
      <c r="CN1434" t="inlineStr"/>
      <c r="CO1434" t="n">
        <v>0</v>
      </c>
      <c r="CP1434">
        <f>(P1434+Q1434+S1434)</f>
        <v/>
      </c>
      <c r="CQ1434">
        <f>AC1434*BC1434</f>
        <v/>
      </c>
      <c r="CR1434">
        <f>(ROUND((ROUND(((ET1434)*1),0)*BB1434),0)+ROUND((ROUND(((AE1434-(EU1434))*1),0)*BS1434),0))</f>
        <v/>
      </c>
      <c r="CS1434">
        <f>(ROUND((ROUND(((EU1434)*1),0)*BS1434),0)+ROUND((ROUND(((AE1434-(EU1434))*1),0)*BS1434),0))</f>
        <v/>
      </c>
      <c r="CT1434">
        <f>AF1434*BA1434</f>
        <v/>
      </c>
      <c r="CU1434">
        <f>AG1434</f>
        <v/>
      </c>
      <c r="CV1434">
        <f>AH1434</f>
        <v/>
      </c>
      <c r="CW1434">
        <f>AI1434</f>
        <v/>
      </c>
      <c r="CX1434">
        <f>AJ1434</f>
        <v/>
      </c>
      <c r="CY1434">
        <f>(((S1434+R1434)*AT1434)/100)</f>
        <v/>
      </c>
      <c r="CZ1434">
        <f>(((S1434+R1434)*AU1434)/100)</f>
        <v/>
      </c>
      <c r="DC1434" t="inlineStr"/>
      <c r="DD1434" t="inlineStr"/>
      <c r="DE1434" t="inlineStr"/>
      <c r="DF1434" t="inlineStr"/>
      <c r="DG1434" t="inlineStr"/>
      <c r="DH1434" t="inlineStr"/>
      <c r="DI1434" t="inlineStr"/>
      <c r="DJ1434" t="inlineStr"/>
      <c r="DK1434" t="inlineStr"/>
      <c r="DL1434" t="inlineStr"/>
      <c r="DM1434" t="inlineStr"/>
      <c r="DN1434" t="n">
        <v>0</v>
      </c>
      <c r="DO1434" t="n">
        <v>0</v>
      </c>
      <c r="DP1434" t="n">
        <v>1</v>
      </c>
      <c r="DQ1434" t="n">
        <v>1</v>
      </c>
      <c r="DU1434" t="n">
        <v>1013</v>
      </c>
      <c r="DV1434" t="inlineStr">
        <is>
          <t>100 сгонов</t>
        </is>
      </c>
      <c r="DW1434" t="inlineStr">
        <is>
          <t>100 сгонов</t>
        </is>
      </c>
      <c r="DX1434" t="n">
        <v>1</v>
      </c>
      <c r="DZ1434" t="inlineStr"/>
      <c r="EA1434" t="inlineStr"/>
      <c r="EB1434" t="inlineStr"/>
      <c r="EC1434" t="inlineStr"/>
      <c r="EE1434" t="n">
        <v>78726002</v>
      </c>
      <c r="EF1434" t="n">
        <v>6</v>
      </c>
      <c r="EG1434" t="inlineStr">
        <is>
          <t>Ремонтно-строительные работы</t>
        </is>
      </c>
      <c r="EH1434" t="n">
        <v>99</v>
      </c>
      <c r="EI1434" t="inlineStr">
        <is>
          <t>Внутренние санитарно-технические работы</t>
        </is>
      </c>
      <c r="EJ1434" t="n">
        <v>1</v>
      </c>
      <c r="EK1434" t="n">
        <v>65008</v>
      </c>
      <c r="EL1434" t="inlineStr">
        <is>
          <t>Внутренние санитарнотехнические работы: смена труб, санприборов, запорной арматуры и другое</t>
        </is>
      </c>
      <c r="EM1434" t="inlineStr">
        <is>
          <t>рФЕР-65</t>
        </is>
      </c>
      <c r="EO1434" t="inlineStr"/>
      <c r="EQ1434" t="n">
        <v>0</v>
      </c>
      <c r="ER1434" t="n">
        <v>3617.87</v>
      </c>
      <c r="ES1434" t="n">
        <v>2939.22</v>
      </c>
      <c r="ET1434" t="n">
        <v>3.44</v>
      </c>
      <c r="EU1434" t="n">
        <v>1.49</v>
      </c>
      <c r="EV1434" t="n">
        <v>675.21</v>
      </c>
      <c r="EW1434" t="n">
        <v>71</v>
      </c>
      <c r="EX1434" t="n">
        <v>0.11</v>
      </c>
      <c r="EY1434" t="n">
        <v>0</v>
      </c>
      <c r="FQ1434" t="n">
        <v>0</v>
      </c>
      <c r="FR1434" t="n">
        <v>0</v>
      </c>
      <c r="FS1434" t="n">
        <v>0</v>
      </c>
      <c r="FX1434" t="n">
        <v>103</v>
      </c>
      <c r="FY1434" t="n">
        <v>52</v>
      </c>
      <c r="GA1434" t="inlineStr"/>
      <c r="GD1434" t="n">
        <v>1</v>
      </c>
      <c r="GF1434" t="n">
        <v>-737459077</v>
      </c>
      <c r="GG1434" t="n">
        <v>2</v>
      </c>
      <c r="GH1434" t="n">
        <v>1</v>
      </c>
      <c r="GI1434" t="n">
        <v>2</v>
      </c>
      <c r="GJ1434" t="n">
        <v>0</v>
      </c>
      <c r="GK1434" t="n">
        <v>0</v>
      </c>
      <c r="GL1434">
        <f>ROUND(IF(AND(BH1434=3,BI1434=3,FS1434&lt;&gt;0),P1434,0),0)</f>
        <v/>
      </c>
      <c r="GM1434">
        <f>ROUND(O1434+X1434+Y1434,0)+GX1434</f>
        <v/>
      </c>
      <c r="GN1434">
        <f>IF(OR(BI1434=0,BI1434=1),GM1434-GX1434,0)</f>
        <v/>
      </c>
      <c r="GO1434">
        <f>IF(BI1434=2,GM1434-GX1434,0)</f>
        <v/>
      </c>
      <c r="GP1434">
        <f>IF(BI1434=4,GM1434-GX1434,0)</f>
        <v/>
      </c>
      <c r="GR1434" t="n">
        <v>0</v>
      </c>
      <c r="GS1434" t="n">
        <v>3</v>
      </c>
      <c r="GT1434" t="n">
        <v>0</v>
      </c>
      <c r="GU1434" t="inlineStr"/>
      <c r="GV1434">
        <f>ROUND((GT1434),2)</f>
        <v/>
      </c>
      <c r="GW1434" t="n">
        <v>1</v>
      </c>
      <c r="GX1434">
        <f>ROUND(HC1434*I1434,0)</f>
        <v/>
      </c>
      <c r="HA1434" t="n">
        <v>0</v>
      </c>
      <c r="HB1434" t="n">
        <v>0</v>
      </c>
      <c r="HC1434">
        <f>GV1434*GW1434</f>
        <v/>
      </c>
      <c r="HE1434" t="inlineStr"/>
      <c r="HF1434" t="inlineStr"/>
      <c r="HM1434" t="inlineStr"/>
      <c r="HN1434" t="inlineStr">
        <is>
          <t>Пр/812-099.2-1</t>
        </is>
      </c>
      <c r="HO1434" t="inlineStr">
        <is>
          <t>Пр/774-099.2</t>
        </is>
      </c>
      <c r="HP1434" t="inlineStr">
        <is>
          <t>Внутренние санитарнотехнические работы: смена труб, санприборов, запорной арматуры и другое</t>
        </is>
      </c>
      <c r="HQ1434" t="inlineStr">
        <is>
          <t>Внутренние санитарнотехнические работы: смена труб, санприборов, запорной арматуры и другое</t>
        </is>
      </c>
      <c r="HS1434" t="n">
        <v>0</v>
      </c>
      <c r="IK1434" t="n">
        <v>0</v>
      </c>
    </row>
    <row r="1435">
      <c r="A1435" t="n">
        <v>18</v>
      </c>
      <c r="B1435" t="n">
        <v>0</v>
      </c>
      <c r="C1435" t="n">
        <v>701</v>
      </c>
      <c r="E1435" t="inlineStr">
        <is>
          <t>4,1</t>
        </is>
      </c>
      <c r="F1435" t="inlineStr">
        <is>
          <t>302-1241</t>
        </is>
      </c>
      <c r="G1435" t="inlineStr">
        <is>
          <t>Сгоны стальные с муфтой и контргайкой, диаметром 50 мм</t>
        </is>
      </c>
      <c r="H1435" t="inlineStr">
        <is>
          <t>шт.</t>
        </is>
      </c>
      <c r="I1435">
        <f>I1434*J1435</f>
        <v/>
      </c>
      <c r="J1435" t="n">
        <v>-100</v>
      </c>
      <c r="K1435" t="n">
        <v>-100</v>
      </c>
      <c r="O1435">
        <f>ROUND(CP1435,0)</f>
        <v/>
      </c>
      <c r="P1435">
        <f>ROUND(CQ1435*I1435,0)</f>
        <v/>
      </c>
      <c r="Q1435">
        <f>(ROUND((ROUND(((ET1435)*I1435),0)*BB1435),0)+ROUND((ROUND(((AE1435-(EU1435))*I1435),0)*BS1435),0))</f>
        <v/>
      </c>
      <c r="R1435">
        <f>(ROUND((ROUND(((EU1435)*I1435),0)*BS1435),0)+ROUND((ROUND(((AE1435-(EU1435))*I1435),0)*BS1435),0))</f>
        <v/>
      </c>
      <c r="S1435">
        <f>ROUND(CT1435*I1435,0)</f>
        <v/>
      </c>
      <c r="T1435">
        <f>ROUND(CU1435*I1435,0)</f>
        <v/>
      </c>
      <c r="U1435">
        <f>ROUND(CV1435*I1435,7)</f>
        <v/>
      </c>
      <c r="V1435">
        <f>ROUND(CW1435*I1435,7)</f>
        <v/>
      </c>
      <c r="W1435">
        <f>ROUND(CX1435*I1435,0)</f>
        <v/>
      </c>
      <c r="X1435">
        <f>ROUND(CY1435,0)</f>
        <v/>
      </c>
      <c r="Y1435">
        <f>ROUND(CZ1435,0)</f>
        <v/>
      </c>
      <c r="AA1435" t="n">
        <v>78869116</v>
      </c>
      <c r="AB1435">
        <f>ROUND((AC1435+AD1435+AF1435),2)</f>
        <v/>
      </c>
      <c r="AC1435">
        <f>ROUND((ES1435),2)</f>
        <v/>
      </c>
      <c r="AD1435">
        <f>ROUND((((ET1435)-(EU1435))+AE1435),2)</f>
        <v/>
      </c>
      <c r="AE1435">
        <f>ROUND((EU1435),2)</f>
        <v/>
      </c>
      <c r="AF1435">
        <f>ROUND((EV1435),2)</f>
        <v/>
      </c>
      <c r="AG1435">
        <f>ROUND((AP1435),2)</f>
        <v/>
      </c>
      <c r="AH1435">
        <f>(EW1435)</f>
        <v/>
      </c>
      <c r="AI1435">
        <f>(EX1435)</f>
        <v/>
      </c>
      <c r="AJ1435">
        <f>(AS1435)</f>
        <v/>
      </c>
      <c r="AK1435" t="n">
        <v>28.58</v>
      </c>
      <c r="AL1435" t="n">
        <v>28.58</v>
      </c>
      <c r="AM1435" t="n">
        <v>0</v>
      </c>
      <c r="AN1435" t="n">
        <v>0</v>
      </c>
      <c r="AO1435" t="n">
        <v>0</v>
      </c>
      <c r="AP1435" t="n">
        <v>0</v>
      </c>
      <c r="AQ1435" t="n">
        <v>0</v>
      </c>
      <c r="AR1435" t="n">
        <v>0</v>
      </c>
      <c r="AS1435" t="n">
        <v>0</v>
      </c>
      <c r="AT1435" t="n">
        <v>103</v>
      </c>
      <c r="AU1435" t="n">
        <v>52</v>
      </c>
      <c r="AV1435" t="n">
        <v>1</v>
      </c>
      <c r="AW1435" t="n">
        <v>1</v>
      </c>
      <c r="AZ1435" t="n">
        <v>1</v>
      </c>
      <c r="BA1435" t="n">
        <v>1</v>
      </c>
      <c r="BB1435" t="n">
        <v>1</v>
      </c>
      <c r="BC1435" t="n">
        <v>13.7</v>
      </c>
      <c r="BD1435" t="inlineStr"/>
      <c r="BE1435" t="inlineStr"/>
      <c r="BF1435" t="inlineStr"/>
      <c r="BG1435" t="inlineStr"/>
      <c r="BH1435" t="n">
        <v>3</v>
      </c>
      <c r="BI1435" t="n">
        <v>1</v>
      </c>
      <c r="BJ1435" t="inlineStr">
        <is>
          <t>ТССЦ Московской обл., 302-1241, приказ Минстроя России №675/пр от 28.02.2017 № 256/пр</t>
        </is>
      </c>
      <c r="BM1435" t="n">
        <v>65008</v>
      </c>
      <c r="BN1435" t="n">
        <v>0</v>
      </c>
      <c r="BO1435" t="inlineStr">
        <is>
          <t>302-1241</t>
        </is>
      </c>
      <c r="BP1435" t="n">
        <v>1</v>
      </c>
      <c r="BQ1435" t="n">
        <v>6</v>
      </c>
      <c r="BR1435" t="n">
        <v>1</v>
      </c>
      <c r="BS1435" t="n">
        <v>1</v>
      </c>
      <c r="BT1435" t="n">
        <v>1</v>
      </c>
      <c r="BU1435" t="n">
        <v>1</v>
      </c>
      <c r="BV1435" t="n">
        <v>1</v>
      </c>
      <c r="BW1435" t="n">
        <v>1</v>
      </c>
      <c r="BX1435" t="n">
        <v>1</v>
      </c>
      <c r="BY1435" t="inlineStr"/>
      <c r="BZ1435" t="n">
        <v>103</v>
      </c>
      <c r="CA1435" t="n">
        <v>52</v>
      </c>
      <c r="CB1435" t="inlineStr"/>
      <c r="CE1435" t="n">
        <v>12</v>
      </c>
      <c r="CF1435" t="n">
        <v>0</v>
      </c>
      <c r="CG1435" t="n">
        <v>0</v>
      </c>
      <c r="CM1435" t="n">
        <v>0</v>
      </c>
      <c r="CN1435" t="inlineStr"/>
      <c r="CO1435" t="n">
        <v>0</v>
      </c>
      <c r="CP1435">
        <f>(P1435+Q1435+S1435)</f>
        <v/>
      </c>
      <c r="CQ1435">
        <f>AC1435*BC1435</f>
        <v/>
      </c>
      <c r="CR1435">
        <f>(ROUND((ROUND(((ET1435)*1),0)*BB1435),0)+ROUND((ROUND(((AE1435-(EU1435))*1),0)*BS1435),0))</f>
        <v/>
      </c>
      <c r="CS1435">
        <f>(ROUND((ROUND(((EU1435)*1),0)*BS1435),0)+ROUND((ROUND(((AE1435-(EU1435))*1),0)*BS1435),0))</f>
        <v/>
      </c>
      <c r="CT1435">
        <f>AF1435*BA1435</f>
        <v/>
      </c>
      <c r="CU1435">
        <f>AG1435</f>
        <v/>
      </c>
      <c r="CV1435">
        <f>AH1435</f>
        <v/>
      </c>
      <c r="CW1435">
        <f>AI1435</f>
        <v/>
      </c>
      <c r="CX1435">
        <f>AJ1435</f>
        <v/>
      </c>
      <c r="CY1435">
        <f>(((S1435+R1435)*AT1435)/100)</f>
        <v/>
      </c>
      <c r="CZ1435">
        <f>(((S1435+R1435)*AU1435)/100)</f>
        <v/>
      </c>
      <c r="DC1435" t="inlineStr"/>
      <c r="DD1435" t="inlineStr"/>
      <c r="DE1435" t="inlineStr"/>
      <c r="DF1435" t="inlineStr"/>
      <c r="DG1435" t="inlineStr"/>
      <c r="DH1435" t="inlineStr"/>
      <c r="DI1435" t="inlineStr"/>
      <c r="DJ1435" t="inlineStr"/>
      <c r="DK1435" t="inlineStr"/>
      <c r="DL1435" t="inlineStr"/>
      <c r="DM1435" t="inlineStr"/>
      <c r="DN1435" t="n">
        <v>0</v>
      </c>
      <c r="DO1435" t="n">
        <v>0</v>
      </c>
      <c r="DP1435" t="n">
        <v>1</v>
      </c>
      <c r="DQ1435" t="n">
        <v>1</v>
      </c>
      <c r="DU1435" t="n">
        <v>1010</v>
      </c>
      <c r="DV1435" t="inlineStr">
        <is>
          <t>шт.</t>
        </is>
      </c>
      <c r="DW1435" t="inlineStr">
        <is>
          <t>шт.</t>
        </is>
      </c>
      <c r="DX1435" t="n">
        <v>1</v>
      </c>
      <c r="DZ1435" t="inlineStr"/>
      <c r="EA1435" t="inlineStr"/>
      <c r="EB1435" t="inlineStr"/>
      <c r="EC1435" t="inlineStr"/>
      <c r="EE1435" t="n">
        <v>78726002</v>
      </c>
      <c r="EF1435" t="n">
        <v>6</v>
      </c>
      <c r="EG1435" t="inlineStr">
        <is>
          <t>Ремонтно-строительные работы</t>
        </is>
      </c>
      <c r="EH1435" t="n">
        <v>99</v>
      </c>
      <c r="EI1435" t="inlineStr">
        <is>
          <t>Внутренние санитарно-технические работы</t>
        </is>
      </c>
      <c r="EJ1435" t="n">
        <v>1</v>
      </c>
      <c r="EK1435" t="n">
        <v>65008</v>
      </c>
      <c r="EL1435" t="inlineStr">
        <is>
          <t>Внутренние санитарнотехнические работы: смена труб, санприборов, запорной арматуры и другое</t>
        </is>
      </c>
      <c r="EM1435" t="inlineStr">
        <is>
          <t>рФЕР-65</t>
        </is>
      </c>
      <c r="EO1435" t="inlineStr"/>
      <c r="EQ1435" t="n">
        <v>32768</v>
      </c>
      <c r="ER1435" t="n">
        <v>28.58</v>
      </c>
      <c r="ES1435" t="n">
        <v>28.58</v>
      </c>
      <c r="ET1435" t="n">
        <v>0</v>
      </c>
      <c r="EU1435" t="n">
        <v>0</v>
      </c>
      <c r="EV1435" t="n">
        <v>0</v>
      </c>
      <c r="EW1435" t="n">
        <v>0</v>
      </c>
      <c r="EX1435" t="n">
        <v>0</v>
      </c>
      <c r="FQ1435" t="n">
        <v>0</v>
      </c>
      <c r="FR1435" t="n">
        <v>0</v>
      </c>
      <c r="FS1435" t="n">
        <v>0</v>
      </c>
      <c r="FX1435" t="n">
        <v>103</v>
      </c>
      <c r="FY1435" t="n">
        <v>52</v>
      </c>
      <c r="GA1435" t="inlineStr"/>
      <c r="GD1435" t="n">
        <v>1</v>
      </c>
      <c r="GF1435" t="n">
        <v>-1108176549</v>
      </c>
      <c r="GG1435" t="n">
        <v>2</v>
      </c>
      <c r="GH1435" t="n">
        <v>1</v>
      </c>
      <c r="GI1435" t="n">
        <v>2</v>
      </c>
      <c r="GJ1435" t="n">
        <v>0</v>
      </c>
      <c r="GK1435" t="n">
        <v>0</v>
      </c>
      <c r="GL1435">
        <f>ROUND(IF(AND(BH1435=3,BI1435=3,FS1435&lt;&gt;0),P1435,0),0)</f>
        <v/>
      </c>
      <c r="GM1435">
        <f>ROUND(O1435+X1435+Y1435,0)+GX1435</f>
        <v/>
      </c>
      <c r="GN1435">
        <f>IF(OR(BI1435=0,BI1435=1),GM1435-GX1435,0)</f>
        <v/>
      </c>
      <c r="GO1435">
        <f>IF(BI1435=2,GM1435-GX1435,0)</f>
        <v/>
      </c>
      <c r="GP1435">
        <f>IF(BI1435=4,GM1435-GX1435,0)</f>
        <v/>
      </c>
      <c r="GR1435" t="n">
        <v>0</v>
      </c>
      <c r="GS1435" t="n">
        <v>3</v>
      </c>
      <c r="GT1435" t="n">
        <v>0</v>
      </c>
      <c r="GU1435" t="inlineStr"/>
      <c r="GV1435">
        <f>ROUND((GT1435),2)</f>
        <v/>
      </c>
      <c r="GW1435" t="n">
        <v>1</v>
      </c>
      <c r="GX1435">
        <f>ROUND(HC1435*I1435,0)</f>
        <v/>
      </c>
      <c r="HA1435" t="n">
        <v>0</v>
      </c>
      <c r="HB1435" t="n">
        <v>0</v>
      </c>
      <c r="HC1435">
        <f>GV1435*GW1435</f>
        <v/>
      </c>
      <c r="HE1435" t="inlineStr"/>
      <c r="HF1435" t="inlineStr"/>
      <c r="HM1435" t="inlineStr"/>
      <c r="HN1435" t="inlineStr">
        <is>
          <t>Пр/812-099.2-1</t>
        </is>
      </c>
      <c r="HO1435" t="inlineStr">
        <is>
          <t>Пр/774-099.2</t>
        </is>
      </c>
      <c r="HP1435" t="inlineStr">
        <is>
          <t>Внутренние санитарнотехнические работы: смена труб, санприборов, запорной арматуры и другое</t>
        </is>
      </c>
      <c r="HQ1435" t="inlineStr">
        <is>
          <t>Внутренние санитарнотехнические работы: смена труб, санприборов, запорной арматуры и другое</t>
        </is>
      </c>
      <c r="HS1435" t="n">
        <v>0</v>
      </c>
      <c r="IK1435" t="n">
        <v>0</v>
      </c>
    </row>
    <row r="1436">
      <c r="A1436" t="n">
        <v>18</v>
      </c>
      <c r="B1436" t="n">
        <v>0</v>
      </c>
      <c r="C1436" t="n">
        <v>700</v>
      </c>
      <c r="E1436" t="inlineStr">
        <is>
          <t>4,2</t>
        </is>
      </c>
      <c r="F1436" t="inlineStr">
        <is>
          <t>302-1240</t>
        </is>
      </c>
      <c r="G1436" t="inlineStr">
        <is>
          <t>Сгоны стальные с муфтой и контргайкой, диаметром 40 мм</t>
        </is>
      </c>
      <c r="H1436" t="inlineStr">
        <is>
          <t>шт.</t>
        </is>
      </c>
      <c r="I1436">
        <f>I1434*J1436</f>
        <v/>
      </c>
      <c r="J1436" t="n">
        <v>100</v>
      </c>
      <c r="K1436" t="n">
        <v>100</v>
      </c>
      <c r="O1436">
        <f>ROUND(CP1436,0)</f>
        <v/>
      </c>
      <c r="P1436">
        <f>ROUND(CQ1436*I1436,0)</f>
        <v/>
      </c>
      <c r="Q1436">
        <f>(ROUND((ROUND(((ET1436)*I1436),0)*BB1436),0)+ROUND((ROUND(((AE1436-(EU1436))*I1436),0)*BS1436),0))</f>
        <v/>
      </c>
      <c r="R1436">
        <f>(ROUND((ROUND(((EU1436)*I1436),0)*BS1436),0)+ROUND((ROUND(((AE1436-(EU1436))*I1436),0)*BS1436),0))</f>
        <v/>
      </c>
      <c r="S1436">
        <f>ROUND(CT1436*I1436,0)</f>
        <v/>
      </c>
      <c r="T1436">
        <f>ROUND(CU1436*I1436,0)</f>
        <v/>
      </c>
      <c r="U1436">
        <f>ROUND(CV1436*I1436,7)</f>
        <v/>
      </c>
      <c r="V1436">
        <f>ROUND(CW1436*I1436,7)</f>
        <v/>
      </c>
      <c r="W1436">
        <f>ROUND(CX1436*I1436,0)</f>
        <v/>
      </c>
      <c r="X1436">
        <f>ROUND(CY1436,0)</f>
        <v/>
      </c>
      <c r="Y1436">
        <f>ROUND(CZ1436,0)</f>
        <v/>
      </c>
      <c r="AA1436" t="n">
        <v>78869116</v>
      </c>
      <c r="AB1436">
        <f>ROUND((AC1436+AD1436+AF1436),2)</f>
        <v/>
      </c>
      <c r="AC1436">
        <f>ROUND((ES1436),2)</f>
        <v/>
      </c>
      <c r="AD1436">
        <f>ROUND((((ET1436)-(EU1436))+AE1436),2)</f>
        <v/>
      </c>
      <c r="AE1436">
        <f>ROUND((EU1436),2)</f>
        <v/>
      </c>
      <c r="AF1436">
        <f>ROUND((EV1436),2)</f>
        <v/>
      </c>
      <c r="AG1436">
        <f>ROUND((AP1436),2)</f>
        <v/>
      </c>
      <c r="AH1436">
        <f>(EW1436)</f>
        <v/>
      </c>
      <c r="AI1436">
        <f>(EX1436)</f>
        <v/>
      </c>
      <c r="AJ1436">
        <f>(AS1436)</f>
        <v/>
      </c>
      <c r="AK1436" t="n">
        <v>18.88</v>
      </c>
      <c r="AL1436" t="n">
        <v>18.88</v>
      </c>
      <c r="AM1436" t="n">
        <v>0</v>
      </c>
      <c r="AN1436" t="n">
        <v>0</v>
      </c>
      <c r="AO1436" t="n">
        <v>0</v>
      </c>
      <c r="AP1436" t="n">
        <v>0</v>
      </c>
      <c r="AQ1436" t="n">
        <v>0</v>
      </c>
      <c r="AR1436" t="n">
        <v>0</v>
      </c>
      <c r="AS1436" t="n">
        <v>0.06</v>
      </c>
      <c r="AT1436" t="n">
        <v>103</v>
      </c>
      <c r="AU1436" t="n">
        <v>52</v>
      </c>
      <c r="AV1436" t="n">
        <v>1</v>
      </c>
      <c r="AW1436" t="n">
        <v>1</v>
      </c>
      <c r="AZ1436" t="n">
        <v>1</v>
      </c>
      <c r="BA1436" t="n">
        <v>1</v>
      </c>
      <c r="BB1436" t="n">
        <v>1</v>
      </c>
      <c r="BC1436" t="n">
        <v>14.48</v>
      </c>
      <c r="BD1436" t="inlineStr"/>
      <c r="BE1436" t="inlineStr"/>
      <c r="BF1436" t="inlineStr"/>
      <c r="BG1436" t="inlineStr"/>
      <c r="BH1436" t="n">
        <v>3</v>
      </c>
      <c r="BI1436" t="n">
        <v>1</v>
      </c>
      <c r="BJ1436" t="inlineStr">
        <is>
          <t>ТССЦ Московской обл., 302-1240, приказ Минстроя России №675/пр от 28.02.2017 № 256/пр</t>
        </is>
      </c>
      <c r="BM1436" t="n">
        <v>65008</v>
      </c>
      <c r="BN1436" t="n">
        <v>0</v>
      </c>
      <c r="BO1436" t="inlineStr">
        <is>
          <t>302-1240</t>
        </is>
      </c>
      <c r="BP1436" t="n">
        <v>1</v>
      </c>
      <c r="BQ1436" t="n">
        <v>6</v>
      </c>
      <c r="BR1436" t="n">
        <v>0</v>
      </c>
      <c r="BS1436" t="n">
        <v>1</v>
      </c>
      <c r="BT1436" t="n">
        <v>1</v>
      </c>
      <c r="BU1436" t="n">
        <v>1</v>
      </c>
      <c r="BV1436" t="n">
        <v>1</v>
      </c>
      <c r="BW1436" t="n">
        <v>1</v>
      </c>
      <c r="BX1436" t="n">
        <v>1</v>
      </c>
      <c r="BY1436" t="inlineStr"/>
      <c r="BZ1436" t="n">
        <v>103</v>
      </c>
      <c r="CA1436" t="n">
        <v>52</v>
      </c>
      <c r="CB1436" t="inlineStr"/>
      <c r="CE1436" t="n">
        <v>12</v>
      </c>
      <c r="CF1436" t="n">
        <v>0</v>
      </c>
      <c r="CG1436" t="n">
        <v>0</v>
      </c>
      <c r="CM1436" t="n">
        <v>0</v>
      </c>
      <c r="CN1436" t="inlineStr"/>
      <c r="CO1436" t="n">
        <v>0</v>
      </c>
      <c r="CP1436">
        <f>(P1436+Q1436+S1436)</f>
        <v/>
      </c>
      <c r="CQ1436">
        <f>AC1436*BC1436</f>
        <v/>
      </c>
      <c r="CR1436">
        <f>(ROUND((ROUND(((ET1436)*1),0)*BB1436),0)+ROUND((ROUND(((AE1436-(EU1436))*1),0)*BS1436),0))</f>
        <v/>
      </c>
      <c r="CS1436">
        <f>(ROUND((ROUND(((EU1436)*1),0)*BS1436),0)+ROUND((ROUND(((AE1436-(EU1436))*1),0)*BS1436),0))</f>
        <v/>
      </c>
      <c r="CT1436">
        <f>AF1436*BA1436</f>
        <v/>
      </c>
      <c r="CU1436">
        <f>AG1436</f>
        <v/>
      </c>
      <c r="CV1436">
        <f>AH1436</f>
        <v/>
      </c>
      <c r="CW1436">
        <f>AI1436</f>
        <v/>
      </c>
      <c r="CX1436">
        <f>AJ1436</f>
        <v/>
      </c>
      <c r="CY1436">
        <f>(((S1436+R1436)*AT1436)/100)</f>
        <v/>
      </c>
      <c r="CZ1436">
        <f>(((S1436+R1436)*AU1436)/100)</f>
        <v/>
      </c>
      <c r="DC1436" t="inlineStr"/>
      <c r="DD1436" t="inlineStr"/>
      <c r="DE1436" t="inlineStr"/>
      <c r="DF1436" t="inlineStr"/>
      <c r="DG1436" t="inlineStr"/>
      <c r="DH1436" t="inlineStr"/>
      <c r="DI1436" t="inlineStr"/>
      <c r="DJ1436" t="inlineStr"/>
      <c r="DK1436" t="inlineStr"/>
      <c r="DL1436" t="inlineStr"/>
      <c r="DM1436" t="inlineStr"/>
      <c r="DN1436" t="n">
        <v>0</v>
      </c>
      <c r="DO1436" t="n">
        <v>0</v>
      </c>
      <c r="DP1436" t="n">
        <v>1</v>
      </c>
      <c r="DQ1436" t="n">
        <v>1</v>
      </c>
      <c r="DU1436" t="n">
        <v>1010</v>
      </c>
      <c r="DV1436" t="inlineStr">
        <is>
          <t>шт.</t>
        </is>
      </c>
      <c r="DW1436" t="inlineStr">
        <is>
          <t>шт.</t>
        </is>
      </c>
      <c r="DX1436" t="n">
        <v>1</v>
      </c>
      <c r="DZ1436" t="inlineStr"/>
      <c r="EA1436" t="inlineStr"/>
      <c r="EB1436" t="inlineStr"/>
      <c r="EC1436" t="inlineStr"/>
      <c r="EE1436" t="n">
        <v>78726002</v>
      </c>
      <c r="EF1436" t="n">
        <v>6</v>
      </c>
      <c r="EG1436" t="inlineStr">
        <is>
          <t>Ремонтно-строительные работы</t>
        </is>
      </c>
      <c r="EH1436" t="n">
        <v>99</v>
      </c>
      <c r="EI1436" t="inlineStr">
        <is>
          <t>Внутренние санитарно-технические работы</t>
        </is>
      </c>
      <c r="EJ1436" t="n">
        <v>1</v>
      </c>
      <c r="EK1436" t="n">
        <v>65008</v>
      </c>
      <c r="EL1436" t="inlineStr">
        <is>
          <t>Внутренние санитарнотехнические работы: смена труб, санприборов, запорной арматуры и другое</t>
        </is>
      </c>
      <c r="EM1436" t="inlineStr">
        <is>
          <t>рФЕР-65</t>
        </is>
      </c>
      <c r="EO1436" t="inlineStr"/>
      <c r="EQ1436" t="n">
        <v>0</v>
      </c>
      <c r="ER1436" t="n">
        <v>18.88</v>
      </c>
      <c r="ES1436" t="n">
        <v>18.88</v>
      </c>
      <c r="ET1436" t="n">
        <v>0</v>
      </c>
      <c r="EU1436" t="n">
        <v>0</v>
      </c>
      <c r="EV1436" t="n">
        <v>0</v>
      </c>
      <c r="EW1436" t="n">
        <v>0</v>
      </c>
      <c r="EX1436" t="n">
        <v>0</v>
      </c>
      <c r="FQ1436" t="n">
        <v>0</v>
      </c>
      <c r="FR1436" t="n">
        <v>0</v>
      </c>
      <c r="FS1436" t="n">
        <v>0</v>
      </c>
      <c r="FX1436" t="n">
        <v>103</v>
      </c>
      <c r="FY1436" t="n">
        <v>52</v>
      </c>
      <c r="GA1436" t="inlineStr"/>
      <c r="GD1436" t="n">
        <v>1</v>
      </c>
      <c r="GF1436" t="n">
        <v>1872180420</v>
      </c>
      <c r="GG1436" t="n">
        <v>2</v>
      </c>
      <c r="GH1436" t="n">
        <v>1</v>
      </c>
      <c r="GI1436" t="n">
        <v>2</v>
      </c>
      <c r="GJ1436" t="n">
        <v>0</v>
      </c>
      <c r="GK1436" t="n">
        <v>0</v>
      </c>
      <c r="GL1436">
        <f>ROUND(IF(AND(BH1436=3,BI1436=3,FS1436&lt;&gt;0),P1436,0),0)</f>
        <v/>
      </c>
      <c r="GM1436">
        <f>ROUND(O1436+X1436+Y1436,0)+GX1436</f>
        <v/>
      </c>
      <c r="GN1436">
        <f>IF(OR(BI1436=0,BI1436=1),GM1436-GX1436,0)</f>
        <v/>
      </c>
      <c r="GO1436">
        <f>IF(BI1436=2,GM1436-GX1436,0)</f>
        <v/>
      </c>
      <c r="GP1436">
        <f>IF(BI1436=4,GM1436-GX1436,0)</f>
        <v/>
      </c>
      <c r="GR1436" t="n">
        <v>0</v>
      </c>
      <c r="GS1436" t="n">
        <v>3</v>
      </c>
      <c r="GT1436" t="n">
        <v>0</v>
      </c>
      <c r="GU1436" t="inlineStr"/>
      <c r="GV1436">
        <f>ROUND((GT1436),2)</f>
        <v/>
      </c>
      <c r="GW1436" t="n">
        <v>1</v>
      </c>
      <c r="GX1436">
        <f>ROUND(HC1436*I1436,0)</f>
        <v/>
      </c>
      <c r="HA1436" t="n">
        <v>0</v>
      </c>
      <c r="HB1436" t="n">
        <v>0</v>
      </c>
      <c r="HC1436">
        <f>GV1436*GW1436</f>
        <v/>
      </c>
      <c r="HE1436" t="inlineStr"/>
      <c r="HF1436" t="inlineStr"/>
      <c r="HM1436" t="inlineStr"/>
      <c r="HN1436" t="inlineStr">
        <is>
          <t>Пр/812-099.2-1</t>
        </is>
      </c>
      <c r="HO1436" t="inlineStr">
        <is>
          <t>Пр/774-099.2</t>
        </is>
      </c>
      <c r="HP1436" t="inlineStr">
        <is>
          <t>Внутренние санитарнотехнические работы: смена труб, санприборов, запорной арматуры и другое</t>
        </is>
      </c>
      <c r="HQ1436" t="inlineStr">
        <is>
          <t>Внутренние санитарнотехнические работы: смена труб, санприборов, запорной арматуры и другое</t>
        </is>
      </c>
      <c r="HS1436" t="n">
        <v>0</v>
      </c>
      <c r="IK1436" t="n">
        <v>0</v>
      </c>
    </row>
    <row r="1437"/>
    <row r="1438">
      <c r="A1438" s="402" t="n">
        <v>51</v>
      </c>
      <c r="B1438" s="402">
        <f>B1423</f>
        <v/>
      </c>
      <c r="C1438" s="402">
        <f>A1423</f>
        <v/>
      </c>
      <c r="D1438" s="402">
        <f>ROW(A1423)</f>
        <v/>
      </c>
      <c r="E1438" s="402" t="n"/>
      <c r="F1438" s="402">
        <f>IF(F1423&lt;&gt;"",F1423,"")</f>
        <v/>
      </c>
      <c r="G1438" s="402">
        <f>IF(G1423&lt;&gt;"",G1423,"")</f>
        <v/>
      </c>
      <c r="H1438" s="402" t="n">
        <v>0</v>
      </c>
      <c r="I1438" s="402" t="n"/>
      <c r="J1438" s="402" t="n"/>
      <c r="K1438" s="402" t="n"/>
      <c r="L1438" s="402" t="n"/>
      <c r="M1438" s="402" t="n"/>
      <c r="N1438" s="402" t="n"/>
      <c r="O1438" s="402" t="n">
        <v>0</v>
      </c>
      <c r="P1438" s="402" t="n">
        <v>0</v>
      </c>
      <c r="Q1438" s="402" t="n">
        <v>0</v>
      </c>
      <c r="R1438" s="402" t="n">
        <v>0</v>
      </c>
      <c r="S1438" s="402" t="n">
        <v>0</v>
      </c>
      <c r="T1438" s="402" t="n">
        <v>0</v>
      </c>
      <c r="U1438" s="402" t="n">
        <v>0</v>
      </c>
      <c r="V1438" s="402" t="n">
        <v>0</v>
      </c>
      <c r="W1438" s="402" t="n">
        <v>0</v>
      </c>
      <c r="X1438" s="402" t="n">
        <v>0</v>
      </c>
      <c r="Y1438" s="402" t="n">
        <v>0</v>
      </c>
      <c r="Z1438" s="402" t="n"/>
      <c r="AA1438" s="402" t="n"/>
      <c r="AB1438" s="402" t="n"/>
      <c r="AC1438" s="402" t="n"/>
      <c r="AD1438" s="402" t="n"/>
      <c r="AE1438" s="402" t="n"/>
      <c r="AF1438" s="402" t="n"/>
      <c r="AG1438" s="402" t="n"/>
      <c r="AH1438" s="402" t="n"/>
      <c r="AI1438" s="402" t="n"/>
      <c r="AJ1438" s="402" t="n"/>
      <c r="AK1438" s="402" t="n"/>
      <c r="AL1438" s="402" t="n"/>
      <c r="AM1438" s="402" t="n"/>
      <c r="AN1438" s="402" t="n"/>
      <c r="AO1438" s="402">
        <f>ROUND(BX1438,0)</f>
        <v/>
      </c>
      <c r="AP1438" s="402">
        <f>ROUND(BY1438,0)</f>
        <v/>
      </c>
      <c r="AQ1438" s="402">
        <f>ROUND(BZ1438,0)</f>
        <v/>
      </c>
      <c r="AR1438" s="402">
        <f>ROUND(CA1438,0)</f>
        <v/>
      </c>
      <c r="AS1438" s="402">
        <f>ROUND(CB1438,0)</f>
        <v/>
      </c>
      <c r="AT1438" s="402">
        <f>ROUND(CC1438,0)</f>
        <v/>
      </c>
      <c r="AU1438" s="402">
        <f>ROUND(CD1438,0)</f>
        <v/>
      </c>
      <c r="AV1438" s="402">
        <f>ROUND(CE1438,0)</f>
        <v/>
      </c>
      <c r="AW1438" s="402">
        <f>ROUND(CF1438,0)</f>
        <v/>
      </c>
      <c r="AX1438" s="402">
        <f>ROUND(CG1438,0)</f>
        <v/>
      </c>
      <c r="AY1438" s="402">
        <f>ROUND(CH1438,0)</f>
        <v/>
      </c>
      <c r="AZ1438" s="402">
        <f>ROUND(CI1438,0)</f>
        <v/>
      </c>
      <c r="BA1438" s="402">
        <f>ROUND(CJ1438,0)</f>
        <v/>
      </c>
      <c r="BB1438" s="402">
        <f>ROUND(CK1438,0)</f>
        <v/>
      </c>
      <c r="BC1438" s="402">
        <f>ROUND(CL1438,0)</f>
        <v/>
      </c>
      <c r="BD1438" s="402">
        <f>ROUND(CM1438,0)</f>
        <v/>
      </c>
      <c r="BE1438" s="402" t="n"/>
      <c r="BF1438" s="402" t="n"/>
      <c r="BG1438" s="402" t="n"/>
      <c r="BH1438" s="402" t="n"/>
      <c r="BI1438" s="402" t="n"/>
      <c r="BJ1438" s="402" t="n"/>
      <c r="BK1438" s="402" t="n"/>
      <c r="BL1438" s="402" t="n"/>
      <c r="BM1438" s="402" t="n"/>
      <c r="BN1438" s="402" t="n"/>
      <c r="BO1438" s="402" t="n"/>
      <c r="BP1438" s="402" t="n"/>
      <c r="BQ1438" s="402" t="n"/>
      <c r="BR1438" s="402" t="n"/>
      <c r="BS1438" s="402" t="n"/>
      <c r="BT1438" s="402" t="n"/>
      <c r="BU1438" s="402" t="n"/>
      <c r="BV1438" s="402" t="n"/>
      <c r="BW1438" s="402" t="n"/>
      <c r="BX1438" s="402" t="n"/>
      <c r="BY1438" s="402" t="n"/>
      <c r="BZ1438" s="402" t="n"/>
      <c r="CA1438" s="402" t="n"/>
      <c r="CB1438" s="402" t="n"/>
      <c r="CC1438" s="402" t="n"/>
      <c r="CD1438" s="402" t="n"/>
      <c r="CE1438" s="402" t="n"/>
      <c r="CF1438" s="402" t="n"/>
      <c r="CG1438" s="402" t="n"/>
      <c r="CH1438" s="402" t="n"/>
      <c r="CI1438" s="402" t="n"/>
      <c r="CJ1438" s="402" t="n"/>
      <c r="CK1438" s="402" t="n"/>
      <c r="CL1438" s="402" t="n"/>
      <c r="CM1438" s="402" t="n"/>
      <c r="CN1438" s="402" t="n"/>
      <c r="CO1438" s="402" t="n"/>
      <c r="CP1438" s="402" t="n"/>
      <c r="CQ1438" s="402" t="n"/>
      <c r="CR1438" s="402" t="n"/>
      <c r="CS1438" s="402" t="n"/>
      <c r="CT1438" s="402" t="n"/>
      <c r="CU1438" s="402" t="n"/>
      <c r="CV1438" s="402" t="n"/>
      <c r="CW1438" s="402" t="n"/>
      <c r="CX1438" s="402" t="n"/>
      <c r="CY1438" s="402" t="n"/>
      <c r="CZ1438" s="402" t="n"/>
      <c r="DA1438" s="402" t="n"/>
      <c r="DB1438" s="402" t="n"/>
      <c r="DC1438" s="402" t="n"/>
      <c r="DD1438" s="402" t="n"/>
      <c r="DE1438" s="402" t="n"/>
      <c r="DF1438" s="402" t="n"/>
      <c r="DG1438" s="403" t="n"/>
      <c r="DH1438" s="403" t="n"/>
      <c r="DI1438" s="403" t="n"/>
      <c r="DJ1438" s="403" t="n"/>
      <c r="DK1438" s="403" t="n"/>
      <c r="DL1438" s="403" t="n"/>
      <c r="DM1438" s="403" t="n"/>
      <c r="DN1438" s="403" t="n"/>
      <c r="DO1438" s="403" t="n"/>
      <c r="DP1438" s="403" t="n"/>
      <c r="DQ1438" s="403" t="n"/>
      <c r="DR1438" s="403" t="n"/>
      <c r="DS1438" s="403" t="n"/>
      <c r="DT1438" s="403" t="n"/>
      <c r="DU1438" s="403" t="n"/>
      <c r="DV1438" s="403" t="n"/>
      <c r="DW1438" s="403" t="n"/>
      <c r="DX1438" s="403" t="n"/>
      <c r="DY1438" s="403" t="n"/>
      <c r="DZ1438" s="403" t="n"/>
      <c r="EA1438" s="403" t="n"/>
      <c r="EB1438" s="403" t="n"/>
      <c r="EC1438" s="403" t="n"/>
      <c r="ED1438" s="403" t="n"/>
      <c r="EE1438" s="403" t="n"/>
      <c r="EF1438" s="403" t="n"/>
      <c r="EG1438" s="403" t="n"/>
      <c r="EH1438" s="403" t="n"/>
      <c r="EI1438" s="403" t="n"/>
      <c r="EJ1438" s="403" t="n"/>
      <c r="EK1438" s="403" t="n"/>
      <c r="EL1438" s="403" t="n"/>
      <c r="EM1438" s="403" t="n"/>
      <c r="EN1438" s="403" t="n"/>
      <c r="EO1438" s="403" t="n"/>
      <c r="EP1438" s="403" t="n"/>
      <c r="EQ1438" s="403" t="n"/>
      <c r="ER1438" s="403" t="n"/>
      <c r="ES1438" s="403" t="n"/>
      <c r="ET1438" s="403" t="n"/>
      <c r="EU1438" s="403" t="n"/>
      <c r="EV1438" s="403" t="n"/>
      <c r="EW1438" s="403" t="n"/>
      <c r="EX1438" s="403" t="n"/>
      <c r="EY1438" s="403" t="n"/>
      <c r="EZ1438" s="403" t="n"/>
      <c r="FA1438" s="403" t="n"/>
      <c r="FB1438" s="403" t="n"/>
      <c r="FC1438" s="403" t="n"/>
      <c r="FD1438" s="403" t="n"/>
      <c r="FE1438" s="403" t="n"/>
      <c r="FF1438" s="403" t="n"/>
      <c r="FG1438" s="403" t="n"/>
      <c r="FH1438" s="403" t="n"/>
      <c r="FI1438" s="403" t="n"/>
      <c r="FJ1438" s="403" t="n"/>
      <c r="FK1438" s="403" t="n"/>
      <c r="FL1438" s="403" t="n"/>
      <c r="FM1438" s="403" t="n"/>
      <c r="FN1438" s="403" t="n"/>
      <c r="FO1438" s="403" t="n"/>
      <c r="FP1438" s="403" t="n"/>
      <c r="FQ1438" s="403" t="n"/>
      <c r="FR1438" s="403" t="n"/>
      <c r="FS1438" s="403" t="n"/>
      <c r="FT1438" s="403" t="n"/>
      <c r="FU1438" s="403" t="n"/>
      <c r="FV1438" s="403" t="n"/>
      <c r="FW1438" s="403" t="n"/>
      <c r="FX1438" s="403" t="n"/>
      <c r="FY1438" s="403" t="n"/>
      <c r="FZ1438" s="403" t="n"/>
      <c r="GA1438" s="403" t="n"/>
      <c r="GB1438" s="403" t="n"/>
      <c r="GC1438" s="403" t="n"/>
      <c r="GD1438" s="403" t="n"/>
      <c r="GE1438" s="403" t="n"/>
      <c r="GF1438" s="403" t="n"/>
      <c r="GG1438" s="403" t="n"/>
      <c r="GH1438" s="403" t="n"/>
      <c r="GI1438" s="403" t="n"/>
      <c r="GJ1438" s="403" t="n"/>
      <c r="GK1438" s="403" t="n"/>
      <c r="GL1438" s="403" t="n"/>
      <c r="GM1438" s="403" t="n"/>
      <c r="GN1438" s="403" t="n"/>
      <c r="GO1438" s="403" t="n"/>
      <c r="GP1438" s="403" t="n"/>
      <c r="GQ1438" s="403" t="n"/>
      <c r="GR1438" s="403" t="n"/>
      <c r="GS1438" s="403" t="n"/>
      <c r="GT1438" s="403" t="n"/>
      <c r="GU1438" s="403" t="n"/>
      <c r="GV1438" s="403" t="n"/>
      <c r="GW1438" s="403" t="n"/>
      <c r="GX1438" s="403" t="n">
        <v>0</v>
      </c>
    </row>
    <row r="1439"/>
    <row r="1440">
      <c r="A1440" s="404" t="n">
        <v>50</v>
      </c>
      <c r="B1440" s="404" t="n">
        <v>0</v>
      </c>
      <c r="C1440" s="404" t="n">
        <v>0</v>
      </c>
      <c r="D1440" s="404" t="n">
        <v>1</v>
      </c>
      <c r="E1440" s="404" t="n">
        <v>201</v>
      </c>
      <c r="F1440" s="404">
        <f>ROUND(Source!O1438,O1440)</f>
        <v/>
      </c>
      <c r="G1440" s="404" t="inlineStr">
        <is>
          <t>ПЗ</t>
        </is>
      </c>
      <c r="H1440" s="404" t="inlineStr">
        <is>
          <t>Прямые затраты</t>
        </is>
      </c>
      <c r="I1440" s="404" t="n"/>
      <c r="J1440" s="404" t="n"/>
      <c r="K1440" s="404" t="n">
        <v>201</v>
      </c>
      <c r="L1440" s="404" t="n">
        <v>1</v>
      </c>
      <c r="M1440" s="404" t="n">
        <v>3</v>
      </c>
      <c r="N1440" s="404" t="inlineStr"/>
      <c r="O1440" s="404" t="n">
        <v>0</v>
      </c>
      <c r="P1440" s="404" t="n"/>
      <c r="Q1440" s="404" t="n"/>
      <c r="R1440" s="404" t="n"/>
      <c r="S1440" s="404" t="n"/>
      <c r="T1440" s="404" t="n"/>
      <c r="U1440" s="404" t="n"/>
      <c r="V1440" s="404" t="n"/>
      <c r="W1440" s="404" t="n">
        <v>0</v>
      </c>
      <c r="X1440" s="404" t="n">
        <v>1</v>
      </c>
      <c r="Y1440" s="404" t="n">
        <v>0</v>
      </c>
      <c r="Z1440" s="404" t="n"/>
      <c r="AA1440" s="404" t="n"/>
      <c r="AB1440" s="404" t="n"/>
    </row>
    <row r="1441">
      <c r="A1441" s="404" t="n">
        <v>50</v>
      </c>
      <c r="B1441" s="404" t="n">
        <v>0</v>
      </c>
      <c r="C1441" s="404" t="n">
        <v>0</v>
      </c>
      <c r="D1441" s="404" t="n">
        <v>1</v>
      </c>
      <c r="E1441" s="404" t="n">
        <v>202</v>
      </c>
      <c r="F1441" s="404">
        <f>ROUND(Source!P1438,O1441)</f>
        <v/>
      </c>
      <c r="G1441" s="404" t="inlineStr">
        <is>
          <t>СтМатОб</t>
        </is>
      </c>
      <c r="H1441" s="404" t="inlineStr">
        <is>
          <t>Стоимость материальных ресурсов (всего)</t>
        </is>
      </c>
      <c r="I1441" s="404" t="n"/>
      <c r="J1441" s="404" t="n"/>
      <c r="K1441" s="404" t="n">
        <v>202</v>
      </c>
      <c r="L1441" s="404" t="n">
        <v>2</v>
      </c>
      <c r="M1441" s="404" t="n">
        <v>3</v>
      </c>
      <c r="N1441" s="404" t="inlineStr"/>
      <c r="O1441" s="404" t="n">
        <v>0</v>
      </c>
      <c r="P1441" s="404" t="n"/>
      <c r="Q1441" s="404" t="n"/>
      <c r="R1441" s="404" t="n"/>
      <c r="S1441" s="404" t="n"/>
      <c r="T1441" s="404" t="n"/>
      <c r="U1441" s="404" t="n"/>
      <c r="V1441" s="404" t="n"/>
      <c r="W1441" s="404" t="n">
        <v>0</v>
      </c>
      <c r="X1441" s="404" t="n">
        <v>1</v>
      </c>
      <c r="Y1441" s="404" t="n">
        <v>0</v>
      </c>
      <c r="Z1441" s="404" t="n"/>
      <c r="AA1441" s="404" t="n"/>
      <c r="AB1441" s="404" t="n"/>
    </row>
    <row r="1442">
      <c r="A1442" s="404" t="n">
        <v>50</v>
      </c>
      <c r="B1442" s="404" t="n">
        <v>0</v>
      </c>
      <c r="C1442" s="404" t="n">
        <v>0</v>
      </c>
      <c r="D1442" s="404" t="n">
        <v>1</v>
      </c>
      <c r="E1442" s="404" t="n">
        <v>222</v>
      </c>
      <c r="F1442" s="404">
        <f>ROUND(Source!AO1438,O1442)</f>
        <v/>
      </c>
      <c r="G1442" s="404" t="inlineStr">
        <is>
          <t>СтМатОбЗак</t>
        </is>
      </c>
      <c r="H1442" s="404" t="inlineStr">
        <is>
          <t>Стоимость материалов и оборудования заказчика</t>
        </is>
      </c>
      <c r="I1442" s="404" t="n"/>
      <c r="J1442" s="404" t="n"/>
      <c r="K1442" s="404" t="n">
        <v>222</v>
      </c>
      <c r="L1442" s="404" t="n">
        <v>3</v>
      </c>
      <c r="M1442" s="404" t="n">
        <v>3</v>
      </c>
      <c r="N1442" s="404" t="inlineStr"/>
      <c r="O1442" s="404" t="n">
        <v>0</v>
      </c>
      <c r="P1442" s="404" t="n"/>
      <c r="Q1442" s="404" t="n"/>
      <c r="R1442" s="404" t="n"/>
      <c r="S1442" s="404" t="n"/>
      <c r="T1442" s="404" t="n"/>
      <c r="U1442" s="404" t="n"/>
      <c r="V1442" s="404" t="n"/>
      <c r="W1442" s="404" t="n">
        <v>0</v>
      </c>
      <c r="X1442" s="404" t="n">
        <v>1</v>
      </c>
      <c r="Y1442" s="404" t="n">
        <v>0</v>
      </c>
      <c r="Z1442" s="404" t="n"/>
      <c r="AA1442" s="404" t="n"/>
      <c r="AB1442" s="404" t="n"/>
    </row>
    <row r="1443">
      <c r="A1443" s="404" t="n">
        <v>50</v>
      </c>
      <c r="B1443" s="404" t="n">
        <v>0</v>
      </c>
      <c r="C1443" s="404" t="n">
        <v>0</v>
      </c>
      <c r="D1443" s="404" t="n">
        <v>1</v>
      </c>
      <c r="E1443" s="404" t="n">
        <v>225</v>
      </c>
      <c r="F1443" s="404">
        <f>ROUND(Source!AV1438,O1443)</f>
        <v/>
      </c>
      <c r="G1443" s="404" t="inlineStr">
        <is>
          <t>СтМатОбПод</t>
        </is>
      </c>
      <c r="H1443" s="404" t="inlineStr">
        <is>
          <t>Стоимость материалов и оборудования подрядчика</t>
        </is>
      </c>
      <c r="I1443" s="404" t="n"/>
      <c r="J1443" s="404" t="n"/>
      <c r="K1443" s="404" t="n">
        <v>225</v>
      </c>
      <c r="L1443" s="404" t="n">
        <v>4</v>
      </c>
      <c r="M1443" s="404" t="n">
        <v>3</v>
      </c>
      <c r="N1443" s="404" t="inlineStr"/>
      <c r="O1443" s="404" t="n">
        <v>0</v>
      </c>
      <c r="P1443" s="404" t="n"/>
      <c r="Q1443" s="404" t="n"/>
      <c r="R1443" s="404" t="n"/>
      <c r="S1443" s="404" t="n"/>
      <c r="T1443" s="404" t="n"/>
      <c r="U1443" s="404" t="n"/>
      <c r="V1443" s="404" t="n"/>
      <c r="W1443" s="404" t="n">
        <v>0</v>
      </c>
      <c r="X1443" s="404" t="n">
        <v>1</v>
      </c>
      <c r="Y1443" s="404" t="n">
        <v>0</v>
      </c>
      <c r="Z1443" s="404" t="n"/>
      <c r="AA1443" s="404" t="n"/>
      <c r="AB1443" s="404" t="n"/>
    </row>
    <row r="1444">
      <c r="A1444" s="404" t="n">
        <v>50</v>
      </c>
      <c r="B1444" s="404" t="n">
        <v>0</v>
      </c>
      <c r="C1444" s="404" t="n">
        <v>0</v>
      </c>
      <c r="D1444" s="404" t="n">
        <v>1</v>
      </c>
      <c r="E1444" s="404" t="n">
        <v>226</v>
      </c>
      <c r="F1444" s="404">
        <f>ROUND(Source!AW1438,O1444)</f>
        <v/>
      </c>
      <c r="G1444" s="404" t="inlineStr">
        <is>
          <t>СтМат</t>
        </is>
      </c>
      <c r="H1444" s="404" t="inlineStr">
        <is>
          <t>Стоимость материалов (всего)</t>
        </is>
      </c>
      <c r="I1444" s="404" t="n"/>
      <c r="J1444" s="404" t="n"/>
      <c r="K1444" s="404" t="n">
        <v>226</v>
      </c>
      <c r="L1444" s="404" t="n">
        <v>5</v>
      </c>
      <c r="M1444" s="404" t="n">
        <v>3</v>
      </c>
      <c r="N1444" s="404" t="inlineStr"/>
      <c r="O1444" s="404" t="n">
        <v>0</v>
      </c>
      <c r="P1444" s="404" t="n"/>
      <c r="Q1444" s="404" t="n"/>
      <c r="R1444" s="404" t="n"/>
      <c r="S1444" s="404" t="n"/>
      <c r="T1444" s="404" t="n"/>
      <c r="U1444" s="404" t="n"/>
      <c r="V1444" s="404" t="n"/>
      <c r="W1444" s="404" t="n">
        <v>0</v>
      </c>
      <c r="X1444" s="404" t="n">
        <v>1</v>
      </c>
      <c r="Y1444" s="404" t="n">
        <v>0</v>
      </c>
      <c r="Z1444" s="404" t="n"/>
      <c r="AA1444" s="404" t="n"/>
      <c r="AB1444" s="404" t="n"/>
    </row>
    <row r="1445">
      <c r="A1445" s="404" t="n">
        <v>50</v>
      </c>
      <c r="B1445" s="404" t="n">
        <v>0</v>
      </c>
      <c r="C1445" s="404" t="n">
        <v>0</v>
      </c>
      <c r="D1445" s="404" t="n">
        <v>1</v>
      </c>
      <c r="E1445" s="404" t="n">
        <v>227</v>
      </c>
      <c r="F1445" s="404">
        <f>ROUND(Source!AX1438,O1445)</f>
        <v/>
      </c>
      <c r="G1445" s="404" t="inlineStr">
        <is>
          <t>СтМатЗак</t>
        </is>
      </c>
      <c r="H1445" s="404" t="inlineStr">
        <is>
          <t>Стоимость материалов заказчика</t>
        </is>
      </c>
      <c r="I1445" s="404" t="n"/>
      <c r="J1445" s="404" t="n"/>
      <c r="K1445" s="404" t="n">
        <v>227</v>
      </c>
      <c r="L1445" s="404" t="n">
        <v>6</v>
      </c>
      <c r="M1445" s="404" t="n">
        <v>3</v>
      </c>
      <c r="N1445" s="404" t="inlineStr"/>
      <c r="O1445" s="404" t="n">
        <v>0</v>
      </c>
      <c r="P1445" s="404" t="n"/>
      <c r="Q1445" s="404" t="n"/>
      <c r="R1445" s="404" t="n"/>
      <c r="S1445" s="404" t="n"/>
      <c r="T1445" s="404" t="n"/>
      <c r="U1445" s="404" t="n"/>
      <c r="V1445" s="404" t="n"/>
      <c r="W1445" s="404" t="n">
        <v>0</v>
      </c>
      <c r="X1445" s="404" t="n">
        <v>1</v>
      </c>
      <c r="Y1445" s="404" t="n">
        <v>0</v>
      </c>
      <c r="Z1445" s="404" t="n"/>
      <c r="AA1445" s="404" t="n"/>
      <c r="AB1445" s="404" t="n"/>
    </row>
    <row r="1446">
      <c r="A1446" s="404" t="n">
        <v>50</v>
      </c>
      <c r="B1446" s="404" t="n">
        <v>0</v>
      </c>
      <c r="C1446" s="404" t="n">
        <v>0</v>
      </c>
      <c r="D1446" s="404" t="n">
        <v>1</v>
      </c>
      <c r="E1446" s="404" t="n">
        <v>228</v>
      </c>
      <c r="F1446" s="404">
        <f>ROUND(Source!AY1438,O1446)</f>
        <v/>
      </c>
      <c r="G1446" s="404" t="inlineStr">
        <is>
          <t>СтМатПод</t>
        </is>
      </c>
      <c r="H1446" s="404" t="inlineStr">
        <is>
          <t>Стоимость материалов подрядчика</t>
        </is>
      </c>
      <c r="I1446" s="404" t="n"/>
      <c r="J1446" s="404" t="n"/>
      <c r="K1446" s="404" t="n">
        <v>228</v>
      </c>
      <c r="L1446" s="404" t="n">
        <v>7</v>
      </c>
      <c r="M1446" s="404" t="n">
        <v>3</v>
      </c>
      <c r="N1446" s="404" t="inlineStr"/>
      <c r="O1446" s="404" t="n">
        <v>0</v>
      </c>
      <c r="P1446" s="404" t="n"/>
      <c r="Q1446" s="404" t="n"/>
      <c r="R1446" s="404" t="n"/>
      <c r="S1446" s="404" t="n"/>
      <c r="T1446" s="404" t="n"/>
      <c r="U1446" s="404" t="n"/>
      <c r="V1446" s="404" t="n"/>
      <c r="W1446" s="404" t="n">
        <v>0</v>
      </c>
      <c r="X1446" s="404" t="n">
        <v>1</v>
      </c>
      <c r="Y1446" s="404" t="n">
        <v>0</v>
      </c>
      <c r="Z1446" s="404" t="n"/>
      <c r="AA1446" s="404" t="n"/>
      <c r="AB1446" s="404" t="n"/>
    </row>
    <row r="1447">
      <c r="A1447" s="404" t="n">
        <v>50</v>
      </c>
      <c r="B1447" s="404" t="n">
        <v>0</v>
      </c>
      <c r="C1447" s="404" t="n">
        <v>0</v>
      </c>
      <c r="D1447" s="404" t="n">
        <v>1</v>
      </c>
      <c r="E1447" s="404" t="n">
        <v>216</v>
      </c>
      <c r="F1447" s="404">
        <f>ROUND(Source!AP1438,O1447)</f>
        <v/>
      </c>
      <c r="G1447" s="404" t="inlineStr">
        <is>
          <t>Оборуд</t>
        </is>
      </c>
      <c r="H1447" s="404" t="inlineStr">
        <is>
          <t>Стоимость оборудования (всего)</t>
        </is>
      </c>
      <c r="I1447" s="404" t="n"/>
      <c r="J1447" s="404" t="n"/>
      <c r="K1447" s="404" t="n">
        <v>216</v>
      </c>
      <c r="L1447" s="404" t="n">
        <v>8</v>
      </c>
      <c r="M1447" s="404" t="n">
        <v>3</v>
      </c>
      <c r="N1447" s="404" t="inlineStr"/>
      <c r="O1447" s="404" t="n">
        <v>0</v>
      </c>
      <c r="P1447" s="404" t="n"/>
      <c r="Q1447" s="404" t="n"/>
      <c r="R1447" s="404" t="n"/>
      <c r="S1447" s="404" t="n"/>
      <c r="T1447" s="404" t="n"/>
      <c r="U1447" s="404" t="n"/>
      <c r="V1447" s="404" t="n"/>
      <c r="W1447" s="404" t="n">
        <v>0</v>
      </c>
      <c r="X1447" s="404" t="n">
        <v>1</v>
      </c>
      <c r="Y1447" s="404" t="n">
        <v>0</v>
      </c>
      <c r="Z1447" s="404" t="n"/>
      <c r="AA1447" s="404" t="n"/>
      <c r="AB1447" s="404" t="n"/>
    </row>
    <row r="1448">
      <c r="A1448" s="404" t="n">
        <v>50</v>
      </c>
      <c r="B1448" s="404" t="n">
        <v>0</v>
      </c>
      <c r="C1448" s="404" t="n">
        <v>0</v>
      </c>
      <c r="D1448" s="404" t="n">
        <v>1</v>
      </c>
      <c r="E1448" s="404" t="n">
        <v>223</v>
      </c>
      <c r="F1448" s="404">
        <f>ROUND(Source!AQ1438,O1448)</f>
        <v/>
      </c>
      <c r="G1448" s="404" t="inlineStr">
        <is>
          <t>ОборудЗак</t>
        </is>
      </c>
      <c r="H1448" s="404" t="inlineStr">
        <is>
          <t>Стоимость оборудования заказчика</t>
        </is>
      </c>
      <c r="I1448" s="404" t="n"/>
      <c r="J1448" s="404" t="n"/>
      <c r="K1448" s="404" t="n">
        <v>223</v>
      </c>
      <c r="L1448" s="404" t="n">
        <v>9</v>
      </c>
      <c r="M1448" s="404" t="n">
        <v>3</v>
      </c>
      <c r="N1448" s="404" t="inlineStr"/>
      <c r="O1448" s="404" t="n">
        <v>0</v>
      </c>
      <c r="P1448" s="404" t="n"/>
      <c r="Q1448" s="404" t="n"/>
      <c r="R1448" s="404" t="n"/>
      <c r="S1448" s="404" t="n"/>
      <c r="T1448" s="404" t="n"/>
      <c r="U1448" s="404" t="n"/>
      <c r="V1448" s="404" t="n"/>
      <c r="W1448" s="404" t="n">
        <v>0</v>
      </c>
      <c r="X1448" s="404" t="n">
        <v>1</v>
      </c>
      <c r="Y1448" s="404" t="n">
        <v>0</v>
      </c>
      <c r="Z1448" s="404" t="n"/>
      <c r="AA1448" s="404" t="n"/>
      <c r="AB1448" s="404" t="n"/>
    </row>
    <row r="1449">
      <c r="A1449" s="404" t="n">
        <v>50</v>
      </c>
      <c r="B1449" s="404" t="n">
        <v>0</v>
      </c>
      <c r="C1449" s="404" t="n">
        <v>0</v>
      </c>
      <c r="D1449" s="404" t="n">
        <v>1</v>
      </c>
      <c r="E1449" s="404" t="n">
        <v>229</v>
      </c>
      <c r="F1449" s="404">
        <f>ROUND(Source!AZ1438,O1449)</f>
        <v/>
      </c>
      <c r="G1449" s="404" t="inlineStr">
        <is>
          <t>ОборудПод</t>
        </is>
      </c>
      <c r="H1449" s="404" t="inlineStr">
        <is>
          <t>Стоимость оборудования подрядчика</t>
        </is>
      </c>
      <c r="I1449" s="404" t="n"/>
      <c r="J1449" s="404" t="n"/>
      <c r="K1449" s="404" t="n">
        <v>229</v>
      </c>
      <c r="L1449" s="404" t="n">
        <v>10</v>
      </c>
      <c r="M1449" s="404" t="n">
        <v>3</v>
      </c>
      <c r="N1449" s="404" t="inlineStr"/>
      <c r="O1449" s="404" t="n">
        <v>0</v>
      </c>
      <c r="P1449" s="404" t="n"/>
      <c r="Q1449" s="404" t="n"/>
      <c r="R1449" s="404" t="n"/>
      <c r="S1449" s="404" t="n"/>
      <c r="T1449" s="404" t="n"/>
      <c r="U1449" s="404" t="n"/>
      <c r="V1449" s="404" t="n"/>
      <c r="W1449" s="404" t="n">
        <v>0</v>
      </c>
      <c r="X1449" s="404" t="n">
        <v>1</v>
      </c>
      <c r="Y1449" s="404" t="n">
        <v>0</v>
      </c>
      <c r="Z1449" s="404" t="n"/>
      <c r="AA1449" s="404" t="n"/>
      <c r="AB1449" s="404" t="n"/>
    </row>
    <row r="1450">
      <c r="A1450" s="404" t="n">
        <v>50</v>
      </c>
      <c r="B1450" s="404" t="n">
        <v>0</v>
      </c>
      <c r="C1450" s="404" t="n">
        <v>0</v>
      </c>
      <c r="D1450" s="404" t="n">
        <v>1</v>
      </c>
      <c r="E1450" s="404" t="n">
        <v>203</v>
      </c>
      <c r="F1450" s="404">
        <f>ROUND(Source!Q1438,O1450)</f>
        <v/>
      </c>
      <c r="G1450" s="404" t="inlineStr">
        <is>
          <t>ЭММ</t>
        </is>
      </c>
      <c r="H1450" s="404" t="inlineStr">
        <is>
          <t>Эксплуатация машин</t>
        </is>
      </c>
      <c r="I1450" s="404" t="n"/>
      <c r="J1450" s="404" t="n"/>
      <c r="K1450" s="404" t="n">
        <v>203</v>
      </c>
      <c r="L1450" s="404" t="n">
        <v>11</v>
      </c>
      <c r="M1450" s="404" t="n">
        <v>3</v>
      </c>
      <c r="N1450" s="404" t="inlineStr"/>
      <c r="O1450" s="404" t="n">
        <v>0</v>
      </c>
      <c r="P1450" s="404" t="n"/>
      <c r="Q1450" s="404" t="n"/>
      <c r="R1450" s="404" t="n"/>
      <c r="S1450" s="404" t="n"/>
      <c r="T1450" s="404" t="n"/>
      <c r="U1450" s="404" t="n"/>
      <c r="V1450" s="404" t="n"/>
      <c r="W1450" s="404" t="n">
        <v>0</v>
      </c>
      <c r="X1450" s="404" t="n">
        <v>1</v>
      </c>
      <c r="Y1450" s="404" t="n">
        <v>0</v>
      </c>
      <c r="Z1450" s="404" t="n"/>
      <c r="AA1450" s="404" t="n"/>
      <c r="AB1450" s="404" t="n"/>
    </row>
    <row r="1451">
      <c r="A1451" s="404" t="n">
        <v>50</v>
      </c>
      <c r="B1451" s="404" t="n">
        <v>0</v>
      </c>
      <c r="C1451" s="404" t="n">
        <v>0</v>
      </c>
      <c r="D1451" s="404" t="n">
        <v>1</v>
      </c>
      <c r="E1451" s="404" t="n">
        <v>231</v>
      </c>
      <c r="F1451" s="404">
        <f>ROUND(Source!BB1438,O1451)</f>
        <v/>
      </c>
      <c r="G1451" s="404" t="inlineStr">
        <is>
          <t>ЭММсНРиСП</t>
        </is>
      </c>
      <c r="H1451" s="404" t="inlineStr">
        <is>
          <t>Эксплуатация машин по ТСН-2001.16</t>
        </is>
      </c>
      <c r="I1451" s="404" t="n"/>
      <c r="J1451" s="404" t="n"/>
      <c r="K1451" s="404" t="n">
        <v>231</v>
      </c>
      <c r="L1451" s="404" t="n">
        <v>12</v>
      </c>
      <c r="M1451" s="404" t="n">
        <v>3</v>
      </c>
      <c r="N1451" s="404" t="inlineStr"/>
      <c r="O1451" s="404" t="n">
        <v>0</v>
      </c>
      <c r="P1451" s="404" t="n"/>
      <c r="Q1451" s="404" t="n"/>
      <c r="R1451" s="404" t="n"/>
      <c r="S1451" s="404" t="n"/>
      <c r="T1451" s="404" t="n"/>
      <c r="U1451" s="404" t="n"/>
      <c r="V1451" s="404" t="n"/>
      <c r="W1451" s="404" t="n">
        <v>0</v>
      </c>
      <c r="X1451" s="404" t="n">
        <v>1</v>
      </c>
      <c r="Y1451" s="404" t="n">
        <v>0</v>
      </c>
      <c r="Z1451" s="404" t="n"/>
      <c r="AA1451" s="404" t="n"/>
      <c r="AB1451" s="404" t="n"/>
    </row>
    <row r="1452">
      <c r="A1452" s="404" t="n">
        <v>50</v>
      </c>
      <c r="B1452" s="404" t="n">
        <v>0</v>
      </c>
      <c r="C1452" s="404" t="n">
        <v>0</v>
      </c>
      <c r="D1452" s="404" t="n">
        <v>1</v>
      </c>
      <c r="E1452" s="404" t="n">
        <v>204</v>
      </c>
      <c r="F1452" s="404">
        <f>ROUND(Source!R1438,O1452)</f>
        <v/>
      </c>
      <c r="G1452" s="404" t="inlineStr">
        <is>
          <t>ЗПМ</t>
        </is>
      </c>
      <c r="H1452" s="404" t="inlineStr">
        <is>
          <t>ЗП машинистов</t>
        </is>
      </c>
      <c r="I1452" s="404" t="n"/>
      <c r="J1452" s="404" t="n"/>
      <c r="K1452" s="404" t="n">
        <v>204</v>
      </c>
      <c r="L1452" s="404" t="n">
        <v>13</v>
      </c>
      <c r="M1452" s="404" t="n">
        <v>3</v>
      </c>
      <c r="N1452" s="404" t="inlineStr"/>
      <c r="O1452" s="404" t="n">
        <v>0</v>
      </c>
      <c r="P1452" s="404" t="n"/>
      <c r="Q1452" s="404" t="n"/>
      <c r="R1452" s="404" t="n"/>
      <c r="S1452" s="404" t="n"/>
      <c r="T1452" s="404" t="n"/>
      <c r="U1452" s="404" t="n"/>
      <c r="V1452" s="404" t="n"/>
      <c r="W1452" s="404" t="n">
        <v>0</v>
      </c>
      <c r="X1452" s="404" t="n">
        <v>1</v>
      </c>
      <c r="Y1452" s="404" t="n">
        <v>0</v>
      </c>
      <c r="Z1452" s="404" t="n"/>
      <c r="AA1452" s="404" t="n"/>
      <c r="AB1452" s="404" t="n"/>
    </row>
    <row r="1453">
      <c r="A1453" s="404" t="n">
        <v>50</v>
      </c>
      <c r="B1453" s="404" t="n">
        <v>0</v>
      </c>
      <c r="C1453" s="404" t="n">
        <v>0</v>
      </c>
      <c r="D1453" s="404" t="n">
        <v>1</v>
      </c>
      <c r="E1453" s="404" t="n">
        <v>205</v>
      </c>
      <c r="F1453" s="404">
        <f>ROUND(Source!S1438,O1453)</f>
        <v/>
      </c>
      <c r="G1453" s="404" t="inlineStr">
        <is>
          <t>ОЗП</t>
        </is>
      </c>
      <c r="H1453" s="404" t="inlineStr">
        <is>
          <t>Основная ЗП рабочих</t>
        </is>
      </c>
      <c r="I1453" s="404" t="n"/>
      <c r="J1453" s="404" t="n"/>
      <c r="K1453" s="404" t="n">
        <v>205</v>
      </c>
      <c r="L1453" s="404" t="n">
        <v>14</v>
      </c>
      <c r="M1453" s="404" t="n">
        <v>3</v>
      </c>
      <c r="N1453" s="404" t="inlineStr"/>
      <c r="O1453" s="404" t="n">
        <v>0</v>
      </c>
      <c r="P1453" s="404" t="n"/>
      <c r="Q1453" s="404" t="n"/>
      <c r="R1453" s="404" t="n"/>
      <c r="S1453" s="404" t="n"/>
      <c r="T1453" s="404" t="n"/>
      <c r="U1453" s="404" t="n"/>
      <c r="V1453" s="404" t="n"/>
      <c r="W1453" s="404" t="n">
        <v>0</v>
      </c>
      <c r="X1453" s="404" t="n">
        <v>1</v>
      </c>
      <c r="Y1453" s="404" t="n">
        <v>0</v>
      </c>
      <c r="Z1453" s="404" t="n"/>
      <c r="AA1453" s="404" t="n"/>
      <c r="AB1453" s="404" t="n"/>
    </row>
    <row r="1454">
      <c r="A1454" s="404" t="n">
        <v>50</v>
      </c>
      <c r="B1454" s="404" t="n">
        <v>0</v>
      </c>
      <c r="C1454" s="404" t="n">
        <v>0</v>
      </c>
      <c r="D1454" s="404" t="n">
        <v>1</v>
      </c>
      <c r="E1454" s="404" t="n">
        <v>232</v>
      </c>
      <c r="F1454" s="404">
        <f>ROUND(Source!BC1438,O1454)</f>
        <v/>
      </c>
      <c r="G1454" s="404" t="inlineStr">
        <is>
          <t>ОЗПсНРиСП</t>
        </is>
      </c>
      <c r="H1454" s="404" t="inlineStr">
        <is>
          <t>Основная ЗП рабочих по ТСН-2001.16</t>
        </is>
      </c>
      <c r="I1454" s="404" t="n"/>
      <c r="J1454" s="404" t="n"/>
      <c r="K1454" s="404" t="n">
        <v>232</v>
      </c>
      <c r="L1454" s="404" t="n">
        <v>15</v>
      </c>
      <c r="M1454" s="404" t="n">
        <v>3</v>
      </c>
      <c r="N1454" s="404" t="inlineStr"/>
      <c r="O1454" s="404" t="n">
        <v>0</v>
      </c>
      <c r="P1454" s="404" t="n"/>
      <c r="Q1454" s="404" t="n"/>
      <c r="R1454" s="404" t="n"/>
      <c r="S1454" s="404" t="n"/>
      <c r="T1454" s="404" t="n"/>
      <c r="U1454" s="404" t="n"/>
      <c r="V1454" s="404" t="n"/>
      <c r="W1454" s="404" t="n">
        <v>0</v>
      </c>
      <c r="X1454" s="404" t="n">
        <v>1</v>
      </c>
      <c r="Y1454" s="404" t="n">
        <v>0</v>
      </c>
      <c r="Z1454" s="404" t="n"/>
      <c r="AA1454" s="404" t="n"/>
      <c r="AB1454" s="404" t="n"/>
    </row>
    <row r="1455">
      <c r="A1455" s="404" t="n">
        <v>50</v>
      </c>
      <c r="B1455" s="404" t="n">
        <v>0</v>
      </c>
      <c r="C1455" s="404" t="n">
        <v>0</v>
      </c>
      <c r="D1455" s="404" t="n">
        <v>1</v>
      </c>
      <c r="E1455" s="404" t="n">
        <v>214</v>
      </c>
      <c r="F1455" s="404">
        <f>ROUND(Source!AS1438,O1455)</f>
        <v/>
      </c>
      <c r="G1455" s="404" t="inlineStr">
        <is>
          <t>Строит</t>
        </is>
      </c>
      <c r="H1455" s="404" t="inlineStr">
        <is>
          <t>Строительные работы с НР и СП</t>
        </is>
      </c>
      <c r="I1455" s="404" t="n"/>
      <c r="J1455" s="404" t="n"/>
      <c r="K1455" s="404" t="n">
        <v>214</v>
      </c>
      <c r="L1455" s="404" t="n">
        <v>16</v>
      </c>
      <c r="M1455" s="404" t="n">
        <v>3</v>
      </c>
      <c r="N1455" s="404" t="inlineStr"/>
      <c r="O1455" s="404" t="n">
        <v>0</v>
      </c>
      <c r="P1455" s="404" t="n"/>
      <c r="Q1455" s="404" t="n"/>
      <c r="R1455" s="404" t="n"/>
      <c r="S1455" s="404" t="n"/>
      <c r="T1455" s="404" t="n"/>
      <c r="U1455" s="404" t="n"/>
      <c r="V1455" s="404" t="n"/>
      <c r="W1455" s="404" t="n">
        <v>0</v>
      </c>
      <c r="X1455" s="404" t="n">
        <v>1</v>
      </c>
      <c r="Y1455" s="404" t="n">
        <v>0</v>
      </c>
      <c r="Z1455" s="404" t="n"/>
      <c r="AA1455" s="404" t="n"/>
      <c r="AB1455" s="404" t="n"/>
    </row>
    <row r="1456">
      <c r="A1456" s="404" t="n">
        <v>50</v>
      </c>
      <c r="B1456" s="404" t="n">
        <v>0</v>
      </c>
      <c r="C1456" s="404" t="n">
        <v>0</v>
      </c>
      <c r="D1456" s="404" t="n">
        <v>1</v>
      </c>
      <c r="E1456" s="404" t="n">
        <v>215</v>
      </c>
      <c r="F1456" s="404">
        <f>ROUND(Source!AT1438,O1456)</f>
        <v/>
      </c>
      <c r="G1456" s="404" t="inlineStr">
        <is>
          <t>Монтаж</t>
        </is>
      </c>
      <c r="H1456" s="404" t="inlineStr">
        <is>
          <t>Монтажные работы с НР и СП</t>
        </is>
      </c>
      <c r="I1456" s="404" t="n"/>
      <c r="J1456" s="404" t="n"/>
      <c r="K1456" s="404" t="n">
        <v>215</v>
      </c>
      <c r="L1456" s="404" t="n">
        <v>17</v>
      </c>
      <c r="M1456" s="404" t="n">
        <v>3</v>
      </c>
      <c r="N1456" s="404" t="inlineStr"/>
      <c r="O1456" s="404" t="n">
        <v>0</v>
      </c>
      <c r="P1456" s="404" t="n"/>
      <c r="Q1456" s="404" t="n"/>
      <c r="R1456" s="404" t="n"/>
      <c r="S1456" s="404" t="n"/>
      <c r="T1456" s="404" t="n"/>
      <c r="U1456" s="404" t="n"/>
      <c r="V1456" s="404" t="n"/>
      <c r="W1456" s="404" t="n">
        <v>0</v>
      </c>
      <c r="X1456" s="404" t="n">
        <v>1</v>
      </c>
      <c r="Y1456" s="404" t="n">
        <v>0</v>
      </c>
      <c r="Z1456" s="404" t="n"/>
      <c r="AA1456" s="404" t="n"/>
      <c r="AB1456" s="404" t="n"/>
    </row>
    <row r="1457">
      <c r="A1457" s="404" t="n">
        <v>50</v>
      </c>
      <c r="B1457" s="404" t="n">
        <v>0</v>
      </c>
      <c r="C1457" s="404" t="n">
        <v>0</v>
      </c>
      <c r="D1457" s="404" t="n">
        <v>1</v>
      </c>
      <c r="E1457" s="404" t="n">
        <v>217</v>
      </c>
      <c r="F1457" s="404">
        <f>ROUND(Source!AU1438,O1457)</f>
        <v/>
      </c>
      <c r="G1457" s="404" t="inlineStr">
        <is>
          <t>Прочие</t>
        </is>
      </c>
      <c r="H1457" s="404" t="inlineStr">
        <is>
          <t>Прочие работы с НР и СП</t>
        </is>
      </c>
      <c r="I1457" s="404" t="n"/>
      <c r="J1457" s="404" t="n"/>
      <c r="K1457" s="404" t="n">
        <v>217</v>
      </c>
      <c r="L1457" s="404" t="n">
        <v>18</v>
      </c>
      <c r="M1457" s="404" t="n">
        <v>3</v>
      </c>
      <c r="N1457" s="404" t="inlineStr"/>
      <c r="O1457" s="404" t="n">
        <v>0</v>
      </c>
      <c r="P1457" s="404" t="n"/>
      <c r="Q1457" s="404" t="n"/>
      <c r="R1457" s="404" t="n"/>
      <c r="S1457" s="404" t="n"/>
      <c r="T1457" s="404" t="n"/>
      <c r="U1457" s="404" t="n"/>
      <c r="V1457" s="404" t="n"/>
      <c r="W1457" s="404" t="n">
        <v>0</v>
      </c>
      <c r="X1457" s="404" t="n">
        <v>1</v>
      </c>
      <c r="Y1457" s="404" t="n">
        <v>0</v>
      </c>
      <c r="Z1457" s="404" t="n"/>
      <c r="AA1457" s="404" t="n"/>
      <c r="AB1457" s="404" t="n"/>
    </row>
    <row r="1458">
      <c r="A1458" s="404" t="n">
        <v>50</v>
      </c>
      <c r="B1458" s="404" t="n">
        <v>0</v>
      </c>
      <c r="C1458" s="404" t="n">
        <v>0</v>
      </c>
      <c r="D1458" s="404" t="n">
        <v>1</v>
      </c>
      <c r="E1458" s="404" t="n">
        <v>230</v>
      </c>
      <c r="F1458" s="404">
        <f>ROUND(Source!BA1438,O1458)</f>
        <v/>
      </c>
      <c r="G1458" s="404" t="inlineStr">
        <is>
          <t>ПрочиеЗатр</t>
        </is>
      </c>
      <c r="H1458" s="404" t="inlineStr">
        <is>
          <t>Прочие затраты по ТСН-2001.16</t>
        </is>
      </c>
      <c r="I1458" s="404" t="n"/>
      <c r="J1458" s="404" t="n"/>
      <c r="K1458" s="404" t="n">
        <v>230</v>
      </c>
      <c r="L1458" s="404" t="n">
        <v>19</v>
      </c>
      <c r="M1458" s="404" t="n">
        <v>3</v>
      </c>
      <c r="N1458" s="404" t="inlineStr"/>
      <c r="O1458" s="404" t="n">
        <v>0</v>
      </c>
      <c r="P1458" s="404" t="n"/>
      <c r="Q1458" s="404" t="n"/>
      <c r="R1458" s="404" t="n"/>
      <c r="S1458" s="404" t="n"/>
      <c r="T1458" s="404" t="n"/>
      <c r="U1458" s="404" t="n"/>
      <c r="V1458" s="404" t="n"/>
      <c r="W1458" s="404" t="n">
        <v>0</v>
      </c>
      <c r="X1458" s="404" t="n">
        <v>1</v>
      </c>
      <c r="Y1458" s="404" t="n">
        <v>0</v>
      </c>
      <c r="Z1458" s="404" t="n"/>
      <c r="AA1458" s="404" t="n"/>
      <c r="AB1458" s="404" t="n"/>
    </row>
    <row r="1459">
      <c r="A1459" s="404" t="n">
        <v>50</v>
      </c>
      <c r="B1459" s="404" t="n">
        <v>0</v>
      </c>
      <c r="C1459" s="404" t="n">
        <v>0</v>
      </c>
      <c r="D1459" s="404" t="n">
        <v>1</v>
      </c>
      <c r="E1459" s="404" t="n">
        <v>206</v>
      </c>
      <c r="F1459" s="404">
        <f>ROUND(Source!T1438,O1459)</f>
        <v/>
      </c>
      <c r="G1459" s="404" t="inlineStr">
        <is>
          <t>ВозврМат</t>
        </is>
      </c>
      <c r="H1459" s="404" t="inlineStr">
        <is>
          <t>Возврат материалов</t>
        </is>
      </c>
      <c r="I1459" s="404" t="n"/>
      <c r="J1459" s="404" t="n"/>
      <c r="K1459" s="404" t="n">
        <v>206</v>
      </c>
      <c r="L1459" s="404" t="n">
        <v>20</v>
      </c>
      <c r="M1459" s="404" t="n">
        <v>3</v>
      </c>
      <c r="N1459" s="404" t="inlineStr"/>
      <c r="O1459" s="404" t="n">
        <v>0</v>
      </c>
      <c r="P1459" s="404" t="n"/>
      <c r="Q1459" s="404" t="n"/>
      <c r="R1459" s="404" t="n"/>
      <c r="S1459" s="404" t="n"/>
      <c r="T1459" s="404" t="n"/>
      <c r="U1459" s="404" t="n"/>
      <c r="V1459" s="404" t="n"/>
      <c r="W1459" s="404" t="n">
        <v>0</v>
      </c>
      <c r="X1459" s="404" t="n">
        <v>1</v>
      </c>
      <c r="Y1459" s="404" t="n">
        <v>0</v>
      </c>
      <c r="Z1459" s="404" t="n"/>
      <c r="AA1459" s="404" t="n"/>
      <c r="AB1459" s="404" t="n"/>
    </row>
    <row r="1460">
      <c r="A1460" s="404" t="n">
        <v>50</v>
      </c>
      <c r="B1460" s="404" t="n">
        <v>0</v>
      </c>
      <c r="C1460" s="404" t="n">
        <v>0</v>
      </c>
      <c r="D1460" s="404" t="n">
        <v>1</v>
      </c>
      <c r="E1460" s="404" t="n">
        <v>207</v>
      </c>
      <c r="F1460" s="404">
        <f>ROUND(Source!U1438,O1460)</f>
        <v/>
      </c>
      <c r="G1460" s="404" t="inlineStr">
        <is>
          <t>ТрудСтр</t>
        </is>
      </c>
      <c r="H1460" s="404" t="inlineStr">
        <is>
          <t>Трудозатраты строителей</t>
        </is>
      </c>
      <c r="I1460" s="404" t="n"/>
      <c r="J1460" s="404" t="n"/>
      <c r="K1460" s="404" t="n">
        <v>207</v>
      </c>
      <c r="L1460" s="404" t="n">
        <v>21</v>
      </c>
      <c r="M1460" s="404" t="n">
        <v>3</v>
      </c>
      <c r="N1460" s="404" t="inlineStr"/>
      <c r="O1460" s="404" t="n">
        <v>7</v>
      </c>
      <c r="P1460" s="404" t="n"/>
      <c r="Q1460" s="404" t="n"/>
      <c r="R1460" s="404" t="n"/>
      <c r="S1460" s="404" t="n"/>
      <c r="T1460" s="404" t="n"/>
      <c r="U1460" s="404" t="n"/>
      <c r="V1460" s="404" t="n"/>
      <c r="W1460" s="404" t="n">
        <v>0</v>
      </c>
      <c r="X1460" s="404" t="n">
        <v>1</v>
      </c>
      <c r="Y1460" s="404" t="n">
        <v>0</v>
      </c>
      <c r="Z1460" s="404" t="n"/>
      <c r="AA1460" s="404" t="n"/>
      <c r="AB1460" s="404" t="n"/>
    </row>
    <row r="1461">
      <c r="A1461" s="404" t="n">
        <v>50</v>
      </c>
      <c r="B1461" s="404" t="n">
        <v>0</v>
      </c>
      <c r="C1461" s="404" t="n">
        <v>0</v>
      </c>
      <c r="D1461" s="404" t="n">
        <v>1</v>
      </c>
      <c r="E1461" s="404" t="n">
        <v>208</v>
      </c>
      <c r="F1461" s="404">
        <f>ROUND(Source!V1438,O1461)</f>
        <v/>
      </c>
      <c r="G1461" s="404" t="inlineStr">
        <is>
          <t>ТрудМаш</t>
        </is>
      </c>
      <c r="H1461" s="404" t="inlineStr">
        <is>
          <t>Трудозатраты машинистов</t>
        </is>
      </c>
      <c r="I1461" s="404" t="n"/>
      <c r="J1461" s="404" t="n"/>
      <c r="K1461" s="404" t="n">
        <v>208</v>
      </c>
      <c r="L1461" s="404" t="n">
        <v>22</v>
      </c>
      <c r="M1461" s="404" t="n">
        <v>3</v>
      </c>
      <c r="N1461" s="404" t="inlineStr"/>
      <c r="O1461" s="404" t="n">
        <v>7</v>
      </c>
      <c r="P1461" s="404" t="n"/>
      <c r="Q1461" s="404" t="n"/>
      <c r="R1461" s="404" t="n"/>
      <c r="S1461" s="404" t="n"/>
      <c r="T1461" s="404" t="n"/>
      <c r="U1461" s="404" t="n"/>
      <c r="V1461" s="404" t="n"/>
      <c r="W1461" s="404" t="n">
        <v>0</v>
      </c>
      <c r="X1461" s="404" t="n">
        <v>1</v>
      </c>
      <c r="Y1461" s="404" t="n">
        <v>0</v>
      </c>
      <c r="Z1461" s="404" t="n"/>
      <c r="AA1461" s="404" t="n"/>
      <c r="AB1461" s="404" t="n"/>
    </row>
    <row r="1462">
      <c r="A1462" s="404" t="n">
        <v>50</v>
      </c>
      <c r="B1462" s="404" t="n">
        <v>0</v>
      </c>
      <c r="C1462" s="404" t="n">
        <v>0</v>
      </c>
      <c r="D1462" s="404" t="n">
        <v>1</v>
      </c>
      <c r="E1462" s="404" t="n">
        <v>209</v>
      </c>
      <c r="F1462" s="404">
        <f>ROUND(Source!W1438,O1462)</f>
        <v/>
      </c>
      <c r="G1462" s="404" t="inlineStr">
        <is>
          <t>ТранспМат</t>
        </is>
      </c>
      <c r="H1462" s="404" t="inlineStr">
        <is>
          <t>Транспорт материалов</t>
        </is>
      </c>
      <c r="I1462" s="404" t="n"/>
      <c r="J1462" s="404" t="n"/>
      <c r="K1462" s="404" t="n">
        <v>209</v>
      </c>
      <c r="L1462" s="404" t="n">
        <v>23</v>
      </c>
      <c r="M1462" s="404" t="n">
        <v>3</v>
      </c>
      <c r="N1462" s="404" t="inlineStr"/>
      <c r="O1462" s="404" t="n">
        <v>0</v>
      </c>
      <c r="P1462" s="404" t="n"/>
      <c r="Q1462" s="404" t="n"/>
      <c r="R1462" s="404" t="n"/>
      <c r="S1462" s="404" t="n"/>
      <c r="T1462" s="404" t="n"/>
      <c r="U1462" s="404" t="n"/>
      <c r="V1462" s="404" t="n"/>
      <c r="W1462" s="404" t="n">
        <v>0</v>
      </c>
      <c r="X1462" s="404" t="n">
        <v>1</v>
      </c>
      <c r="Y1462" s="404" t="n">
        <v>0</v>
      </c>
      <c r="Z1462" s="404" t="n"/>
      <c r="AA1462" s="404" t="n"/>
      <c r="AB1462" s="404" t="n"/>
    </row>
    <row r="1463">
      <c r="A1463" s="404" t="n">
        <v>50</v>
      </c>
      <c r="B1463" s="404" t="n">
        <v>0</v>
      </c>
      <c r="C1463" s="404" t="n">
        <v>0</v>
      </c>
      <c r="D1463" s="404" t="n">
        <v>1</v>
      </c>
      <c r="E1463" s="404" t="n">
        <v>233</v>
      </c>
      <c r="F1463" s="404">
        <f>ROUND(Source!BD1438,O1463)</f>
        <v/>
      </c>
      <c r="G1463" s="404" t="inlineStr">
        <is>
          <t>Перевозка</t>
        </is>
      </c>
      <c r="H1463" s="404" t="inlineStr">
        <is>
          <t>Перевозка грузов</t>
        </is>
      </c>
      <c r="I1463" s="404" t="n"/>
      <c r="J1463" s="404" t="n"/>
      <c r="K1463" s="404" t="n">
        <v>233</v>
      </c>
      <c r="L1463" s="404" t="n">
        <v>24</v>
      </c>
      <c r="M1463" s="404" t="n">
        <v>3</v>
      </c>
      <c r="N1463" s="404" t="inlineStr"/>
      <c r="O1463" s="404" t="n">
        <v>0</v>
      </c>
      <c r="P1463" s="404" t="n"/>
      <c r="Q1463" s="404" t="n"/>
      <c r="R1463" s="404" t="n"/>
      <c r="S1463" s="404" t="n"/>
      <c r="T1463" s="404" t="n"/>
      <c r="U1463" s="404" t="n"/>
      <c r="V1463" s="404" t="n"/>
      <c r="W1463" s="404" t="n">
        <v>0</v>
      </c>
      <c r="X1463" s="404" t="n">
        <v>1</v>
      </c>
      <c r="Y1463" s="404" t="n">
        <v>0</v>
      </c>
      <c r="Z1463" s="404" t="n"/>
      <c r="AA1463" s="404" t="n"/>
      <c r="AB1463" s="404" t="n"/>
    </row>
    <row r="1464">
      <c r="A1464" s="404" t="n">
        <v>50</v>
      </c>
      <c r="B1464" s="404" t="n">
        <v>0</v>
      </c>
      <c r="C1464" s="404" t="n">
        <v>0</v>
      </c>
      <c r="D1464" s="404" t="n">
        <v>1</v>
      </c>
      <c r="E1464" s="404" t="n">
        <v>210</v>
      </c>
      <c r="F1464" s="404">
        <f>ROUND(Source!X1438,O1464)</f>
        <v/>
      </c>
      <c r="G1464" s="404" t="inlineStr">
        <is>
          <t>НР</t>
        </is>
      </c>
      <c r="H1464" s="404" t="inlineStr">
        <is>
          <t>Накладные расходы</t>
        </is>
      </c>
      <c r="I1464" s="404" t="n"/>
      <c r="J1464" s="404" t="n"/>
      <c r="K1464" s="404" t="n">
        <v>210</v>
      </c>
      <c r="L1464" s="404" t="n">
        <v>25</v>
      </c>
      <c r="M1464" s="404" t="n">
        <v>3</v>
      </c>
      <c r="N1464" s="404" t="inlineStr"/>
      <c r="O1464" s="404" t="n">
        <v>0</v>
      </c>
      <c r="P1464" s="404" t="n"/>
      <c r="Q1464" s="404" t="n"/>
      <c r="R1464" s="404" t="n"/>
      <c r="S1464" s="404" t="n"/>
      <c r="T1464" s="404" t="n"/>
      <c r="U1464" s="404" t="n"/>
      <c r="V1464" s="404" t="n"/>
      <c r="W1464" s="404" t="n">
        <v>0</v>
      </c>
      <c r="X1464" s="404" t="n">
        <v>1</v>
      </c>
      <c r="Y1464" s="404" t="n">
        <v>0</v>
      </c>
      <c r="Z1464" s="404" t="n"/>
      <c r="AA1464" s="404" t="n"/>
      <c r="AB1464" s="404" t="n"/>
    </row>
    <row r="1465">
      <c r="A1465" s="404" t="n">
        <v>50</v>
      </c>
      <c r="B1465" s="404" t="n">
        <v>0</v>
      </c>
      <c r="C1465" s="404" t="n">
        <v>0</v>
      </c>
      <c r="D1465" s="404" t="n">
        <v>1</v>
      </c>
      <c r="E1465" s="404" t="n">
        <v>211</v>
      </c>
      <c r="F1465" s="404">
        <f>ROUND(Source!Y1438,O1465)</f>
        <v/>
      </c>
      <c r="G1465" s="404" t="inlineStr">
        <is>
          <t>СмПриб</t>
        </is>
      </c>
      <c r="H1465" s="404" t="inlineStr">
        <is>
          <t>Сметная прибыль</t>
        </is>
      </c>
      <c r="I1465" s="404" t="n"/>
      <c r="J1465" s="404" t="n"/>
      <c r="K1465" s="404" t="n">
        <v>211</v>
      </c>
      <c r="L1465" s="404" t="n">
        <v>26</v>
      </c>
      <c r="M1465" s="404" t="n">
        <v>3</v>
      </c>
      <c r="N1465" s="404" t="inlineStr"/>
      <c r="O1465" s="404" t="n">
        <v>0</v>
      </c>
      <c r="P1465" s="404" t="n"/>
      <c r="Q1465" s="404" t="n"/>
      <c r="R1465" s="404" t="n"/>
      <c r="S1465" s="404" t="n"/>
      <c r="T1465" s="404" t="n"/>
      <c r="U1465" s="404" t="n"/>
      <c r="V1465" s="404" t="n"/>
      <c r="W1465" s="404" t="n">
        <v>0</v>
      </c>
      <c r="X1465" s="404" t="n">
        <v>1</v>
      </c>
      <c r="Y1465" s="404" t="n">
        <v>0</v>
      </c>
      <c r="Z1465" s="404" t="n"/>
      <c r="AA1465" s="404" t="n"/>
      <c r="AB1465" s="404" t="n"/>
    </row>
    <row r="1466">
      <c r="A1466" s="404" t="n">
        <v>50</v>
      </c>
      <c r="B1466" s="404" t="n">
        <v>0</v>
      </c>
      <c r="C1466" s="404" t="n">
        <v>0</v>
      </c>
      <c r="D1466" s="404" t="n">
        <v>1</v>
      </c>
      <c r="E1466" s="404" t="n">
        <v>224</v>
      </c>
      <c r="F1466" s="404">
        <f>ROUND(Source!AR1438,O1466)</f>
        <v/>
      </c>
      <c r="G1466" s="404" t="inlineStr">
        <is>
          <t>Всего</t>
        </is>
      </c>
      <c r="H1466" s="404" t="inlineStr">
        <is>
          <t>Всего с НР и СП</t>
        </is>
      </c>
      <c r="I1466" s="404" t="n"/>
      <c r="J1466" s="404" t="n"/>
      <c r="K1466" s="404" t="n">
        <v>224</v>
      </c>
      <c r="L1466" s="404" t="n">
        <v>27</v>
      </c>
      <c r="M1466" s="404" t="n">
        <v>3</v>
      </c>
      <c r="N1466" s="404" t="inlineStr"/>
      <c r="O1466" s="404" t="n">
        <v>0</v>
      </c>
      <c r="P1466" s="404" t="n"/>
      <c r="Q1466" s="404" t="n"/>
      <c r="R1466" s="404" t="n"/>
      <c r="S1466" s="404" t="n"/>
      <c r="T1466" s="404" t="n"/>
      <c r="U1466" s="404" t="n"/>
      <c r="V1466" s="404" t="n"/>
      <c r="W1466" s="404" t="n">
        <v>0</v>
      </c>
      <c r="X1466" s="404" t="n">
        <v>1</v>
      </c>
      <c r="Y1466" s="404" t="n">
        <v>0</v>
      </c>
      <c r="Z1466" s="404" t="n"/>
      <c r="AA1466" s="404" t="n"/>
      <c r="AB1466" s="404" t="n"/>
    </row>
    <row r="1467">
      <c r="A1467" s="404" t="n">
        <v>50</v>
      </c>
      <c r="B1467" s="404" t="n">
        <v>0</v>
      </c>
      <c r="C1467" s="404" t="n">
        <v>0</v>
      </c>
      <c r="D1467" s="404" t="n">
        <v>2</v>
      </c>
      <c r="E1467" s="404" t="n">
        <v>0</v>
      </c>
      <c r="F1467" s="404">
        <f>ROUND(F1466,O1467)</f>
        <v/>
      </c>
      <c r="G1467" s="404" t="inlineStr">
        <is>
          <t>и1</t>
        </is>
      </c>
      <c r="H1467" s="404" t="inlineStr">
        <is>
          <t>Итого</t>
        </is>
      </c>
      <c r="I1467" s="404" t="n"/>
      <c r="J1467" s="404" t="n"/>
      <c r="K1467" s="404" t="n">
        <v>212</v>
      </c>
      <c r="L1467" s="404" t="n">
        <v>28</v>
      </c>
      <c r="M1467" s="404" t="n">
        <v>0</v>
      </c>
      <c r="N1467" s="404" t="inlineStr"/>
      <c r="O1467" s="404" t="n">
        <v>0</v>
      </c>
      <c r="P1467" s="404" t="n"/>
      <c r="Q1467" s="404" t="n"/>
      <c r="R1467" s="404" t="n"/>
      <c r="S1467" s="404" t="n"/>
      <c r="T1467" s="404" t="n"/>
      <c r="U1467" s="404" t="n"/>
      <c r="V1467" s="404" t="n"/>
      <c r="W1467" s="404" t="n">
        <v>0</v>
      </c>
      <c r="X1467" s="404" t="n">
        <v>1</v>
      </c>
      <c r="Y1467" s="404" t="n">
        <v>0</v>
      </c>
      <c r="Z1467" s="404" t="n"/>
      <c r="AA1467" s="404" t="n"/>
      <c r="AB1467" s="404" t="n"/>
    </row>
    <row r="1468">
      <c r="A1468" s="404" t="n">
        <v>50</v>
      </c>
      <c r="B1468" s="404" t="n">
        <v>0</v>
      </c>
      <c r="C1468" s="404" t="n">
        <v>0</v>
      </c>
      <c r="D1468" s="404" t="n">
        <v>2</v>
      </c>
      <c r="E1468" s="404" t="n">
        <v>0</v>
      </c>
      <c r="F1468" s="404">
        <f>ROUND(F1467*0.22,O1468)</f>
        <v/>
      </c>
      <c r="G1468" s="404" t="inlineStr">
        <is>
          <t>и2</t>
        </is>
      </c>
      <c r="H1468" s="404" t="inlineStr">
        <is>
          <t>НДС 22%</t>
        </is>
      </c>
      <c r="I1468" s="404" t="n"/>
      <c r="J1468" s="404" t="n"/>
      <c r="K1468" s="404" t="n">
        <v>212</v>
      </c>
      <c r="L1468" s="404" t="n">
        <v>29</v>
      </c>
      <c r="M1468" s="404" t="n">
        <v>0</v>
      </c>
      <c r="N1468" s="404" t="inlineStr"/>
      <c r="O1468" s="404" t="n">
        <v>0</v>
      </c>
      <c r="P1468" s="404" t="n"/>
      <c r="Q1468" s="404" t="n"/>
      <c r="R1468" s="404" t="n"/>
      <c r="S1468" s="404" t="n"/>
      <c r="T1468" s="404" t="n"/>
      <c r="U1468" s="404" t="n"/>
      <c r="V1468" s="404" t="n"/>
      <c r="W1468" s="404" t="n">
        <v>0</v>
      </c>
      <c r="X1468" s="404" t="n">
        <v>1</v>
      </c>
      <c r="Y1468" s="404" t="n">
        <v>0</v>
      </c>
      <c r="Z1468" s="404" t="n"/>
      <c r="AA1468" s="404" t="n"/>
      <c r="AB1468" s="404" t="n"/>
    </row>
    <row r="1469">
      <c r="A1469" s="404" t="n">
        <v>50</v>
      </c>
      <c r="B1469" s="404" t="n">
        <v>0</v>
      </c>
      <c r="C1469" s="404" t="n">
        <v>0</v>
      </c>
      <c r="D1469" s="404" t="n">
        <v>2</v>
      </c>
      <c r="E1469" s="404" t="n">
        <v>213</v>
      </c>
      <c r="F1469" s="404">
        <f>ROUND(F1467+F1468,O1469)</f>
        <v/>
      </c>
      <c r="G1469" s="404" t="inlineStr">
        <is>
          <t>и3</t>
        </is>
      </c>
      <c r="H1469" s="404" t="inlineStr">
        <is>
          <t>Всего</t>
        </is>
      </c>
      <c r="I1469" s="404" t="n"/>
      <c r="J1469" s="404" t="n"/>
      <c r="K1469" s="404" t="n">
        <v>212</v>
      </c>
      <c r="L1469" s="404" t="n">
        <v>30</v>
      </c>
      <c r="M1469" s="404" t="n">
        <v>0</v>
      </c>
      <c r="N1469" s="404" t="inlineStr"/>
      <c r="O1469" s="404" t="n">
        <v>0</v>
      </c>
      <c r="P1469" s="404" t="n"/>
      <c r="Q1469" s="404" t="n"/>
      <c r="R1469" s="404" t="n"/>
      <c r="S1469" s="404" t="n"/>
      <c r="T1469" s="404" t="n"/>
      <c r="U1469" s="404" t="n"/>
      <c r="V1469" s="404" t="n"/>
      <c r="W1469" s="404" t="n">
        <v>0</v>
      </c>
      <c r="X1469" s="404" t="n">
        <v>1</v>
      </c>
      <c r="Y1469" s="404" t="n">
        <v>0</v>
      </c>
      <c r="Z1469" s="404" t="n"/>
      <c r="AA1469" s="404" t="n"/>
      <c r="AB1469" s="404" t="n"/>
    </row>
    <row r="1470"/>
    <row r="1471">
      <c r="A1471" s="401" t="n">
        <v>3</v>
      </c>
      <c r="B1471" s="401" t="n">
        <v>0</v>
      </c>
      <c r="C1471" s="401" t="n"/>
      <c r="D1471" s="401">
        <f>ROW(A1480)</f>
        <v/>
      </c>
      <c r="E1471" s="401" t="n"/>
      <c r="F1471" s="401" t="inlineStr">
        <is>
          <t>Новая локальная смета</t>
        </is>
      </c>
      <c r="G1471" s="401" t="inlineStr">
        <is>
          <t>Победы 1</t>
        </is>
      </c>
      <c r="H1471" s="401" t="inlineStr"/>
      <c r="I1471" s="401" t="n">
        <v>0</v>
      </c>
      <c r="J1471" s="401" t="inlineStr"/>
      <c r="K1471" s="401" t="n">
        <v>0</v>
      </c>
      <c r="L1471" s="401" t="inlineStr">
        <is>
          <t>Новая локальная смета</t>
        </is>
      </c>
      <c r="M1471" s="401" t="inlineStr"/>
      <c r="N1471" s="401" t="n"/>
      <c r="O1471" s="401" t="n"/>
      <c r="P1471" s="401" t="n"/>
      <c r="Q1471" s="401" t="n"/>
      <c r="R1471" s="401" t="n"/>
      <c r="S1471" s="401" t="n">
        <v>0</v>
      </c>
      <c r="T1471" s="401" t="n"/>
      <c r="U1471" s="401" t="inlineStr"/>
      <c r="V1471" s="401" t="n">
        <v>0</v>
      </c>
      <c r="W1471" s="401" t="n"/>
      <c r="X1471" s="401" t="n"/>
      <c r="Y1471" s="401" t="n"/>
      <c r="Z1471" s="401" t="n"/>
      <c r="AA1471" s="401" t="n"/>
      <c r="AB1471" s="401" t="inlineStr"/>
      <c r="AC1471" s="401" t="inlineStr"/>
      <c r="AD1471" s="401" t="inlineStr"/>
      <c r="AE1471" s="401" t="inlineStr"/>
      <c r="AF1471" s="401" t="inlineStr"/>
      <c r="AG1471" s="401" t="inlineStr"/>
      <c r="AH1471" s="401" t="n"/>
      <c r="AI1471" s="401" t="n"/>
      <c r="AJ1471" s="401" t="n"/>
      <c r="AK1471" s="401" t="n"/>
      <c r="AL1471" s="401" t="n"/>
      <c r="AM1471" s="401" t="n"/>
      <c r="AN1471" s="401" t="n"/>
      <c r="AO1471" s="401" t="n"/>
      <c r="AP1471" s="401" t="inlineStr"/>
      <c r="AQ1471" s="401" t="inlineStr"/>
      <c r="AR1471" s="401" t="inlineStr"/>
      <c r="AS1471" s="401" t="n"/>
      <c r="AT1471" s="401" t="n"/>
      <c r="AU1471" s="401" t="n"/>
      <c r="AV1471" s="401" t="n"/>
      <c r="AW1471" s="401" t="n"/>
      <c r="AX1471" s="401" t="n"/>
      <c r="AY1471" s="401" t="n"/>
      <c r="AZ1471" s="401" t="inlineStr"/>
      <c r="BA1471" s="401" t="n"/>
      <c r="BB1471" s="401" t="inlineStr"/>
      <c r="BC1471" s="401" t="inlineStr"/>
      <c r="BD1471" s="401" t="inlineStr"/>
      <c r="BE1471" s="401" t="inlineStr"/>
      <c r="BF1471" s="401" t="inlineStr"/>
      <c r="BG1471" s="401" t="inlineStr"/>
      <c r="BH1471" s="401" t="inlineStr"/>
      <c r="BI1471" s="401" t="inlineStr"/>
      <c r="BJ1471" s="401" t="inlineStr"/>
      <c r="BK1471" s="401" t="inlineStr"/>
      <c r="BL1471" s="401" t="inlineStr"/>
      <c r="BM1471" s="401" t="inlineStr"/>
      <c r="BN1471" s="401" t="inlineStr"/>
      <c r="BO1471" s="401" t="inlineStr"/>
      <c r="BP1471" s="401" t="inlineStr"/>
      <c r="BQ1471" s="401" t="n"/>
      <c r="BR1471" s="401" t="n"/>
      <c r="BS1471" s="401" t="n"/>
      <c r="BT1471" s="401" t="n"/>
      <c r="BU1471" s="401" t="n"/>
      <c r="BV1471" s="401" t="n"/>
      <c r="BW1471" s="401" t="n"/>
      <c r="BX1471" s="401" t="n">
        <v>0</v>
      </c>
      <c r="BY1471" s="401" t="n"/>
      <c r="BZ1471" s="401" t="n"/>
      <c r="CA1471" s="401" t="n"/>
      <c r="CB1471" s="401" t="n"/>
      <c r="CC1471" s="401" t="n"/>
      <c r="CD1471" s="401" t="n"/>
      <c r="CE1471" s="401" t="n"/>
      <c r="CF1471" s="401" t="n">
        <v>0</v>
      </c>
      <c r="CG1471" s="401" t="n">
        <v>0</v>
      </c>
      <c r="CH1471" s="401" t="n"/>
      <c r="CI1471" s="401" t="inlineStr"/>
      <c r="CJ1471" s="401" t="inlineStr"/>
      <c r="CK1471" t="inlineStr"/>
      <c r="CL1471" t="inlineStr"/>
      <c r="CM1471" t="inlineStr"/>
      <c r="CN1471" t="inlineStr"/>
      <c r="CO1471" t="inlineStr"/>
      <c r="CP1471" t="inlineStr"/>
      <c r="CQ1471" t="inlineStr"/>
    </row>
    <row r="1472"/>
    <row r="1473">
      <c r="A1473" s="402" t="n">
        <v>52</v>
      </c>
      <c r="B1473" s="402">
        <f>B1480</f>
        <v/>
      </c>
      <c r="C1473" s="402">
        <f>C1480</f>
        <v/>
      </c>
      <c r="D1473" s="402">
        <f>D1480</f>
        <v/>
      </c>
      <c r="E1473" s="402">
        <f>E1480</f>
        <v/>
      </c>
      <c r="F1473" s="402">
        <f>F1480</f>
        <v/>
      </c>
      <c r="G1473" s="402">
        <f>G1480</f>
        <v/>
      </c>
      <c r="H1473" s="402" t="n"/>
      <c r="I1473" s="402" t="n"/>
      <c r="J1473" s="402" t="n"/>
      <c r="K1473" s="402" t="n"/>
      <c r="L1473" s="402" t="n"/>
      <c r="M1473" s="402" t="n"/>
      <c r="N1473" s="402" t="n"/>
      <c r="O1473" s="402">
        <f>O1480</f>
        <v/>
      </c>
      <c r="P1473" s="402">
        <f>P1480</f>
        <v/>
      </c>
      <c r="Q1473" s="402">
        <f>Q1480</f>
        <v/>
      </c>
      <c r="R1473" s="402">
        <f>R1480</f>
        <v/>
      </c>
      <c r="S1473" s="402">
        <f>S1480</f>
        <v/>
      </c>
      <c r="T1473" s="402">
        <f>T1480</f>
        <v/>
      </c>
      <c r="U1473" s="402">
        <f>U1480</f>
        <v/>
      </c>
      <c r="V1473" s="402">
        <f>V1480</f>
        <v/>
      </c>
      <c r="W1473" s="402">
        <f>W1480</f>
        <v/>
      </c>
      <c r="X1473" s="402">
        <f>X1480</f>
        <v/>
      </c>
      <c r="Y1473" s="402">
        <f>Y1480</f>
        <v/>
      </c>
      <c r="Z1473" s="402">
        <f>Z1480</f>
        <v/>
      </c>
      <c r="AA1473" s="402">
        <f>AA1480</f>
        <v/>
      </c>
      <c r="AB1473" s="402">
        <f>AB1480</f>
        <v/>
      </c>
      <c r="AC1473" s="402">
        <f>AC1480</f>
        <v/>
      </c>
      <c r="AD1473" s="402">
        <f>AD1480</f>
        <v/>
      </c>
      <c r="AE1473" s="402">
        <f>AE1480</f>
        <v/>
      </c>
      <c r="AF1473" s="402">
        <f>AF1480</f>
        <v/>
      </c>
      <c r="AG1473" s="402">
        <f>AG1480</f>
        <v/>
      </c>
      <c r="AH1473" s="402">
        <f>AH1480</f>
        <v/>
      </c>
      <c r="AI1473" s="402">
        <f>AI1480</f>
        <v/>
      </c>
      <c r="AJ1473" s="402">
        <f>AJ1480</f>
        <v/>
      </c>
      <c r="AK1473" s="402">
        <f>AK1480</f>
        <v/>
      </c>
      <c r="AL1473" s="402">
        <f>AL1480</f>
        <v/>
      </c>
      <c r="AM1473" s="402">
        <f>AM1480</f>
        <v/>
      </c>
      <c r="AN1473" s="402">
        <f>AN1480</f>
        <v/>
      </c>
      <c r="AO1473" s="402">
        <f>AO1480</f>
        <v/>
      </c>
      <c r="AP1473" s="402">
        <f>AP1480</f>
        <v/>
      </c>
      <c r="AQ1473" s="402">
        <f>AQ1480</f>
        <v/>
      </c>
      <c r="AR1473" s="402">
        <f>AR1480</f>
        <v/>
      </c>
      <c r="AS1473" s="402">
        <f>AS1480</f>
        <v/>
      </c>
      <c r="AT1473" s="402">
        <f>AT1480</f>
        <v/>
      </c>
      <c r="AU1473" s="402">
        <f>AU1480</f>
        <v/>
      </c>
      <c r="AV1473" s="402">
        <f>AV1480</f>
        <v/>
      </c>
      <c r="AW1473" s="402">
        <f>AW1480</f>
        <v/>
      </c>
      <c r="AX1473" s="402">
        <f>AX1480</f>
        <v/>
      </c>
      <c r="AY1473" s="402">
        <f>AY1480</f>
        <v/>
      </c>
      <c r="AZ1473" s="402">
        <f>AZ1480</f>
        <v/>
      </c>
      <c r="BA1473" s="402">
        <f>BA1480</f>
        <v/>
      </c>
      <c r="BB1473" s="402">
        <f>BB1480</f>
        <v/>
      </c>
      <c r="BC1473" s="402">
        <f>BC1480</f>
        <v/>
      </c>
      <c r="BD1473" s="402">
        <f>BD1480</f>
        <v/>
      </c>
      <c r="BE1473" s="402">
        <f>BE1480</f>
        <v/>
      </c>
      <c r="BF1473" s="402">
        <f>BF1480</f>
        <v/>
      </c>
      <c r="BG1473" s="402">
        <f>BG1480</f>
        <v/>
      </c>
      <c r="BH1473" s="402">
        <f>BH1480</f>
        <v/>
      </c>
      <c r="BI1473" s="402">
        <f>BI1480</f>
        <v/>
      </c>
      <c r="BJ1473" s="402">
        <f>BJ1480</f>
        <v/>
      </c>
      <c r="BK1473" s="402">
        <f>BK1480</f>
        <v/>
      </c>
      <c r="BL1473" s="402">
        <f>BL1480</f>
        <v/>
      </c>
      <c r="BM1473" s="402">
        <f>BM1480</f>
        <v/>
      </c>
      <c r="BN1473" s="402">
        <f>BN1480</f>
        <v/>
      </c>
      <c r="BO1473" s="402">
        <f>BO1480</f>
        <v/>
      </c>
      <c r="BP1473" s="402">
        <f>BP1480</f>
        <v/>
      </c>
      <c r="BQ1473" s="402">
        <f>BQ1480</f>
        <v/>
      </c>
      <c r="BR1473" s="402">
        <f>BR1480</f>
        <v/>
      </c>
      <c r="BS1473" s="402">
        <f>BS1480</f>
        <v/>
      </c>
      <c r="BT1473" s="402">
        <f>BT1480</f>
        <v/>
      </c>
      <c r="BU1473" s="402">
        <f>BU1480</f>
        <v/>
      </c>
      <c r="BV1473" s="402">
        <f>BV1480</f>
        <v/>
      </c>
      <c r="BW1473" s="402">
        <f>BW1480</f>
        <v/>
      </c>
      <c r="BX1473" s="402">
        <f>BX1480</f>
        <v/>
      </c>
      <c r="BY1473" s="402">
        <f>BY1480</f>
        <v/>
      </c>
      <c r="BZ1473" s="402">
        <f>BZ1480</f>
        <v/>
      </c>
      <c r="CA1473" s="402">
        <f>CA1480</f>
        <v/>
      </c>
      <c r="CB1473" s="402">
        <f>CB1480</f>
        <v/>
      </c>
      <c r="CC1473" s="402">
        <f>CC1480</f>
        <v/>
      </c>
      <c r="CD1473" s="402">
        <f>CD1480</f>
        <v/>
      </c>
      <c r="CE1473" s="402">
        <f>CE1480</f>
        <v/>
      </c>
      <c r="CF1473" s="402">
        <f>CF1480</f>
        <v/>
      </c>
      <c r="CG1473" s="402">
        <f>CG1480</f>
        <v/>
      </c>
      <c r="CH1473" s="402">
        <f>CH1480</f>
        <v/>
      </c>
      <c r="CI1473" s="402">
        <f>CI1480</f>
        <v/>
      </c>
      <c r="CJ1473" s="402">
        <f>CJ1480</f>
        <v/>
      </c>
      <c r="CK1473" s="402">
        <f>CK1480</f>
        <v/>
      </c>
      <c r="CL1473" s="402">
        <f>CL1480</f>
        <v/>
      </c>
      <c r="CM1473" s="402">
        <f>CM1480</f>
        <v/>
      </c>
      <c r="CN1473" s="402">
        <f>CN1480</f>
        <v/>
      </c>
      <c r="CO1473" s="402">
        <f>CO1480</f>
        <v/>
      </c>
      <c r="CP1473" s="402">
        <f>CP1480</f>
        <v/>
      </c>
      <c r="CQ1473" s="402">
        <f>CQ1480</f>
        <v/>
      </c>
      <c r="CR1473" s="402">
        <f>CR1480</f>
        <v/>
      </c>
      <c r="CS1473" s="402">
        <f>CS1480</f>
        <v/>
      </c>
      <c r="CT1473" s="402">
        <f>CT1480</f>
        <v/>
      </c>
      <c r="CU1473" s="402">
        <f>CU1480</f>
        <v/>
      </c>
      <c r="CV1473" s="402">
        <f>CV1480</f>
        <v/>
      </c>
      <c r="CW1473" s="402">
        <f>CW1480</f>
        <v/>
      </c>
      <c r="CX1473" s="402">
        <f>CX1480</f>
        <v/>
      </c>
      <c r="CY1473" s="402">
        <f>CY1480</f>
        <v/>
      </c>
      <c r="CZ1473" s="402">
        <f>CZ1480</f>
        <v/>
      </c>
      <c r="DA1473" s="402">
        <f>DA1480</f>
        <v/>
      </c>
      <c r="DB1473" s="402">
        <f>DB1480</f>
        <v/>
      </c>
      <c r="DC1473" s="402">
        <f>DC1480</f>
        <v/>
      </c>
      <c r="DD1473" s="402">
        <f>DD1480</f>
        <v/>
      </c>
      <c r="DE1473" s="402">
        <f>DE1480</f>
        <v/>
      </c>
      <c r="DF1473" s="402">
        <f>DF1480</f>
        <v/>
      </c>
      <c r="DG1473" s="403">
        <f>DG1480</f>
        <v/>
      </c>
      <c r="DH1473" s="403">
        <f>DH1480</f>
        <v/>
      </c>
      <c r="DI1473" s="403">
        <f>DI1480</f>
        <v/>
      </c>
      <c r="DJ1473" s="403">
        <f>DJ1480</f>
        <v/>
      </c>
      <c r="DK1473" s="403">
        <f>DK1480</f>
        <v/>
      </c>
      <c r="DL1473" s="403">
        <f>DL1480</f>
        <v/>
      </c>
      <c r="DM1473" s="403">
        <f>DM1480</f>
        <v/>
      </c>
      <c r="DN1473" s="403">
        <f>DN1480</f>
        <v/>
      </c>
      <c r="DO1473" s="403">
        <f>DO1480</f>
        <v/>
      </c>
      <c r="DP1473" s="403">
        <f>DP1480</f>
        <v/>
      </c>
      <c r="DQ1473" s="403">
        <f>DQ1480</f>
        <v/>
      </c>
      <c r="DR1473" s="403">
        <f>DR1480</f>
        <v/>
      </c>
      <c r="DS1473" s="403">
        <f>DS1480</f>
        <v/>
      </c>
      <c r="DT1473" s="403">
        <f>DT1480</f>
        <v/>
      </c>
      <c r="DU1473" s="403">
        <f>DU1480</f>
        <v/>
      </c>
      <c r="DV1473" s="403">
        <f>DV1480</f>
        <v/>
      </c>
      <c r="DW1473" s="403">
        <f>DW1480</f>
        <v/>
      </c>
      <c r="DX1473" s="403">
        <f>DX1480</f>
        <v/>
      </c>
      <c r="DY1473" s="403">
        <f>DY1480</f>
        <v/>
      </c>
      <c r="DZ1473" s="403">
        <f>DZ1480</f>
        <v/>
      </c>
      <c r="EA1473" s="403">
        <f>EA1480</f>
        <v/>
      </c>
      <c r="EB1473" s="403">
        <f>EB1480</f>
        <v/>
      </c>
      <c r="EC1473" s="403">
        <f>EC1480</f>
        <v/>
      </c>
      <c r="ED1473" s="403">
        <f>ED1480</f>
        <v/>
      </c>
      <c r="EE1473" s="403">
        <f>EE1480</f>
        <v/>
      </c>
      <c r="EF1473" s="403">
        <f>EF1480</f>
        <v/>
      </c>
      <c r="EG1473" s="403">
        <f>EG1480</f>
        <v/>
      </c>
      <c r="EH1473" s="403">
        <f>EH1480</f>
        <v/>
      </c>
      <c r="EI1473" s="403">
        <f>EI1480</f>
        <v/>
      </c>
      <c r="EJ1473" s="403">
        <f>EJ1480</f>
        <v/>
      </c>
      <c r="EK1473" s="403">
        <f>EK1480</f>
        <v/>
      </c>
      <c r="EL1473" s="403">
        <f>EL1480</f>
        <v/>
      </c>
      <c r="EM1473" s="403">
        <f>EM1480</f>
        <v/>
      </c>
      <c r="EN1473" s="403">
        <f>EN1480</f>
        <v/>
      </c>
      <c r="EO1473" s="403">
        <f>EO1480</f>
        <v/>
      </c>
      <c r="EP1473" s="403">
        <f>EP1480</f>
        <v/>
      </c>
      <c r="EQ1473" s="403">
        <f>EQ1480</f>
        <v/>
      </c>
      <c r="ER1473" s="403">
        <f>ER1480</f>
        <v/>
      </c>
      <c r="ES1473" s="403">
        <f>ES1480</f>
        <v/>
      </c>
      <c r="ET1473" s="403">
        <f>ET1480</f>
        <v/>
      </c>
      <c r="EU1473" s="403">
        <f>EU1480</f>
        <v/>
      </c>
      <c r="EV1473" s="403">
        <f>EV1480</f>
        <v/>
      </c>
      <c r="EW1473" s="403">
        <f>EW1480</f>
        <v/>
      </c>
      <c r="EX1473" s="403">
        <f>EX1480</f>
        <v/>
      </c>
      <c r="EY1473" s="403">
        <f>EY1480</f>
        <v/>
      </c>
      <c r="EZ1473" s="403">
        <f>EZ1480</f>
        <v/>
      </c>
      <c r="FA1473" s="403">
        <f>FA1480</f>
        <v/>
      </c>
      <c r="FB1473" s="403">
        <f>FB1480</f>
        <v/>
      </c>
      <c r="FC1473" s="403">
        <f>FC1480</f>
        <v/>
      </c>
      <c r="FD1473" s="403">
        <f>FD1480</f>
        <v/>
      </c>
      <c r="FE1473" s="403">
        <f>FE1480</f>
        <v/>
      </c>
      <c r="FF1473" s="403">
        <f>FF1480</f>
        <v/>
      </c>
      <c r="FG1473" s="403">
        <f>FG1480</f>
        <v/>
      </c>
      <c r="FH1473" s="403">
        <f>FH1480</f>
        <v/>
      </c>
      <c r="FI1473" s="403">
        <f>FI1480</f>
        <v/>
      </c>
      <c r="FJ1473" s="403">
        <f>FJ1480</f>
        <v/>
      </c>
      <c r="FK1473" s="403">
        <f>FK1480</f>
        <v/>
      </c>
      <c r="FL1473" s="403">
        <f>FL1480</f>
        <v/>
      </c>
      <c r="FM1473" s="403">
        <f>FM1480</f>
        <v/>
      </c>
      <c r="FN1473" s="403">
        <f>FN1480</f>
        <v/>
      </c>
      <c r="FO1473" s="403">
        <f>FO1480</f>
        <v/>
      </c>
      <c r="FP1473" s="403">
        <f>FP1480</f>
        <v/>
      </c>
      <c r="FQ1473" s="403">
        <f>FQ1480</f>
        <v/>
      </c>
      <c r="FR1473" s="403">
        <f>FR1480</f>
        <v/>
      </c>
      <c r="FS1473" s="403">
        <f>FS1480</f>
        <v/>
      </c>
      <c r="FT1473" s="403">
        <f>FT1480</f>
        <v/>
      </c>
      <c r="FU1473" s="403">
        <f>FU1480</f>
        <v/>
      </c>
      <c r="FV1473" s="403">
        <f>FV1480</f>
        <v/>
      </c>
      <c r="FW1473" s="403">
        <f>FW1480</f>
        <v/>
      </c>
      <c r="FX1473" s="403">
        <f>FX1480</f>
        <v/>
      </c>
      <c r="FY1473" s="403">
        <f>FY1480</f>
        <v/>
      </c>
      <c r="FZ1473" s="403">
        <f>FZ1480</f>
        <v/>
      </c>
      <c r="GA1473" s="403">
        <f>GA1480</f>
        <v/>
      </c>
      <c r="GB1473" s="403">
        <f>GB1480</f>
        <v/>
      </c>
      <c r="GC1473" s="403">
        <f>GC1480</f>
        <v/>
      </c>
      <c r="GD1473" s="403">
        <f>GD1480</f>
        <v/>
      </c>
      <c r="GE1473" s="403">
        <f>GE1480</f>
        <v/>
      </c>
      <c r="GF1473" s="403">
        <f>GF1480</f>
        <v/>
      </c>
      <c r="GG1473" s="403">
        <f>GG1480</f>
        <v/>
      </c>
      <c r="GH1473" s="403">
        <f>GH1480</f>
        <v/>
      </c>
      <c r="GI1473" s="403">
        <f>GI1480</f>
        <v/>
      </c>
      <c r="GJ1473" s="403">
        <f>GJ1480</f>
        <v/>
      </c>
      <c r="GK1473" s="403">
        <f>GK1480</f>
        <v/>
      </c>
      <c r="GL1473" s="403">
        <f>GL1480</f>
        <v/>
      </c>
      <c r="GM1473" s="403">
        <f>GM1480</f>
        <v/>
      </c>
      <c r="GN1473" s="403">
        <f>GN1480</f>
        <v/>
      </c>
      <c r="GO1473" s="403">
        <f>GO1480</f>
        <v/>
      </c>
      <c r="GP1473" s="403">
        <f>GP1480</f>
        <v/>
      </c>
      <c r="GQ1473" s="403">
        <f>GQ1480</f>
        <v/>
      </c>
      <c r="GR1473" s="403">
        <f>GR1480</f>
        <v/>
      </c>
      <c r="GS1473" s="403">
        <f>GS1480</f>
        <v/>
      </c>
      <c r="GT1473" s="403">
        <f>GT1480</f>
        <v/>
      </c>
      <c r="GU1473" s="403">
        <f>GU1480</f>
        <v/>
      </c>
      <c r="GV1473" s="403">
        <f>GV1480</f>
        <v/>
      </c>
      <c r="GW1473" s="403">
        <f>GW1480</f>
        <v/>
      </c>
      <c r="GX1473" s="403">
        <f>GX1480</f>
        <v/>
      </c>
    </row>
    <row r="1474"/>
    <row r="1475">
      <c r="A1475" t="n">
        <v>17</v>
      </c>
      <c r="B1475" t="n">
        <v>0</v>
      </c>
      <c r="C1475">
        <f>ROW(SmtRes!A706)</f>
        <v/>
      </c>
      <c r="D1475">
        <f>ROW(EtalonRes!A648)</f>
        <v/>
      </c>
      <c r="E1475" t="inlineStr">
        <is>
          <t>1</t>
        </is>
      </c>
      <c r="F1475" t="inlineStr">
        <is>
          <t>65-10-1</t>
        </is>
      </c>
      <c r="G1475" t="inlineStr">
        <is>
          <t>Очистка канализационной сети внутренней</t>
        </is>
      </c>
      <c r="H1475" t="inlineStr">
        <is>
          <t>100 м трубопровода</t>
        </is>
      </c>
      <c r="I1475">
        <f>ROUND(ROUND(16/100,4),7)</f>
        <v/>
      </c>
      <c r="J1475" t="n">
        <v>0</v>
      </c>
      <c r="K1475">
        <f>ROUND(ROUND(16/100,4),7)</f>
        <v/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78869116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403.3</v>
      </c>
      <c r="AL1475" t="n">
        <v>139.36</v>
      </c>
      <c r="AM1475" t="n">
        <v>0.87</v>
      </c>
      <c r="AN1475" t="n">
        <v>0</v>
      </c>
      <c r="AO1475" t="n">
        <v>263.07</v>
      </c>
      <c r="AP1475" t="n">
        <v>0</v>
      </c>
      <c r="AQ1475" t="n">
        <v>32.2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52.25</v>
      </c>
      <c r="BB1475" t="n">
        <v>25.03</v>
      </c>
      <c r="BC1475" t="n">
        <v>11.85</v>
      </c>
      <c r="BD1475" t="inlineStr"/>
      <c r="BE1475" t="inlineStr"/>
      <c r="BF1475" t="inlineStr"/>
      <c r="BG1475" t="inlineStr"/>
      <c r="BH1475" t="n">
        <v>0</v>
      </c>
      <c r="BI1475" t="n">
        <v>1</v>
      </c>
      <c r="BJ1475" t="inlineStr">
        <is>
          <t>ТЕРр Московской обл., 65-10-1, приказ Минстроя России №675/пр от 28.02.2017 № 263/пр</t>
        </is>
      </c>
      <c r="BM1475" t="n">
        <v>65007</v>
      </c>
      <c r="BN1475" t="n">
        <v>0</v>
      </c>
      <c r="BO1475" t="inlineStr">
        <is>
          <t>65-10-1</t>
        </is>
      </c>
      <c r="BP1475" t="n">
        <v>1</v>
      </c>
      <c r="BQ1475" t="n">
        <v>6</v>
      </c>
      <c r="BR1475" t="n">
        <v>0</v>
      </c>
      <c r="BS1475" t="n">
        <v>52.25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1013</v>
      </c>
      <c r="DV1475" t="inlineStr">
        <is>
          <t>100 м трубопровода</t>
        </is>
      </c>
      <c r="DW1475" t="inlineStr">
        <is>
          <t>100 м трубопровода</t>
        </is>
      </c>
      <c r="DX1475" t="n">
        <v>1</v>
      </c>
      <c r="DZ1475" t="inlineStr"/>
      <c r="EA1475" t="inlineStr"/>
      <c r="EB1475" t="inlineStr"/>
      <c r="EC1475" t="inlineStr"/>
      <c r="EE1475" t="n">
        <v>78726000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65007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0</v>
      </c>
      <c r="ER1475" t="n">
        <v>403.3</v>
      </c>
      <c r="ES1475" t="n">
        <v>139.36</v>
      </c>
      <c r="ET1475" t="n">
        <v>0.87</v>
      </c>
      <c r="EU1475" t="n">
        <v>0</v>
      </c>
      <c r="EV1475" t="n">
        <v>263.07</v>
      </c>
      <c r="EW1475" t="n">
        <v>32.2</v>
      </c>
      <c r="EX1475" t="n">
        <v>0</v>
      </c>
      <c r="EY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-66904957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17</v>
      </c>
      <c r="B1476" t="n">
        <v>0</v>
      </c>
      <c r="C1476">
        <f>ROW(SmtRes!A709)</f>
        <v/>
      </c>
      <c r="D1476">
        <f>ROW(EtalonRes!A650)</f>
        <v/>
      </c>
      <c r="E1476" t="inlineStr">
        <is>
          <t>2</t>
        </is>
      </c>
      <c r="F1476" t="inlineStr">
        <is>
          <t>67-5-2</t>
        </is>
      </c>
      <c r="G1476" t="inlineStr">
        <is>
          <t>Смена ламп люминесцентных</t>
        </is>
      </c>
      <c r="H1476" t="inlineStr">
        <is>
          <t>100 шт.</t>
        </is>
      </c>
      <c r="I1476">
        <f>ROUND(ROUND(2/100,4),7)</f>
        <v/>
      </c>
      <c r="J1476" t="n">
        <v>0</v>
      </c>
      <c r="K1476">
        <f>ROUND(ROUND(2/100,4),7)</f>
        <v/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78869116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970.5700000000001</v>
      </c>
      <c r="AL1476" t="n">
        <v>852</v>
      </c>
      <c r="AM1476" t="n">
        <v>0</v>
      </c>
      <c r="AN1476" t="n">
        <v>0</v>
      </c>
      <c r="AO1476" t="n">
        <v>118.57</v>
      </c>
      <c r="AP1476" t="n">
        <v>0</v>
      </c>
      <c r="AQ1476" t="n">
        <v>13.9</v>
      </c>
      <c r="AR1476" t="n">
        <v>0</v>
      </c>
      <c r="AS1476" t="n">
        <v>0</v>
      </c>
      <c r="AT1476" t="n">
        <v>91</v>
      </c>
      <c r="AU1476" t="n">
        <v>48</v>
      </c>
      <c r="AV1476" t="n">
        <v>1</v>
      </c>
      <c r="AW1476" t="n">
        <v>1</v>
      </c>
      <c r="AZ1476" t="n">
        <v>1</v>
      </c>
      <c r="BA1476" t="n">
        <v>52.25</v>
      </c>
      <c r="BB1476" t="n">
        <v>1</v>
      </c>
      <c r="BC1476" t="n">
        <v>4.14</v>
      </c>
      <c r="BD1476" t="inlineStr"/>
      <c r="BE1476" t="inlineStr"/>
      <c r="BF1476" t="inlineStr"/>
      <c r="BG1476" t="inlineStr"/>
      <c r="BH1476" t="n">
        <v>0</v>
      </c>
      <c r="BI1476" t="n">
        <v>1</v>
      </c>
      <c r="BJ1476" t="inlineStr">
        <is>
          <t>ТЕРр Московской обл., 67-5-2, приказ Минстроя России №675/пр от 28.02.2017 № 263/пр</t>
        </is>
      </c>
      <c r="BM1476" t="n">
        <v>67001</v>
      </c>
      <c r="BN1476" t="n">
        <v>0</v>
      </c>
      <c r="BO1476" t="inlineStr">
        <is>
          <t>67-5-2</t>
        </is>
      </c>
      <c r="BP1476" t="n">
        <v>1</v>
      </c>
      <c r="BQ1476" t="n">
        <v>6</v>
      </c>
      <c r="BR1476" t="n">
        <v>0</v>
      </c>
      <c r="BS1476" t="n">
        <v>52.25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91</v>
      </c>
      <c r="CA1476" t="n">
        <v>48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100 шт.</t>
        </is>
      </c>
      <c r="DW1476" t="inlineStr">
        <is>
          <t>100 шт.</t>
        </is>
      </c>
      <c r="DX1476" t="n">
        <v>100</v>
      </c>
      <c r="DZ1476" t="inlineStr"/>
      <c r="EA1476" t="inlineStr"/>
      <c r="EB1476" t="inlineStr"/>
      <c r="EC1476" t="inlineStr"/>
      <c r="EE1476" t="n">
        <v>78726030</v>
      </c>
      <c r="EF1476" t="n">
        <v>6</v>
      </c>
      <c r="EG1476" t="inlineStr">
        <is>
          <t>Ремонтно-строительные работы</t>
        </is>
      </c>
      <c r="EH1476" t="n">
        <v>101</v>
      </c>
      <c r="EI1476" t="inlineStr">
        <is>
          <t>Электромонтажные работы</t>
        </is>
      </c>
      <c r="EJ1476" t="n">
        <v>1</v>
      </c>
      <c r="EK1476" t="n">
        <v>67001</v>
      </c>
      <c r="EL1476" t="inlineStr">
        <is>
          <t>Электромонтажные работы</t>
        </is>
      </c>
      <c r="EM1476" t="inlineStr">
        <is>
          <t>рФЕР-67</t>
        </is>
      </c>
      <c r="EO1476" t="inlineStr"/>
      <c r="EQ1476" t="n">
        <v>0</v>
      </c>
      <c r="ER1476" t="n">
        <v>970.5700000000001</v>
      </c>
      <c r="ES1476" t="n">
        <v>852</v>
      </c>
      <c r="ET1476" t="n">
        <v>0</v>
      </c>
      <c r="EU1476" t="n">
        <v>0</v>
      </c>
      <c r="EV1476" t="n">
        <v>118.57</v>
      </c>
      <c r="EW1476" t="n">
        <v>13.9</v>
      </c>
      <c r="EX1476" t="n">
        <v>0</v>
      </c>
      <c r="EY1476" t="n">
        <v>0</v>
      </c>
      <c r="FQ1476" t="n">
        <v>0</v>
      </c>
      <c r="FR1476" t="n">
        <v>0</v>
      </c>
      <c r="FS1476" t="n">
        <v>0</v>
      </c>
      <c r="FX1476" t="n">
        <v>91</v>
      </c>
      <c r="FY1476" t="n">
        <v>48</v>
      </c>
      <c r="GA1476" t="inlineStr"/>
      <c r="GD1476" t="n">
        <v>1</v>
      </c>
      <c r="GF1476" t="n">
        <v>1400342257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Пр/812-101.0-1</t>
        </is>
      </c>
      <c r="HO1476" t="inlineStr">
        <is>
          <t>Пр/774-101.0</t>
        </is>
      </c>
      <c r="HP1476" t="inlineStr">
        <is>
          <t>Электромонтажные работы</t>
        </is>
      </c>
      <c r="HQ1476" t="inlineStr">
        <is>
          <t>Электромонтажные работы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709</v>
      </c>
      <c r="E1477" t="inlineStr">
        <is>
          <t>2,1</t>
        </is>
      </c>
      <c r="F1477" t="inlineStr">
        <is>
          <t>509-6744</t>
        </is>
      </c>
      <c r="G1477" t="inlineStr">
        <is>
          <t>Лампы люминесцентные компактные энергосберегающие с цоколем Е27 мощностью 55 Вт</t>
        </is>
      </c>
      <c r="H1477" t="inlineStr">
        <is>
          <t>шт.</t>
        </is>
      </c>
      <c r="I1477">
        <f>I1476*J1477</f>
        <v/>
      </c>
      <c r="J1477" t="n">
        <v>100</v>
      </c>
      <c r="K1477" t="n">
        <v>100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78869116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140.69</v>
      </c>
      <c r="AL1477" t="n">
        <v>140.69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0.02</v>
      </c>
      <c r="AT1477" t="n">
        <v>91</v>
      </c>
      <c r="AU1477" t="n">
        <v>48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1.69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509-6744, приказ Минстроя России №675/пр от 28.02.2017 № 258/пр</t>
        </is>
      </c>
      <c r="BM1477" t="n">
        <v>67001</v>
      </c>
      <c r="BN1477" t="n">
        <v>0</v>
      </c>
      <c r="BO1477" t="inlineStr">
        <is>
          <t>509-6744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91</v>
      </c>
      <c r="CA1477" t="n">
        <v>48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шт.</t>
        </is>
      </c>
      <c r="DW1477" t="inlineStr">
        <is>
          <t>шт.</t>
        </is>
      </c>
      <c r="DX1477" t="n">
        <v>1</v>
      </c>
      <c r="DZ1477" t="inlineStr"/>
      <c r="EA1477" t="inlineStr"/>
      <c r="EB1477" t="inlineStr"/>
      <c r="EC1477" t="inlineStr"/>
      <c r="EE1477" t="n">
        <v>78726030</v>
      </c>
      <c r="EF1477" t="n">
        <v>6</v>
      </c>
      <c r="EG1477" t="inlineStr">
        <is>
          <t>Ремонтно-строительные работы</t>
        </is>
      </c>
      <c r="EH1477" t="n">
        <v>101</v>
      </c>
      <c r="EI1477" t="inlineStr">
        <is>
          <t>Электромонтажные работы</t>
        </is>
      </c>
      <c r="EJ1477" t="n">
        <v>1</v>
      </c>
      <c r="EK1477" t="n">
        <v>67001</v>
      </c>
      <c r="EL1477" t="inlineStr">
        <is>
          <t>Электромонтажные работы</t>
        </is>
      </c>
      <c r="EM1477" t="inlineStr">
        <is>
          <t>рФЕР-67</t>
        </is>
      </c>
      <c r="EO1477" t="inlineStr"/>
      <c r="EQ1477" t="n">
        <v>0</v>
      </c>
      <c r="ER1477" t="n">
        <v>140.69</v>
      </c>
      <c r="ES1477" t="n">
        <v>140.69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91</v>
      </c>
      <c r="FY1477" t="n">
        <v>48</v>
      </c>
      <c r="GA1477" t="inlineStr"/>
      <c r="GD1477" t="n">
        <v>1</v>
      </c>
      <c r="GF1477" t="n">
        <v>-228955380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Пр/812-101.0-1</t>
        </is>
      </c>
      <c r="HO1477" t="inlineStr">
        <is>
          <t>Пр/774-101.0</t>
        </is>
      </c>
      <c r="HP1477" t="inlineStr">
        <is>
          <t>Электромонтажные работы</t>
        </is>
      </c>
      <c r="HQ1477" t="inlineStr">
        <is>
          <t>Электромонтажные работы</t>
        </is>
      </c>
      <c r="HS1477" t="n">
        <v>0</v>
      </c>
      <c r="IK1477" t="n">
        <v>0</v>
      </c>
    </row>
    <row r="1478">
      <c r="A1478" t="n">
        <v>17</v>
      </c>
      <c r="B1478" t="n">
        <v>0</v>
      </c>
      <c r="C1478">
        <f>ROW(SmtRes!A715)</f>
        <v/>
      </c>
      <c r="D1478">
        <f>ROW(EtalonRes!A656)</f>
        <v/>
      </c>
      <c r="E1478" t="inlineStr">
        <is>
          <t>3</t>
        </is>
      </c>
      <c r="F1478" t="inlineStr">
        <is>
          <t>16-07-005-1</t>
        </is>
      </c>
      <c r="G14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78" t="inlineStr">
        <is>
          <t>100 м трубопровода</t>
        </is>
      </c>
      <c r="I1478">
        <f>ROUND(ROUND(18/100,4),7)</f>
        <v/>
      </c>
      <c r="J1478" t="n">
        <v>0</v>
      </c>
      <c r="K1478">
        <f>ROUND(ROUND(18/100,4),7)</f>
        <v/>
      </c>
      <c r="O1478">
        <f>ROUND(CP1478,0)</f>
        <v/>
      </c>
      <c r="P1478">
        <f>ROUND(CQ1478*I1478,0)</f>
        <v/>
      </c>
      <c r="Q1478">
        <f>(ROUND((ROUND((((ET1478*ROUND(2,7)))*I1478),0)*BB1478),0)+ROUND((ROUND(((AE1478-((EU1478*ROUND(2,7))))*I1478),0)*BS1478),0))</f>
        <v/>
      </c>
      <c r="R1478">
        <f>(ROUND((ROUND((((EU1478*ROUND(2,7)))*I1478),0)*BS1478),0)+ROUND((ROUND(((AE1478-((EU1478*ROUND(2,7))))*I1478),0)*BS1478),0))</f>
        <v/>
      </c>
      <c r="S1478">
        <f>ROUND(CT1478*I1478,0)</f>
        <v/>
      </c>
      <c r="T1478">
        <f>ROUND(CU1478*I1478,0)</f>
        <v/>
      </c>
      <c r="U1478">
        <f>ROUND(CV1478*I1478,7)</f>
        <v/>
      </c>
      <c r="V1478">
        <f>ROUND(CW1478*I1478,7)</f>
        <v/>
      </c>
      <c r="W1478">
        <f>ROUND(CX1478*I1478,0)</f>
        <v/>
      </c>
      <c r="X1478">
        <f>ROUND(CY1478,0)</f>
        <v/>
      </c>
      <c r="Y1478">
        <f>ROUND(CZ1478,0)</f>
        <v/>
      </c>
      <c r="AA1478" t="n">
        <v>78869116</v>
      </c>
      <c r="AB1478">
        <f>ROUND((AC1478+AD1478+AF1478),2)</f>
        <v/>
      </c>
      <c r="AC1478">
        <f>ROUND(((ES1478*ROUND(2,7))),2)</f>
        <v/>
      </c>
      <c r="AD1478">
        <f>ROUND(((((ET1478*ROUND(2,7)))-((EU1478*ROUND(2,7))))+AE1478),2)</f>
        <v/>
      </c>
      <c r="AE1478">
        <f>ROUND(((EU1478*ROUND(2,7))),2)</f>
        <v/>
      </c>
      <c r="AF1478">
        <f>ROUND(((EV1478*ROUND(2,7))),2)</f>
        <v/>
      </c>
      <c r="AG1478">
        <f>ROUND((AP1478),2)</f>
        <v/>
      </c>
      <c r="AH1478">
        <f>((EW1478*ROUND(2,7)))</f>
        <v/>
      </c>
      <c r="AI1478">
        <f>((EX1478*ROUND(2,7)))</f>
        <v/>
      </c>
      <c r="AJ1478">
        <f>(AS1478)</f>
        <v/>
      </c>
      <c r="AK1478" t="n">
        <v>107.11</v>
      </c>
      <c r="AL1478" t="n">
        <v>4.28</v>
      </c>
      <c r="AM1478" t="n">
        <v>44.51</v>
      </c>
      <c r="AN1478" t="n">
        <v>0</v>
      </c>
      <c r="AO1478" t="n">
        <v>58.32</v>
      </c>
      <c r="AP1478" t="n">
        <v>0</v>
      </c>
      <c r="AQ1478" t="n">
        <v>5.01</v>
      </c>
      <c r="AR1478" t="n">
        <v>0</v>
      </c>
      <c r="AS1478" t="n">
        <v>0</v>
      </c>
      <c r="AT1478" t="n">
        <v>121</v>
      </c>
      <c r="AU1478" t="n">
        <v>72</v>
      </c>
      <c r="AV1478" t="n">
        <v>1</v>
      </c>
      <c r="AW1478" t="n">
        <v>1</v>
      </c>
      <c r="AZ1478" t="n">
        <v>1</v>
      </c>
      <c r="BA1478" t="n">
        <v>52.25</v>
      </c>
      <c r="BB1478" t="n">
        <v>5.97</v>
      </c>
      <c r="BC1478" t="n">
        <v>11.38</v>
      </c>
      <c r="BD1478" t="inlineStr"/>
      <c r="BE1478" t="inlineStr"/>
      <c r="BF1478" t="inlineStr"/>
      <c r="BG1478" t="inlineStr"/>
      <c r="BH1478" t="n">
        <v>0</v>
      </c>
      <c r="BI1478" t="n">
        <v>1</v>
      </c>
      <c r="BJ1478" t="inlineStr">
        <is>
          <t>ТЕР Московской обл., 16-07-005-1, приказ Минстроя России №675/пр от 28.02.2017 № 260/пр</t>
        </is>
      </c>
      <c r="BM1478" t="n">
        <v>16001</v>
      </c>
      <c r="BN1478" t="n">
        <v>0</v>
      </c>
      <c r="BO1478" t="inlineStr">
        <is>
          <t>16-07-005-1</t>
        </is>
      </c>
      <c r="BP1478" t="n">
        <v>1</v>
      </c>
      <c r="BQ1478" t="n">
        <v>2</v>
      </c>
      <c r="BR1478" t="n">
        <v>0</v>
      </c>
      <c r="BS1478" t="n">
        <v>52.25</v>
      </c>
      <c r="BT1478" t="n">
        <v>1</v>
      </c>
      <c r="BU1478" t="n">
        <v>1</v>
      </c>
      <c r="BV1478" t="n">
        <v>1</v>
      </c>
      <c r="BW1478" t="n">
        <v>1</v>
      </c>
      <c r="BX1478" t="n">
        <v>1</v>
      </c>
      <c r="BY1478" t="inlineStr"/>
      <c r="BZ1478" t="n">
        <v>121</v>
      </c>
      <c r="CA1478" t="n">
        <v>72</v>
      </c>
      <c r="CB1478" t="inlineStr"/>
      <c r="CE1478" t="n">
        <v>12</v>
      </c>
      <c r="CF1478" t="n">
        <v>0</v>
      </c>
      <c r="CG1478" t="n">
        <v>0</v>
      </c>
      <c r="CM1478" t="n">
        <v>0</v>
      </c>
      <c r="CN1478" t="inlineStr"/>
      <c r="CO1478" t="n">
        <v>0</v>
      </c>
      <c r="CP1478">
        <f>(P1478+Q1478+S1478)</f>
        <v/>
      </c>
      <c r="CQ1478">
        <f>AC1478*BC1478</f>
        <v/>
      </c>
      <c r="CR1478">
        <f>(ROUND((ROUND((((ET1478*ROUND(2,7)))*1),0)*BB1478),0)+ROUND((ROUND(((AE1478-((EU1478*ROUND(2,7))))*1),0)*BS1478),0))</f>
        <v/>
      </c>
      <c r="CS1478">
        <f>(ROUND((ROUND((((EU1478*ROUND(2,7)))*1),0)*BS1478),0)+ROUND((ROUND(((AE1478-((EU1478*ROUND(2,7))))*1),0)*BS1478),0))</f>
        <v/>
      </c>
      <c r="CT1478">
        <f>AF1478*BA1478</f>
        <v/>
      </c>
      <c r="CU1478">
        <f>AG1478</f>
        <v/>
      </c>
      <c r="CV1478">
        <f>AH1478</f>
        <v/>
      </c>
      <c r="CW1478">
        <f>AI1478</f>
        <v/>
      </c>
      <c r="CX1478">
        <f>AJ1478</f>
        <v/>
      </c>
      <c r="CY1478">
        <f>(((S1478+R1478)*AT1478)/100)</f>
        <v/>
      </c>
      <c r="CZ1478">
        <f>(((S1478+R1478)*AU1478)/100)</f>
        <v/>
      </c>
      <c r="DC1478" t="inlineStr"/>
      <c r="DD1478" t="inlineStr">
        <is>
          <t>)*2</t>
        </is>
      </c>
      <c r="DE1478" t="inlineStr">
        <is>
          <t>)*2</t>
        </is>
      </c>
      <c r="DF1478" t="inlineStr">
        <is>
          <t>)*2</t>
        </is>
      </c>
      <c r="DG1478" t="inlineStr">
        <is>
          <t>)*2</t>
        </is>
      </c>
      <c r="DH1478" t="inlineStr"/>
      <c r="DI1478" t="inlineStr">
        <is>
          <t>)*2</t>
        </is>
      </c>
      <c r="DJ1478" t="inlineStr">
        <is>
          <t>)*2</t>
        </is>
      </c>
      <c r="DK1478" t="inlineStr"/>
      <c r="DL1478" t="inlineStr"/>
      <c r="DM1478" t="inlineStr"/>
      <c r="DN1478" t="n">
        <v>0</v>
      </c>
      <c r="DO1478" t="n">
        <v>0</v>
      </c>
      <c r="DP1478" t="n">
        <v>1</v>
      </c>
      <c r="DQ1478" t="n">
        <v>1</v>
      </c>
      <c r="DU1478" t="n">
        <v>1013</v>
      </c>
      <c r="DV1478" t="inlineStr">
        <is>
          <t>100 м трубопровода</t>
        </is>
      </c>
      <c r="DW1478" t="inlineStr">
        <is>
          <t>100 м трубопровода</t>
        </is>
      </c>
      <c r="DX1478" t="n">
        <v>1</v>
      </c>
      <c r="DZ1478" t="inlineStr"/>
      <c r="EA1478" t="inlineStr"/>
      <c r="EB1478" t="inlineStr"/>
      <c r="EC1478" t="inlineStr"/>
      <c r="EE1478" t="n">
        <v>78725882</v>
      </c>
      <c r="EF1478" t="n">
        <v>2</v>
      </c>
      <c r="EG1478" t="inlineStr">
        <is>
          <t>Общестроительные работы</t>
        </is>
      </c>
      <c r="EH1478" t="n">
        <v>16</v>
      </c>
      <c r="EI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8" t="n">
        <v>1</v>
      </c>
      <c r="EK1478" t="n">
        <v>16001</v>
      </c>
      <c r="EL1478" t="inlineStr">
        <is>
          <t>Трубопроводы внутренние</t>
        </is>
      </c>
      <c r="EM1478" t="inlineStr">
        <is>
          <t>ФЕР-16</t>
        </is>
      </c>
      <c r="EO1478" t="inlineStr"/>
      <c r="EQ1478" t="n">
        <v>0</v>
      </c>
      <c r="ER1478" t="n">
        <v>107.11</v>
      </c>
      <c r="ES1478" t="n">
        <v>4.28</v>
      </c>
      <c r="ET1478" t="n">
        <v>44.51</v>
      </c>
      <c r="EU1478" t="n">
        <v>0</v>
      </c>
      <c r="EV1478" t="n">
        <v>58.32</v>
      </c>
      <c r="EW1478" t="n">
        <v>5.01</v>
      </c>
      <c r="EX1478" t="n">
        <v>0</v>
      </c>
      <c r="EY1478" t="n">
        <v>0</v>
      </c>
      <c r="FQ1478" t="n">
        <v>0</v>
      </c>
      <c r="FR1478" t="n">
        <v>0</v>
      </c>
      <c r="FS1478" t="n">
        <v>0</v>
      </c>
      <c r="FX1478" t="n">
        <v>121</v>
      </c>
      <c r="FY1478" t="n">
        <v>72</v>
      </c>
      <c r="GA1478" t="inlineStr"/>
      <c r="GD1478" t="n">
        <v>1</v>
      </c>
      <c r="GF1478" t="n">
        <v>635989612</v>
      </c>
      <c r="GG1478" t="n">
        <v>2</v>
      </c>
      <c r="GH1478" t="n">
        <v>1</v>
      </c>
      <c r="GI1478" t="n">
        <v>2</v>
      </c>
      <c r="GJ1478" t="n">
        <v>0</v>
      </c>
      <c r="GK1478" t="n">
        <v>0</v>
      </c>
      <c r="GL1478">
        <f>ROUND(IF(AND(BH1478=3,BI1478=3,FS1478&lt;&gt;0),P1478,0),0)</f>
        <v/>
      </c>
      <c r="GM1478">
        <f>ROUND(O1478+X1478+Y1478,0)+GX1478</f>
        <v/>
      </c>
      <c r="GN1478">
        <f>IF(OR(BI1478=0,BI1478=1),GM1478-GX1478,0)</f>
        <v/>
      </c>
      <c r="GO1478">
        <f>IF(BI1478=2,GM1478-GX1478,0)</f>
        <v/>
      </c>
      <c r="GP1478">
        <f>IF(BI1478=4,GM1478-GX1478,0)</f>
        <v/>
      </c>
      <c r="GR1478" t="n">
        <v>0</v>
      </c>
      <c r="GS1478" t="n">
        <v>3</v>
      </c>
      <c r="GT1478" t="n">
        <v>0</v>
      </c>
      <c r="GU1478" t="inlineStr"/>
      <c r="GV1478">
        <f>ROUND((GT1478),2)</f>
        <v/>
      </c>
      <c r="GW1478" t="n">
        <v>1</v>
      </c>
      <c r="GX1478">
        <f>ROUND(HC1478*I1478,0)</f>
        <v/>
      </c>
      <c r="HA1478" t="n">
        <v>0</v>
      </c>
      <c r="HB1478" t="n">
        <v>0</v>
      </c>
      <c r="HC1478">
        <f>GV1478*GW1478</f>
        <v/>
      </c>
      <c r="HE1478" t="inlineStr"/>
      <c r="HF1478" t="inlineStr"/>
      <c r="HM1478" t="inlineStr"/>
      <c r="HN1478" t="inlineStr">
        <is>
          <t>Пр/812-016.0-1</t>
        </is>
      </c>
      <c r="HO1478" t="inlineStr">
        <is>
          <t>Пр/774-016.0</t>
        </is>
      </c>
      <c r="HP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8" t="n">
        <v>0</v>
      </c>
      <c r="IK1478" t="n">
        <v>0</v>
      </c>
    </row>
    <row r="1479"/>
    <row r="1480">
      <c r="A1480" s="402" t="n">
        <v>51</v>
      </c>
      <c r="B1480" s="402">
        <f>B1471</f>
        <v/>
      </c>
      <c r="C1480" s="402">
        <f>A1471</f>
        <v/>
      </c>
      <c r="D1480" s="402">
        <f>ROW(A1471)</f>
        <v/>
      </c>
      <c r="E1480" s="402" t="n"/>
      <c r="F1480" s="402">
        <f>IF(F1471&lt;&gt;"",F1471,"")</f>
        <v/>
      </c>
      <c r="G1480" s="402">
        <f>IF(G1471&lt;&gt;"",G1471,"")</f>
        <v/>
      </c>
      <c r="H1480" s="402" t="n">
        <v>0</v>
      </c>
      <c r="I1480" s="402" t="n"/>
      <c r="J1480" s="402" t="n"/>
      <c r="K1480" s="402" t="n"/>
      <c r="L1480" s="402" t="n"/>
      <c r="M1480" s="402" t="n"/>
      <c r="N1480" s="402" t="n"/>
      <c r="O1480" s="402" t="n">
        <v>0</v>
      </c>
      <c r="P1480" s="402" t="n">
        <v>0</v>
      </c>
      <c r="Q1480" s="402" t="n">
        <v>0</v>
      </c>
      <c r="R1480" s="402" t="n">
        <v>0</v>
      </c>
      <c r="S1480" s="402" t="n">
        <v>0</v>
      </c>
      <c r="T1480" s="402" t="n">
        <v>0</v>
      </c>
      <c r="U1480" s="402" t="n">
        <v>0</v>
      </c>
      <c r="V1480" s="402" t="n">
        <v>0</v>
      </c>
      <c r="W1480" s="402" t="n">
        <v>0</v>
      </c>
      <c r="X1480" s="402" t="n">
        <v>0</v>
      </c>
      <c r="Y1480" s="402" t="n">
        <v>0</v>
      </c>
      <c r="Z1480" s="402" t="n"/>
      <c r="AA1480" s="402" t="n"/>
      <c r="AB1480" s="402" t="n"/>
      <c r="AC1480" s="402" t="n"/>
      <c r="AD1480" s="402" t="n"/>
      <c r="AE1480" s="402" t="n"/>
      <c r="AF1480" s="402" t="n"/>
      <c r="AG1480" s="402" t="n"/>
      <c r="AH1480" s="402" t="n"/>
      <c r="AI1480" s="402" t="n"/>
      <c r="AJ1480" s="402" t="n"/>
      <c r="AK1480" s="402" t="n"/>
      <c r="AL1480" s="402" t="n"/>
      <c r="AM1480" s="402" t="n"/>
      <c r="AN1480" s="402" t="n"/>
      <c r="AO1480" s="402">
        <f>ROUND(BX1480,0)</f>
        <v/>
      </c>
      <c r="AP1480" s="402">
        <f>ROUND(BY1480,0)</f>
        <v/>
      </c>
      <c r="AQ1480" s="402">
        <f>ROUND(BZ1480,0)</f>
        <v/>
      </c>
      <c r="AR1480" s="402">
        <f>ROUND(CA1480,0)</f>
        <v/>
      </c>
      <c r="AS1480" s="402">
        <f>ROUND(CB1480,0)</f>
        <v/>
      </c>
      <c r="AT1480" s="402">
        <f>ROUND(CC1480,0)</f>
        <v/>
      </c>
      <c r="AU1480" s="402">
        <f>ROUND(CD1480,0)</f>
        <v/>
      </c>
      <c r="AV1480" s="402">
        <f>ROUND(CE1480,0)</f>
        <v/>
      </c>
      <c r="AW1480" s="402">
        <f>ROUND(CF1480,0)</f>
        <v/>
      </c>
      <c r="AX1480" s="402">
        <f>ROUND(CG1480,0)</f>
        <v/>
      </c>
      <c r="AY1480" s="402">
        <f>ROUND(CH1480,0)</f>
        <v/>
      </c>
      <c r="AZ1480" s="402">
        <f>ROUND(CI1480,0)</f>
        <v/>
      </c>
      <c r="BA1480" s="402">
        <f>ROUND(CJ1480,0)</f>
        <v/>
      </c>
      <c r="BB1480" s="402">
        <f>ROUND(CK1480,0)</f>
        <v/>
      </c>
      <c r="BC1480" s="402">
        <f>ROUND(CL1480,0)</f>
        <v/>
      </c>
      <c r="BD1480" s="402">
        <f>ROUND(CM1480,0)</f>
        <v/>
      </c>
      <c r="BE1480" s="402" t="n"/>
      <c r="BF1480" s="402" t="n"/>
      <c r="BG1480" s="402" t="n"/>
      <c r="BH1480" s="402" t="n"/>
      <c r="BI1480" s="402" t="n"/>
      <c r="BJ1480" s="402" t="n"/>
      <c r="BK1480" s="402" t="n"/>
      <c r="BL1480" s="402" t="n"/>
      <c r="BM1480" s="402" t="n"/>
      <c r="BN1480" s="402" t="n"/>
      <c r="BO1480" s="402" t="n"/>
      <c r="BP1480" s="402" t="n"/>
      <c r="BQ1480" s="402" t="n"/>
      <c r="BR1480" s="402" t="n"/>
      <c r="BS1480" s="402" t="n"/>
      <c r="BT1480" s="402" t="n"/>
      <c r="BU1480" s="402" t="n"/>
      <c r="BV1480" s="402" t="n"/>
      <c r="BW1480" s="402" t="n"/>
      <c r="BX1480" s="402" t="n"/>
      <c r="BY1480" s="402" t="n"/>
      <c r="BZ1480" s="402" t="n"/>
      <c r="CA1480" s="402" t="n"/>
      <c r="CB1480" s="402" t="n"/>
      <c r="CC1480" s="402" t="n"/>
      <c r="CD1480" s="402" t="n"/>
      <c r="CE1480" s="402" t="n"/>
      <c r="CF1480" s="402" t="n"/>
      <c r="CG1480" s="402" t="n"/>
      <c r="CH1480" s="402" t="n"/>
      <c r="CI1480" s="402" t="n"/>
      <c r="CJ1480" s="402" t="n"/>
      <c r="CK1480" s="402" t="n"/>
      <c r="CL1480" s="402" t="n"/>
      <c r="CM1480" s="402" t="n"/>
      <c r="CN1480" s="402" t="n"/>
      <c r="CO1480" s="402" t="n"/>
      <c r="CP1480" s="402" t="n"/>
      <c r="CQ1480" s="402" t="n"/>
      <c r="CR1480" s="402" t="n"/>
      <c r="CS1480" s="402" t="n"/>
      <c r="CT1480" s="402" t="n"/>
      <c r="CU1480" s="402" t="n"/>
      <c r="CV1480" s="402" t="n"/>
      <c r="CW1480" s="402" t="n"/>
      <c r="CX1480" s="402" t="n"/>
      <c r="CY1480" s="402" t="n"/>
      <c r="CZ1480" s="402" t="n"/>
      <c r="DA1480" s="402" t="n"/>
      <c r="DB1480" s="402" t="n"/>
      <c r="DC1480" s="402" t="n"/>
      <c r="DD1480" s="402" t="n"/>
      <c r="DE1480" s="402" t="n"/>
      <c r="DF1480" s="402" t="n"/>
      <c r="DG1480" s="403" t="n"/>
      <c r="DH1480" s="403" t="n"/>
      <c r="DI1480" s="403" t="n"/>
      <c r="DJ1480" s="403" t="n"/>
      <c r="DK1480" s="403" t="n"/>
      <c r="DL1480" s="403" t="n"/>
      <c r="DM1480" s="403" t="n"/>
      <c r="DN1480" s="403" t="n"/>
      <c r="DO1480" s="403" t="n"/>
      <c r="DP1480" s="403" t="n"/>
      <c r="DQ1480" s="403" t="n"/>
      <c r="DR1480" s="403" t="n"/>
      <c r="DS1480" s="403" t="n"/>
      <c r="DT1480" s="403" t="n"/>
      <c r="DU1480" s="403" t="n"/>
      <c r="DV1480" s="403" t="n"/>
      <c r="DW1480" s="403" t="n"/>
      <c r="DX1480" s="403" t="n"/>
      <c r="DY1480" s="403" t="n"/>
      <c r="DZ1480" s="403" t="n"/>
      <c r="EA1480" s="403" t="n"/>
      <c r="EB1480" s="403" t="n"/>
      <c r="EC1480" s="403" t="n"/>
      <c r="ED1480" s="403" t="n"/>
      <c r="EE1480" s="403" t="n"/>
      <c r="EF1480" s="403" t="n"/>
      <c r="EG1480" s="403" t="n"/>
      <c r="EH1480" s="403" t="n"/>
      <c r="EI1480" s="403" t="n"/>
      <c r="EJ1480" s="403" t="n"/>
      <c r="EK1480" s="403" t="n"/>
      <c r="EL1480" s="403" t="n"/>
      <c r="EM1480" s="403" t="n"/>
      <c r="EN1480" s="403" t="n"/>
      <c r="EO1480" s="403" t="n"/>
      <c r="EP1480" s="403" t="n"/>
      <c r="EQ1480" s="403" t="n"/>
      <c r="ER1480" s="403" t="n"/>
      <c r="ES1480" s="403" t="n"/>
      <c r="ET1480" s="403" t="n"/>
      <c r="EU1480" s="403" t="n"/>
      <c r="EV1480" s="403" t="n"/>
      <c r="EW1480" s="403" t="n"/>
      <c r="EX1480" s="403" t="n"/>
      <c r="EY1480" s="403" t="n"/>
      <c r="EZ1480" s="403" t="n"/>
      <c r="FA1480" s="403" t="n"/>
      <c r="FB1480" s="403" t="n"/>
      <c r="FC1480" s="403" t="n"/>
      <c r="FD1480" s="403" t="n"/>
      <c r="FE1480" s="403" t="n"/>
      <c r="FF1480" s="403" t="n"/>
      <c r="FG1480" s="403" t="n"/>
      <c r="FH1480" s="403" t="n"/>
      <c r="FI1480" s="403" t="n"/>
      <c r="FJ1480" s="403" t="n"/>
      <c r="FK1480" s="403" t="n"/>
      <c r="FL1480" s="403" t="n"/>
      <c r="FM1480" s="403" t="n"/>
      <c r="FN1480" s="403" t="n"/>
      <c r="FO1480" s="403" t="n"/>
      <c r="FP1480" s="403" t="n"/>
      <c r="FQ1480" s="403" t="n"/>
      <c r="FR1480" s="403" t="n"/>
      <c r="FS1480" s="403" t="n"/>
      <c r="FT1480" s="403" t="n"/>
      <c r="FU1480" s="403" t="n"/>
      <c r="FV1480" s="403" t="n"/>
      <c r="FW1480" s="403" t="n"/>
      <c r="FX1480" s="403" t="n"/>
      <c r="FY1480" s="403" t="n"/>
      <c r="FZ1480" s="403" t="n"/>
      <c r="GA1480" s="403" t="n"/>
      <c r="GB1480" s="403" t="n"/>
      <c r="GC1480" s="403" t="n"/>
      <c r="GD1480" s="403" t="n"/>
      <c r="GE1480" s="403" t="n"/>
      <c r="GF1480" s="403" t="n"/>
      <c r="GG1480" s="403" t="n"/>
      <c r="GH1480" s="403" t="n"/>
      <c r="GI1480" s="403" t="n"/>
      <c r="GJ1480" s="403" t="n"/>
      <c r="GK1480" s="403" t="n"/>
      <c r="GL1480" s="403" t="n"/>
      <c r="GM1480" s="403" t="n"/>
      <c r="GN1480" s="403" t="n"/>
      <c r="GO1480" s="403" t="n"/>
      <c r="GP1480" s="403" t="n"/>
      <c r="GQ1480" s="403" t="n"/>
      <c r="GR1480" s="403" t="n"/>
      <c r="GS1480" s="403" t="n"/>
      <c r="GT1480" s="403" t="n"/>
      <c r="GU1480" s="403" t="n"/>
      <c r="GV1480" s="403" t="n"/>
      <c r="GW1480" s="403" t="n"/>
      <c r="GX1480" s="403" t="n">
        <v>0</v>
      </c>
    </row>
    <row r="1481"/>
    <row r="1482">
      <c r="A1482" s="404" t="n">
        <v>50</v>
      </c>
      <c r="B1482" s="404" t="n">
        <v>0</v>
      </c>
      <c r="C1482" s="404" t="n">
        <v>0</v>
      </c>
      <c r="D1482" s="404" t="n">
        <v>1</v>
      </c>
      <c r="E1482" s="404" t="n">
        <v>201</v>
      </c>
      <c r="F1482" s="404">
        <f>ROUND(Source!O1480,O1482)</f>
        <v/>
      </c>
      <c r="G1482" s="404" t="inlineStr">
        <is>
          <t>ПЗ</t>
        </is>
      </c>
      <c r="H1482" s="404" t="inlineStr">
        <is>
          <t>Прямые затраты</t>
        </is>
      </c>
      <c r="I1482" s="404" t="n"/>
      <c r="J1482" s="404" t="n"/>
      <c r="K1482" s="404" t="n">
        <v>201</v>
      </c>
      <c r="L1482" s="404" t="n">
        <v>1</v>
      </c>
      <c r="M1482" s="404" t="n">
        <v>3</v>
      </c>
      <c r="N1482" s="404" t="inlineStr"/>
      <c r="O1482" s="404" t="n">
        <v>0</v>
      </c>
      <c r="P1482" s="404" t="n"/>
      <c r="Q1482" s="404" t="n"/>
      <c r="R1482" s="404" t="n"/>
      <c r="S1482" s="404" t="n"/>
      <c r="T1482" s="404" t="n"/>
      <c r="U1482" s="404" t="n"/>
      <c r="V1482" s="404" t="n"/>
      <c r="W1482" s="404" t="n">
        <v>0</v>
      </c>
      <c r="X1482" s="404" t="n">
        <v>1</v>
      </c>
      <c r="Y1482" s="404" t="n">
        <v>0</v>
      </c>
      <c r="Z1482" s="404" t="n"/>
      <c r="AA1482" s="404" t="n"/>
      <c r="AB1482" s="404" t="n"/>
    </row>
    <row r="1483">
      <c r="A1483" s="404" t="n">
        <v>50</v>
      </c>
      <c r="B1483" s="404" t="n">
        <v>0</v>
      </c>
      <c r="C1483" s="404" t="n">
        <v>0</v>
      </c>
      <c r="D1483" s="404" t="n">
        <v>1</v>
      </c>
      <c r="E1483" s="404" t="n">
        <v>202</v>
      </c>
      <c r="F1483" s="404">
        <f>ROUND(Source!P1480,O1483)</f>
        <v/>
      </c>
      <c r="G1483" s="404" t="inlineStr">
        <is>
          <t>СтМатОб</t>
        </is>
      </c>
      <c r="H1483" s="404" t="inlineStr">
        <is>
          <t>Стоимость материальных ресурсов (всего)</t>
        </is>
      </c>
      <c r="I1483" s="404" t="n"/>
      <c r="J1483" s="404" t="n"/>
      <c r="K1483" s="404" t="n">
        <v>202</v>
      </c>
      <c r="L1483" s="404" t="n">
        <v>2</v>
      </c>
      <c r="M1483" s="404" t="n">
        <v>3</v>
      </c>
      <c r="N1483" s="404" t="inlineStr"/>
      <c r="O1483" s="404" t="n">
        <v>0</v>
      </c>
      <c r="P1483" s="404" t="n"/>
      <c r="Q1483" s="404" t="n"/>
      <c r="R1483" s="404" t="n"/>
      <c r="S1483" s="404" t="n"/>
      <c r="T1483" s="404" t="n"/>
      <c r="U1483" s="404" t="n"/>
      <c r="V1483" s="404" t="n"/>
      <c r="W1483" s="404" t="n">
        <v>0</v>
      </c>
      <c r="X1483" s="404" t="n">
        <v>1</v>
      </c>
      <c r="Y1483" s="404" t="n">
        <v>0</v>
      </c>
      <c r="Z1483" s="404" t="n"/>
      <c r="AA1483" s="404" t="n"/>
      <c r="AB1483" s="404" t="n"/>
    </row>
    <row r="1484">
      <c r="A1484" s="404" t="n">
        <v>50</v>
      </c>
      <c r="B1484" s="404" t="n">
        <v>0</v>
      </c>
      <c r="C1484" s="404" t="n">
        <v>0</v>
      </c>
      <c r="D1484" s="404" t="n">
        <v>1</v>
      </c>
      <c r="E1484" s="404" t="n">
        <v>222</v>
      </c>
      <c r="F1484" s="404">
        <f>ROUND(Source!AO1480,O1484)</f>
        <v/>
      </c>
      <c r="G1484" s="404" t="inlineStr">
        <is>
          <t>СтМатОбЗак</t>
        </is>
      </c>
      <c r="H1484" s="404" t="inlineStr">
        <is>
          <t>Стоимость материалов и оборудования заказчика</t>
        </is>
      </c>
      <c r="I1484" s="404" t="n"/>
      <c r="J1484" s="404" t="n"/>
      <c r="K1484" s="404" t="n">
        <v>222</v>
      </c>
      <c r="L1484" s="404" t="n">
        <v>3</v>
      </c>
      <c r="M1484" s="404" t="n">
        <v>3</v>
      </c>
      <c r="N1484" s="404" t="inlineStr"/>
      <c r="O1484" s="404" t="n">
        <v>0</v>
      </c>
      <c r="P1484" s="404" t="n"/>
      <c r="Q1484" s="404" t="n"/>
      <c r="R1484" s="404" t="n"/>
      <c r="S1484" s="404" t="n"/>
      <c r="T1484" s="404" t="n"/>
      <c r="U1484" s="404" t="n"/>
      <c r="V1484" s="404" t="n"/>
      <c r="W1484" s="404" t="n">
        <v>0</v>
      </c>
      <c r="X1484" s="404" t="n">
        <v>1</v>
      </c>
      <c r="Y1484" s="404" t="n">
        <v>0</v>
      </c>
      <c r="Z1484" s="404" t="n"/>
      <c r="AA1484" s="404" t="n"/>
      <c r="AB1484" s="404" t="n"/>
    </row>
    <row r="1485">
      <c r="A1485" s="404" t="n">
        <v>50</v>
      </c>
      <c r="B1485" s="404" t="n">
        <v>0</v>
      </c>
      <c r="C1485" s="404" t="n">
        <v>0</v>
      </c>
      <c r="D1485" s="404" t="n">
        <v>1</v>
      </c>
      <c r="E1485" s="404" t="n">
        <v>225</v>
      </c>
      <c r="F1485" s="404">
        <f>ROUND(Source!AV1480,O1485)</f>
        <v/>
      </c>
      <c r="G1485" s="404" t="inlineStr">
        <is>
          <t>СтМатОбПод</t>
        </is>
      </c>
      <c r="H1485" s="404" t="inlineStr">
        <is>
          <t>Стоимость материалов и оборудования подрядчика</t>
        </is>
      </c>
      <c r="I1485" s="404" t="n"/>
      <c r="J1485" s="404" t="n"/>
      <c r="K1485" s="404" t="n">
        <v>225</v>
      </c>
      <c r="L1485" s="404" t="n">
        <v>4</v>
      </c>
      <c r="M1485" s="404" t="n">
        <v>3</v>
      </c>
      <c r="N1485" s="404" t="inlineStr"/>
      <c r="O1485" s="404" t="n">
        <v>0</v>
      </c>
      <c r="P1485" s="404" t="n"/>
      <c r="Q1485" s="404" t="n"/>
      <c r="R1485" s="404" t="n"/>
      <c r="S1485" s="404" t="n"/>
      <c r="T1485" s="404" t="n"/>
      <c r="U1485" s="404" t="n"/>
      <c r="V1485" s="404" t="n"/>
      <c r="W1485" s="404" t="n">
        <v>0</v>
      </c>
      <c r="X1485" s="404" t="n">
        <v>1</v>
      </c>
      <c r="Y1485" s="404" t="n">
        <v>0</v>
      </c>
      <c r="Z1485" s="404" t="n"/>
      <c r="AA1485" s="404" t="n"/>
      <c r="AB1485" s="404" t="n"/>
    </row>
    <row r="1486">
      <c r="A1486" s="404" t="n">
        <v>50</v>
      </c>
      <c r="B1486" s="404" t="n">
        <v>0</v>
      </c>
      <c r="C1486" s="404" t="n">
        <v>0</v>
      </c>
      <c r="D1486" s="404" t="n">
        <v>1</v>
      </c>
      <c r="E1486" s="404" t="n">
        <v>226</v>
      </c>
      <c r="F1486" s="404">
        <f>ROUND(Source!AW1480,O1486)</f>
        <v/>
      </c>
      <c r="G1486" s="404" t="inlineStr">
        <is>
          <t>СтМат</t>
        </is>
      </c>
      <c r="H1486" s="404" t="inlineStr">
        <is>
          <t>Стоимость материалов (всего)</t>
        </is>
      </c>
      <c r="I1486" s="404" t="n"/>
      <c r="J1486" s="404" t="n"/>
      <c r="K1486" s="404" t="n">
        <v>226</v>
      </c>
      <c r="L1486" s="404" t="n">
        <v>5</v>
      </c>
      <c r="M1486" s="404" t="n">
        <v>3</v>
      </c>
      <c r="N1486" s="404" t="inlineStr"/>
      <c r="O1486" s="404" t="n">
        <v>0</v>
      </c>
      <c r="P1486" s="404" t="n"/>
      <c r="Q1486" s="404" t="n"/>
      <c r="R1486" s="404" t="n"/>
      <c r="S1486" s="404" t="n"/>
      <c r="T1486" s="404" t="n"/>
      <c r="U1486" s="404" t="n"/>
      <c r="V1486" s="404" t="n"/>
      <c r="W1486" s="404" t="n">
        <v>0</v>
      </c>
      <c r="X1486" s="404" t="n">
        <v>1</v>
      </c>
      <c r="Y1486" s="404" t="n">
        <v>0</v>
      </c>
      <c r="Z1486" s="404" t="n"/>
      <c r="AA1486" s="404" t="n"/>
      <c r="AB1486" s="404" t="n"/>
    </row>
    <row r="1487">
      <c r="A1487" s="404" t="n">
        <v>50</v>
      </c>
      <c r="B1487" s="404" t="n">
        <v>0</v>
      </c>
      <c r="C1487" s="404" t="n">
        <v>0</v>
      </c>
      <c r="D1487" s="404" t="n">
        <v>1</v>
      </c>
      <c r="E1487" s="404" t="n">
        <v>227</v>
      </c>
      <c r="F1487" s="404">
        <f>ROUND(Source!AX1480,O1487)</f>
        <v/>
      </c>
      <c r="G1487" s="404" t="inlineStr">
        <is>
          <t>СтМатЗак</t>
        </is>
      </c>
      <c r="H1487" s="404" t="inlineStr">
        <is>
          <t>Стоимость материалов заказчика</t>
        </is>
      </c>
      <c r="I1487" s="404" t="n"/>
      <c r="J1487" s="404" t="n"/>
      <c r="K1487" s="404" t="n">
        <v>227</v>
      </c>
      <c r="L1487" s="404" t="n">
        <v>6</v>
      </c>
      <c r="M1487" s="404" t="n">
        <v>3</v>
      </c>
      <c r="N1487" s="404" t="inlineStr"/>
      <c r="O1487" s="404" t="n">
        <v>0</v>
      </c>
      <c r="P1487" s="404" t="n"/>
      <c r="Q1487" s="404" t="n"/>
      <c r="R1487" s="404" t="n"/>
      <c r="S1487" s="404" t="n"/>
      <c r="T1487" s="404" t="n"/>
      <c r="U1487" s="404" t="n"/>
      <c r="V1487" s="404" t="n"/>
      <c r="W1487" s="404" t="n">
        <v>0</v>
      </c>
      <c r="X1487" s="404" t="n">
        <v>1</v>
      </c>
      <c r="Y1487" s="404" t="n">
        <v>0</v>
      </c>
      <c r="Z1487" s="404" t="n"/>
      <c r="AA1487" s="404" t="n"/>
      <c r="AB1487" s="404" t="n"/>
    </row>
    <row r="1488">
      <c r="A1488" s="404" t="n">
        <v>50</v>
      </c>
      <c r="B1488" s="404" t="n">
        <v>0</v>
      </c>
      <c r="C1488" s="404" t="n">
        <v>0</v>
      </c>
      <c r="D1488" s="404" t="n">
        <v>1</v>
      </c>
      <c r="E1488" s="404" t="n">
        <v>228</v>
      </c>
      <c r="F1488" s="404">
        <f>ROUND(Source!AY1480,O1488)</f>
        <v/>
      </c>
      <c r="G1488" s="404" t="inlineStr">
        <is>
          <t>СтМатПод</t>
        </is>
      </c>
      <c r="H1488" s="404" t="inlineStr">
        <is>
          <t>Стоимость материалов подрядчика</t>
        </is>
      </c>
      <c r="I1488" s="404" t="n"/>
      <c r="J1488" s="404" t="n"/>
      <c r="K1488" s="404" t="n">
        <v>228</v>
      </c>
      <c r="L1488" s="404" t="n">
        <v>7</v>
      </c>
      <c r="M1488" s="404" t="n">
        <v>3</v>
      </c>
      <c r="N1488" s="404" t="inlineStr"/>
      <c r="O1488" s="404" t="n">
        <v>0</v>
      </c>
      <c r="P1488" s="404" t="n"/>
      <c r="Q1488" s="404" t="n"/>
      <c r="R1488" s="404" t="n"/>
      <c r="S1488" s="404" t="n"/>
      <c r="T1488" s="404" t="n"/>
      <c r="U1488" s="404" t="n"/>
      <c r="V1488" s="404" t="n"/>
      <c r="W1488" s="404" t="n">
        <v>0</v>
      </c>
      <c r="X1488" s="404" t="n">
        <v>1</v>
      </c>
      <c r="Y1488" s="404" t="n">
        <v>0</v>
      </c>
      <c r="Z1488" s="404" t="n"/>
      <c r="AA1488" s="404" t="n"/>
      <c r="AB1488" s="404" t="n"/>
    </row>
    <row r="1489">
      <c r="A1489" s="404" t="n">
        <v>50</v>
      </c>
      <c r="B1489" s="404" t="n">
        <v>0</v>
      </c>
      <c r="C1489" s="404" t="n">
        <v>0</v>
      </c>
      <c r="D1489" s="404" t="n">
        <v>1</v>
      </c>
      <c r="E1489" s="404" t="n">
        <v>216</v>
      </c>
      <c r="F1489" s="404">
        <f>ROUND(Source!AP1480,O1489)</f>
        <v/>
      </c>
      <c r="G1489" s="404" t="inlineStr">
        <is>
          <t>Оборуд</t>
        </is>
      </c>
      <c r="H1489" s="404" t="inlineStr">
        <is>
          <t>Стоимость оборудования (всего)</t>
        </is>
      </c>
      <c r="I1489" s="404" t="n"/>
      <c r="J1489" s="404" t="n"/>
      <c r="K1489" s="404" t="n">
        <v>216</v>
      </c>
      <c r="L1489" s="404" t="n">
        <v>8</v>
      </c>
      <c r="M1489" s="404" t="n">
        <v>3</v>
      </c>
      <c r="N1489" s="404" t="inlineStr"/>
      <c r="O1489" s="404" t="n">
        <v>0</v>
      </c>
      <c r="P1489" s="404" t="n"/>
      <c r="Q1489" s="404" t="n"/>
      <c r="R1489" s="404" t="n"/>
      <c r="S1489" s="404" t="n"/>
      <c r="T1489" s="404" t="n"/>
      <c r="U1489" s="404" t="n"/>
      <c r="V1489" s="404" t="n"/>
      <c r="W1489" s="404" t="n">
        <v>0</v>
      </c>
      <c r="X1489" s="404" t="n">
        <v>1</v>
      </c>
      <c r="Y1489" s="404" t="n">
        <v>0</v>
      </c>
      <c r="Z1489" s="404" t="n"/>
      <c r="AA1489" s="404" t="n"/>
      <c r="AB1489" s="404" t="n"/>
    </row>
    <row r="1490">
      <c r="A1490" s="404" t="n">
        <v>50</v>
      </c>
      <c r="B1490" s="404" t="n">
        <v>0</v>
      </c>
      <c r="C1490" s="404" t="n">
        <v>0</v>
      </c>
      <c r="D1490" s="404" t="n">
        <v>1</v>
      </c>
      <c r="E1490" s="404" t="n">
        <v>223</v>
      </c>
      <c r="F1490" s="404">
        <f>ROUND(Source!AQ1480,O1490)</f>
        <v/>
      </c>
      <c r="G1490" s="404" t="inlineStr">
        <is>
          <t>ОборудЗак</t>
        </is>
      </c>
      <c r="H1490" s="404" t="inlineStr">
        <is>
          <t>Стоимость оборудования заказчика</t>
        </is>
      </c>
      <c r="I1490" s="404" t="n"/>
      <c r="J1490" s="404" t="n"/>
      <c r="K1490" s="404" t="n">
        <v>223</v>
      </c>
      <c r="L1490" s="404" t="n">
        <v>9</v>
      </c>
      <c r="M1490" s="404" t="n">
        <v>3</v>
      </c>
      <c r="N1490" s="404" t="inlineStr"/>
      <c r="O1490" s="404" t="n">
        <v>0</v>
      </c>
      <c r="P1490" s="404" t="n"/>
      <c r="Q1490" s="404" t="n"/>
      <c r="R1490" s="404" t="n"/>
      <c r="S1490" s="404" t="n"/>
      <c r="T1490" s="404" t="n"/>
      <c r="U1490" s="404" t="n"/>
      <c r="V1490" s="404" t="n"/>
      <c r="W1490" s="404" t="n">
        <v>0</v>
      </c>
      <c r="X1490" s="404" t="n">
        <v>1</v>
      </c>
      <c r="Y1490" s="404" t="n">
        <v>0</v>
      </c>
      <c r="Z1490" s="404" t="n"/>
      <c r="AA1490" s="404" t="n"/>
      <c r="AB1490" s="404" t="n"/>
    </row>
    <row r="1491">
      <c r="A1491" s="404" t="n">
        <v>50</v>
      </c>
      <c r="B1491" s="404" t="n">
        <v>0</v>
      </c>
      <c r="C1491" s="404" t="n">
        <v>0</v>
      </c>
      <c r="D1491" s="404" t="n">
        <v>1</v>
      </c>
      <c r="E1491" s="404" t="n">
        <v>229</v>
      </c>
      <c r="F1491" s="404">
        <f>ROUND(Source!AZ1480,O1491)</f>
        <v/>
      </c>
      <c r="G1491" s="404" t="inlineStr">
        <is>
          <t>ОборудПод</t>
        </is>
      </c>
      <c r="H1491" s="404" t="inlineStr">
        <is>
          <t>Стоимость оборудования подрядчика</t>
        </is>
      </c>
      <c r="I1491" s="404" t="n"/>
      <c r="J1491" s="404" t="n"/>
      <c r="K1491" s="404" t="n">
        <v>229</v>
      </c>
      <c r="L1491" s="404" t="n">
        <v>10</v>
      </c>
      <c r="M1491" s="404" t="n">
        <v>3</v>
      </c>
      <c r="N1491" s="404" t="inlineStr"/>
      <c r="O1491" s="404" t="n">
        <v>0</v>
      </c>
      <c r="P1491" s="404" t="n"/>
      <c r="Q1491" s="404" t="n"/>
      <c r="R1491" s="404" t="n"/>
      <c r="S1491" s="404" t="n"/>
      <c r="T1491" s="404" t="n"/>
      <c r="U1491" s="404" t="n"/>
      <c r="V1491" s="404" t="n"/>
      <c r="W1491" s="404" t="n">
        <v>0</v>
      </c>
      <c r="X1491" s="404" t="n">
        <v>1</v>
      </c>
      <c r="Y1491" s="404" t="n">
        <v>0</v>
      </c>
      <c r="Z1491" s="404" t="n"/>
      <c r="AA1491" s="404" t="n"/>
      <c r="AB1491" s="404" t="n"/>
    </row>
    <row r="1492">
      <c r="A1492" s="404" t="n">
        <v>50</v>
      </c>
      <c r="B1492" s="404" t="n">
        <v>0</v>
      </c>
      <c r="C1492" s="404" t="n">
        <v>0</v>
      </c>
      <c r="D1492" s="404" t="n">
        <v>1</v>
      </c>
      <c r="E1492" s="404" t="n">
        <v>203</v>
      </c>
      <c r="F1492" s="404">
        <f>ROUND(Source!Q1480,O1492)</f>
        <v/>
      </c>
      <c r="G1492" s="404" t="inlineStr">
        <is>
          <t>ЭММ</t>
        </is>
      </c>
      <c r="H1492" s="404" t="inlineStr">
        <is>
          <t>Эксплуатация машин</t>
        </is>
      </c>
      <c r="I1492" s="404" t="n"/>
      <c r="J1492" s="404" t="n"/>
      <c r="K1492" s="404" t="n">
        <v>203</v>
      </c>
      <c r="L1492" s="404" t="n">
        <v>11</v>
      </c>
      <c r="M1492" s="404" t="n">
        <v>3</v>
      </c>
      <c r="N1492" s="404" t="inlineStr"/>
      <c r="O1492" s="404" t="n">
        <v>0</v>
      </c>
      <c r="P1492" s="404" t="n"/>
      <c r="Q1492" s="404" t="n"/>
      <c r="R1492" s="404" t="n"/>
      <c r="S1492" s="404" t="n"/>
      <c r="T1492" s="404" t="n"/>
      <c r="U1492" s="404" t="n"/>
      <c r="V1492" s="404" t="n"/>
      <c r="W1492" s="404" t="n">
        <v>0</v>
      </c>
      <c r="X1492" s="404" t="n">
        <v>1</v>
      </c>
      <c r="Y1492" s="404" t="n">
        <v>0</v>
      </c>
      <c r="Z1492" s="404" t="n"/>
      <c r="AA1492" s="404" t="n"/>
      <c r="AB1492" s="404" t="n"/>
    </row>
    <row r="1493">
      <c r="A1493" s="404" t="n">
        <v>50</v>
      </c>
      <c r="B1493" s="404" t="n">
        <v>0</v>
      </c>
      <c r="C1493" s="404" t="n">
        <v>0</v>
      </c>
      <c r="D1493" s="404" t="n">
        <v>1</v>
      </c>
      <c r="E1493" s="404" t="n">
        <v>231</v>
      </c>
      <c r="F1493" s="404">
        <f>ROUND(Source!BB1480,O1493)</f>
        <v/>
      </c>
      <c r="G1493" s="404" t="inlineStr">
        <is>
          <t>ЭММсНРиСП</t>
        </is>
      </c>
      <c r="H1493" s="404" t="inlineStr">
        <is>
          <t>Эксплуатация машин по ТСН-2001.16</t>
        </is>
      </c>
      <c r="I1493" s="404" t="n"/>
      <c r="J1493" s="404" t="n"/>
      <c r="K1493" s="404" t="n">
        <v>231</v>
      </c>
      <c r="L1493" s="404" t="n">
        <v>12</v>
      </c>
      <c r="M1493" s="404" t="n">
        <v>3</v>
      </c>
      <c r="N1493" s="404" t="inlineStr"/>
      <c r="O1493" s="404" t="n">
        <v>0</v>
      </c>
      <c r="P1493" s="404" t="n"/>
      <c r="Q1493" s="404" t="n"/>
      <c r="R1493" s="404" t="n"/>
      <c r="S1493" s="404" t="n"/>
      <c r="T1493" s="404" t="n"/>
      <c r="U1493" s="404" t="n"/>
      <c r="V1493" s="404" t="n"/>
      <c r="W1493" s="404" t="n">
        <v>0</v>
      </c>
      <c r="X1493" s="404" t="n">
        <v>1</v>
      </c>
      <c r="Y1493" s="404" t="n">
        <v>0</v>
      </c>
      <c r="Z1493" s="404" t="n"/>
      <c r="AA1493" s="404" t="n"/>
      <c r="AB1493" s="404" t="n"/>
    </row>
    <row r="1494">
      <c r="A1494" s="404" t="n">
        <v>50</v>
      </c>
      <c r="B1494" s="404" t="n">
        <v>0</v>
      </c>
      <c r="C1494" s="404" t="n">
        <v>0</v>
      </c>
      <c r="D1494" s="404" t="n">
        <v>1</v>
      </c>
      <c r="E1494" s="404" t="n">
        <v>204</v>
      </c>
      <c r="F1494" s="404">
        <f>ROUND(Source!R1480,O1494)</f>
        <v/>
      </c>
      <c r="G1494" s="404" t="inlineStr">
        <is>
          <t>ЗПМ</t>
        </is>
      </c>
      <c r="H1494" s="404" t="inlineStr">
        <is>
          <t>ЗП машинистов</t>
        </is>
      </c>
      <c r="I1494" s="404" t="n"/>
      <c r="J1494" s="404" t="n"/>
      <c r="K1494" s="404" t="n">
        <v>204</v>
      </c>
      <c r="L1494" s="404" t="n">
        <v>13</v>
      </c>
      <c r="M1494" s="404" t="n">
        <v>3</v>
      </c>
      <c r="N1494" s="404" t="inlineStr"/>
      <c r="O1494" s="404" t="n">
        <v>0</v>
      </c>
      <c r="P1494" s="404" t="n"/>
      <c r="Q1494" s="404" t="n"/>
      <c r="R1494" s="404" t="n"/>
      <c r="S1494" s="404" t="n"/>
      <c r="T1494" s="404" t="n"/>
      <c r="U1494" s="404" t="n"/>
      <c r="V1494" s="404" t="n"/>
      <c r="W1494" s="404" t="n">
        <v>0</v>
      </c>
      <c r="X1494" s="404" t="n">
        <v>1</v>
      </c>
      <c r="Y1494" s="404" t="n">
        <v>0</v>
      </c>
      <c r="Z1494" s="404" t="n"/>
      <c r="AA1494" s="404" t="n"/>
      <c r="AB1494" s="404" t="n"/>
    </row>
    <row r="1495">
      <c r="A1495" s="404" t="n">
        <v>50</v>
      </c>
      <c r="B1495" s="404" t="n">
        <v>0</v>
      </c>
      <c r="C1495" s="404" t="n">
        <v>0</v>
      </c>
      <c r="D1495" s="404" t="n">
        <v>1</v>
      </c>
      <c r="E1495" s="404" t="n">
        <v>205</v>
      </c>
      <c r="F1495" s="404">
        <f>ROUND(Source!S1480,O1495)</f>
        <v/>
      </c>
      <c r="G1495" s="404" t="inlineStr">
        <is>
          <t>ОЗП</t>
        </is>
      </c>
      <c r="H1495" s="404" t="inlineStr">
        <is>
          <t>Основная ЗП рабочих</t>
        </is>
      </c>
      <c r="I1495" s="404" t="n"/>
      <c r="J1495" s="404" t="n"/>
      <c r="K1495" s="404" t="n">
        <v>205</v>
      </c>
      <c r="L1495" s="404" t="n">
        <v>14</v>
      </c>
      <c r="M1495" s="404" t="n">
        <v>3</v>
      </c>
      <c r="N1495" s="404" t="inlineStr"/>
      <c r="O1495" s="404" t="n">
        <v>0</v>
      </c>
      <c r="P1495" s="404" t="n"/>
      <c r="Q1495" s="404" t="n"/>
      <c r="R1495" s="404" t="n"/>
      <c r="S1495" s="404" t="n"/>
      <c r="T1495" s="404" t="n"/>
      <c r="U1495" s="404" t="n"/>
      <c r="V1495" s="404" t="n"/>
      <c r="W1495" s="404" t="n">
        <v>0</v>
      </c>
      <c r="X1495" s="404" t="n">
        <v>1</v>
      </c>
      <c r="Y1495" s="404" t="n">
        <v>0</v>
      </c>
      <c r="Z1495" s="404" t="n"/>
      <c r="AA1495" s="404" t="n"/>
      <c r="AB1495" s="404" t="n"/>
    </row>
    <row r="1496">
      <c r="A1496" s="404" t="n">
        <v>50</v>
      </c>
      <c r="B1496" s="404" t="n">
        <v>0</v>
      </c>
      <c r="C1496" s="404" t="n">
        <v>0</v>
      </c>
      <c r="D1496" s="404" t="n">
        <v>1</v>
      </c>
      <c r="E1496" s="404" t="n">
        <v>232</v>
      </c>
      <c r="F1496" s="404">
        <f>ROUND(Source!BC1480,O1496)</f>
        <v/>
      </c>
      <c r="G1496" s="404" t="inlineStr">
        <is>
          <t>ОЗПсНРиСП</t>
        </is>
      </c>
      <c r="H1496" s="404" t="inlineStr">
        <is>
          <t>Основная ЗП рабочих по ТСН-2001.16</t>
        </is>
      </c>
      <c r="I1496" s="404" t="n"/>
      <c r="J1496" s="404" t="n"/>
      <c r="K1496" s="404" t="n">
        <v>232</v>
      </c>
      <c r="L1496" s="404" t="n">
        <v>15</v>
      </c>
      <c r="M1496" s="404" t="n">
        <v>3</v>
      </c>
      <c r="N1496" s="404" t="inlineStr"/>
      <c r="O1496" s="404" t="n">
        <v>0</v>
      </c>
      <c r="P1496" s="404" t="n"/>
      <c r="Q1496" s="404" t="n"/>
      <c r="R1496" s="404" t="n"/>
      <c r="S1496" s="404" t="n"/>
      <c r="T1496" s="404" t="n"/>
      <c r="U1496" s="404" t="n"/>
      <c r="V1496" s="404" t="n"/>
      <c r="W1496" s="404" t="n">
        <v>0</v>
      </c>
      <c r="X1496" s="404" t="n">
        <v>1</v>
      </c>
      <c r="Y1496" s="404" t="n">
        <v>0</v>
      </c>
      <c r="Z1496" s="404" t="n"/>
      <c r="AA1496" s="404" t="n"/>
      <c r="AB1496" s="404" t="n"/>
    </row>
    <row r="1497">
      <c r="A1497" s="404" t="n">
        <v>50</v>
      </c>
      <c r="B1497" s="404" t="n">
        <v>0</v>
      </c>
      <c r="C1497" s="404" t="n">
        <v>0</v>
      </c>
      <c r="D1497" s="404" t="n">
        <v>1</v>
      </c>
      <c r="E1497" s="404" t="n">
        <v>214</v>
      </c>
      <c r="F1497" s="404">
        <f>ROUND(Source!AS1480,O1497)</f>
        <v/>
      </c>
      <c r="G1497" s="404" t="inlineStr">
        <is>
          <t>Строит</t>
        </is>
      </c>
      <c r="H1497" s="404" t="inlineStr">
        <is>
          <t>Строительные работы с НР и СП</t>
        </is>
      </c>
      <c r="I1497" s="404" t="n"/>
      <c r="J1497" s="404" t="n"/>
      <c r="K1497" s="404" t="n">
        <v>214</v>
      </c>
      <c r="L1497" s="404" t="n">
        <v>16</v>
      </c>
      <c r="M1497" s="404" t="n">
        <v>3</v>
      </c>
      <c r="N1497" s="404" t="inlineStr"/>
      <c r="O1497" s="404" t="n">
        <v>0</v>
      </c>
      <c r="P1497" s="404" t="n"/>
      <c r="Q1497" s="404" t="n"/>
      <c r="R1497" s="404" t="n"/>
      <c r="S1497" s="404" t="n"/>
      <c r="T1497" s="404" t="n"/>
      <c r="U1497" s="404" t="n"/>
      <c r="V1497" s="404" t="n"/>
      <c r="W1497" s="404" t="n">
        <v>0</v>
      </c>
      <c r="X1497" s="404" t="n">
        <v>1</v>
      </c>
      <c r="Y1497" s="404" t="n">
        <v>0</v>
      </c>
      <c r="Z1497" s="404" t="n"/>
      <c r="AA1497" s="404" t="n"/>
      <c r="AB1497" s="404" t="n"/>
    </row>
    <row r="1498">
      <c r="A1498" s="404" t="n">
        <v>50</v>
      </c>
      <c r="B1498" s="404" t="n">
        <v>0</v>
      </c>
      <c r="C1498" s="404" t="n">
        <v>0</v>
      </c>
      <c r="D1498" s="404" t="n">
        <v>1</v>
      </c>
      <c r="E1498" s="404" t="n">
        <v>215</v>
      </c>
      <c r="F1498" s="404">
        <f>ROUND(Source!AT1480,O1498)</f>
        <v/>
      </c>
      <c r="G1498" s="404" t="inlineStr">
        <is>
          <t>Монтаж</t>
        </is>
      </c>
      <c r="H1498" s="404" t="inlineStr">
        <is>
          <t>Монтажные работы с НР и СП</t>
        </is>
      </c>
      <c r="I1498" s="404" t="n"/>
      <c r="J1498" s="404" t="n"/>
      <c r="K1498" s="404" t="n">
        <v>215</v>
      </c>
      <c r="L1498" s="404" t="n">
        <v>17</v>
      </c>
      <c r="M1498" s="404" t="n">
        <v>3</v>
      </c>
      <c r="N1498" s="404" t="inlineStr"/>
      <c r="O1498" s="404" t="n">
        <v>0</v>
      </c>
      <c r="P1498" s="404" t="n"/>
      <c r="Q1498" s="404" t="n"/>
      <c r="R1498" s="404" t="n"/>
      <c r="S1498" s="404" t="n"/>
      <c r="T1498" s="404" t="n"/>
      <c r="U1498" s="404" t="n"/>
      <c r="V1498" s="404" t="n"/>
      <c r="W1498" s="404" t="n">
        <v>0</v>
      </c>
      <c r="X1498" s="404" t="n">
        <v>1</v>
      </c>
      <c r="Y1498" s="404" t="n">
        <v>0</v>
      </c>
      <c r="Z1498" s="404" t="n"/>
      <c r="AA1498" s="404" t="n"/>
      <c r="AB1498" s="404" t="n"/>
    </row>
    <row r="1499">
      <c r="A1499" s="404" t="n">
        <v>50</v>
      </c>
      <c r="B1499" s="404" t="n">
        <v>0</v>
      </c>
      <c r="C1499" s="404" t="n">
        <v>0</v>
      </c>
      <c r="D1499" s="404" t="n">
        <v>1</v>
      </c>
      <c r="E1499" s="404" t="n">
        <v>217</v>
      </c>
      <c r="F1499" s="404">
        <f>ROUND(Source!AU1480,O1499)</f>
        <v/>
      </c>
      <c r="G1499" s="404" t="inlineStr">
        <is>
          <t>Прочие</t>
        </is>
      </c>
      <c r="H1499" s="404" t="inlineStr">
        <is>
          <t>Прочие работы с НР и СП</t>
        </is>
      </c>
      <c r="I1499" s="404" t="n"/>
      <c r="J1499" s="404" t="n"/>
      <c r="K1499" s="404" t="n">
        <v>217</v>
      </c>
      <c r="L1499" s="404" t="n">
        <v>18</v>
      </c>
      <c r="M1499" s="404" t="n">
        <v>3</v>
      </c>
      <c r="N1499" s="404" t="inlineStr"/>
      <c r="O1499" s="404" t="n">
        <v>0</v>
      </c>
      <c r="P1499" s="404" t="n"/>
      <c r="Q1499" s="404" t="n"/>
      <c r="R1499" s="404" t="n"/>
      <c r="S1499" s="404" t="n"/>
      <c r="T1499" s="404" t="n"/>
      <c r="U1499" s="404" t="n"/>
      <c r="V1499" s="404" t="n"/>
      <c r="W1499" s="404" t="n">
        <v>0</v>
      </c>
      <c r="X1499" s="404" t="n">
        <v>1</v>
      </c>
      <c r="Y1499" s="404" t="n">
        <v>0</v>
      </c>
      <c r="Z1499" s="404" t="n"/>
      <c r="AA1499" s="404" t="n"/>
      <c r="AB1499" s="404" t="n"/>
    </row>
    <row r="1500">
      <c r="A1500" s="404" t="n">
        <v>50</v>
      </c>
      <c r="B1500" s="404" t="n">
        <v>0</v>
      </c>
      <c r="C1500" s="404" t="n">
        <v>0</v>
      </c>
      <c r="D1500" s="404" t="n">
        <v>1</v>
      </c>
      <c r="E1500" s="404" t="n">
        <v>230</v>
      </c>
      <c r="F1500" s="404">
        <f>ROUND(Source!BA1480,O1500)</f>
        <v/>
      </c>
      <c r="G1500" s="404" t="inlineStr">
        <is>
          <t>ПрочиеЗатр</t>
        </is>
      </c>
      <c r="H1500" s="404" t="inlineStr">
        <is>
          <t>Прочие затраты по ТСН-2001.16</t>
        </is>
      </c>
      <c r="I1500" s="404" t="n"/>
      <c r="J1500" s="404" t="n"/>
      <c r="K1500" s="404" t="n">
        <v>230</v>
      </c>
      <c r="L1500" s="404" t="n">
        <v>19</v>
      </c>
      <c r="M1500" s="404" t="n">
        <v>3</v>
      </c>
      <c r="N1500" s="404" t="inlineStr"/>
      <c r="O1500" s="404" t="n">
        <v>0</v>
      </c>
      <c r="P1500" s="404" t="n"/>
      <c r="Q1500" s="404" t="n"/>
      <c r="R1500" s="404" t="n"/>
      <c r="S1500" s="404" t="n"/>
      <c r="T1500" s="404" t="n"/>
      <c r="U1500" s="404" t="n"/>
      <c r="V1500" s="404" t="n"/>
      <c r="W1500" s="404" t="n">
        <v>0</v>
      </c>
      <c r="X1500" s="404" t="n">
        <v>1</v>
      </c>
      <c r="Y1500" s="404" t="n">
        <v>0</v>
      </c>
      <c r="Z1500" s="404" t="n"/>
      <c r="AA1500" s="404" t="n"/>
      <c r="AB1500" s="404" t="n"/>
    </row>
    <row r="1501">
      <c r="A1501" s="404" t="n">
        <v>50</v>
      </c>
      <c r="B1501" s="404" t="n">
        <v>0</v>
      </c>
      <c r="C1501" s="404" t="n">
        <v>0</v>
      </c>
      <c r="D1501" s="404" t="n">
        <v>1</v>
      </c>
      <c r="E1501" s="404" t="n">
        <v>206</v>
      </c>
      <c r="F1501" s="404">
        <f>ROUND(Source!T1480,O1501)</f>
        <v/>
      </c>
      <c r="G1501" s="404" t="inlineStr">
        <is>
          <t>ВозврМат</t>
        </is>
      </c>
      <c r="H1501" s="404" t="inlineStr">
        <is>
          <t>Возврат материалов</t>
        </is>
      </c>
      <c r="I1501" s="404" t="n"/>
      <c r="J1501" s="404" t="n"/>
      <c r="K1501" s="404" t="n">
        <v>206</v>
      </c>
      <c r="L1501" s="404" t="n">
        <v>20</v>
      </c>
      <c r="M1501" s="404" t="n">
        <v>3</v>
      </c>
      <c r="N1501" s="404" t="inlineStr"/>
      <c r="O1501" s="404" t="n">
        <v>0</v>
      </c>
      <c r="P1501" s="404" t="n"/>
      <c r="Q1501" s="404" t="n"/>
      <c r="R1501" s="404" t="n"/>
      <c r="S1501" s="404" t="n"/>
      <c r="T1501" s="404" t="n"/>
      <c r="U1501" s="404" t="n"/>
      <c r="V1501" s="404" t="n"/>
      <c r="W1501" s="404" t="n">
        <v>0</v>
      </c>
      <c r="X1501" s="404" t="n">
        <v>1</v>
      </c>
      <c r="Y1501" s="404" t="n">
        <v>0</v>
      </c>
      <c r="Z1501" s="404" t="n"/>
      <c r="AA1501" s="404" t="n"/>
      <c r="AB1501" s="404" t="n"/>
    </row>
    <row r="1502">
      <c r="A1502" s="404" t="n">
        <v>50</v>
      </c>
      <c r="B1502" s="404" t="n">
        <v>0</v>
      </c>
      <c r="C1502" s="404" t="n">
        <v>0</v>
      </c>
      <c r="D1502" s="404" t="n">
        <v>1</v>
      </c>
      <c r="E1502" s="404" t="n">
        <v>207</v>
      </c>
      <c r="F1502" s="404">
        <f>ROUND(Source!U1480,O1502)</f>
        <v/>
      </c>
      <c r="G1502" s="404" t="inlineStr">
        <is>
          <t>ТрудСтр</t>
        </is>
      </c>
      <c r="H1502" s="404" t="inlineStr">
        <is>
          <t>Трудозатраты строителей</t>
        </is>
      </c>
      <c r="I1502" s="404" t="n"/>
      <c r="J1502" s="404" t="n"/>
      <c r="K1502" s="404" t="n">
        <v>207</v>
      </c>
      <c r="L1502" s="404" t="n">
        <v>21</v>
      </c>
      <c r="M1502" s="404" t="n">
        <v>3</v>
      </c>
      <c r="N1502" s="404" t="inlineStr"/>
      <c r="O1502" s="404" t="n">
        <v>7</v>
      </c>
      <c r="P1502" s="404" t="n"/>
      <c r="Q1502" s="404" t="n"/>
      <c r="R1502" s="404" t="n"/>
      <c r="S1502" s="404" t="n"/>
      <c r="T1502" s="404" t="n"/>
      <c r="U1502" s="404" t="n"/>
      <c r="V1502" s="404" t="n"/>
      <c r="W1502" s="404" t="n">
        <v>0</v>
      </c>
      <c r="X1502" s="404" t="n">
        <v>1</v>
      </c>
      <c r="Y1502" s="404" t="n">
        <v>0</v>
      </c>
      <c r="Z1502" s="404" t="n"/>
      <c r="AA1502" s="404" t="n"/>
      <c r="AB1502" s="404" t="n"/>
    </row>
    <row r="1503">
      <c r="A1503" s="404" t="n">
        <v>50</v>
      </c>
      <c r="B1503" s="404" t="n">
        <v>0</v>
      </c>
      <c r="C1503" s="404" t="n">
        <v>0</v>
      </c>
      <c r="D1503" s="404" t="n">
        <v>1</v>
      </c>
      <c r="E1503" s="404" t="n">
        <v>208</v>
      </c>
      <c r="F1503" s="404">
        <f>ROUND(Source!V1480,O1503)</f>
        <v/>
      </c>
      <c r="G1503" s="404" t="inlineStr">
        <is>
          <t>ТрудМаш</t>
        </is>
      </c>
      <c r="H1503" s="404" t="inlineStr">
        <is>
          <t>Трудозатраты машинистов</t>
        </is>
      </c>
      <c r="I1503" s="404" t="n"/>
      <c r="J1503" s="404" t="n"/>
      <c r="K1503" s="404" t="n">
        <v>208</v>
      </c>
      <c r="L1503" s="404" t="n">
        <v>22</v>
      </c>
      <c r="M1503" s="404" t="n">
        <v>3</v>
      </c>
      <c r="N1503" s="404" t="inlineStr"/>
      <c r="O1503" s="404" t="n">
        <v>7</v>
      </c>
      <c r="P1503" s="404" t="n"/>
      <c r="Q1503" s="404" t="n"/>
      <c r="R1503" s="404" t="n"/>
      <c r="S1503" s="404" t="n"/>
      <c r="T1503" s="404" t="n"/>
      <c r="U1503" s="404" t="n"/>
      <c r="V1503" s="404" t="n"/>
      <c r="W1503" s="404" t="n">
        <v>0</v>
      </c>
      <c r="X1503" s="404" t="n">
        <v>1</v>
      </c>
      <c r="Y1503" s="404" t="n">
        <v>0</v>
      </c>
      <c r="Z1503" s="404" t="n"/>
      <c r="AA1503" s="404" t="n"/>
      <c r="AB1503" s="404" t="n"/>
    </row>
    <row r="1504">
      <c r="A1504" s="404" t="n">
        <v>50</v>
      </c>
      <c r="B1504" s="404" t="n">
        <v>0</v>
      </c>
      <c r="C1504" s="404" t="n">
        <v>0</v>
      </c>
      <c r="D1504" s="404" t="n">
        <v>1</v>
      </c>
      <c r="E1504" s="404" t="n">
        <v>209</v>
      </c>
      <c r="F1504" s="404">
        <f>ROUND(Source!W1480,O1504)</f>
        <v/>
      </c>
      <c r="G1504" s="404" t="inlineStr">
        <is>
          <t>ТранспМат</t>
        </is>
      </c>
      <c r="H1504" s="404" t="inlineStr">
        <is>
          <t>Транспорт материалов</t>
        </is>
      </c>
      <c r="I1504" s="404" t="n"/>
      <c r="J1504" s="404" t="n"/>
      <c r="K1504" s="404" t="n">
        <v>209</v>
      </c>
      <c r="L1504" s="404" t="n">
        <v>23</v>
      </c>
      <c r="M1504" s="404" t="n">
        <v>3</v>
      </c>
      <c r="N1504" s="404" t="inlineStr"/>
      <c r="O1504" s="404" t="n">
        <v>0</v>
      </c>
      <c r="P1504" s="404" t="n"/>
      <c r="Q1504" s="404" t="n"/>
      <c r="R1504" s="404" t="n"/>
      <c r="S1504" s="404" t="n"/>
      <c r="T1504" s="404" t="n"/>
      <c r="U1504" s="404" t="n"/>
      <c r="V1504" s="404" t="n"/>
      <c r="W1504" s="404" t="n">
        <v>0</v>
      </c>
      <c r="X1504" s="404" t="n">
        <v>1</v>
      </c>
      <c r="Y1504" s="404" t="n">
        <v>0</v>
      </c>
      <c r="Z1504" s="404" t="n"/>
      <c r="AA1504" s="404" t="n"/>
      <c r="AB1504" s="404" t="n"/>
    </row>
    <row r="1505">
      <c r="A1505" s="404" t="n">
        <v>50</v>
      </c>
      <c r="B1505" s="404" t="n">
        <v>0</v>
      </c>
      <c r="C1505" s="404" t="n">
        <v>0</v>
      </c>
      <c r="D1505" s="404" t="n">
        <v>1</v>
      </c>
      <c r="E1505" s="404" t="n">
        <v>233</v>
      </c>
      <c r="F1505" s="404">
        <f>ROUND(Source!BD1480,O1505)</f>
        <v/>
      </c>
      <c r="G1505" s="404" t="inlineStr">
        <is>
          <t>Перевозка</t>
        </is>
      </c>
      <c r="H1505" s="404" t="inlineStr">
        <is>
          <t>Перевозка грузов</t>
        </is>
      </c>
      <c r="I1505" s="404" t="n"/>
      <c r="J1505" s="404" t="n"/>
      <c r="K1505" s="404" t="n">
        <v>233</v>
      </c>
      <c r="L1505" s="404" t="n">
        <v>24</v>
      </c>
      <c r="M1505" s="404" t="n">
        <v>3</v>
      </c>
      <c r="N1505" s="404" t="inlineStr"/>
      <c r="O1505" s="404" t="n">
        <v>0</v>
      </c>
      <c r="P1505" s="404" t="n"/>
      <c r="Q1505" s="404" t="n"/>
      <c r="R1505" s="404" t="n"/>
      <c r="S1505" s="404" t="n"/>
      <c r="T1505" s="404" t="n"/>
      <c r="U1505" s="404" t="n"/>
      <c r="V1505" s="404" t="n"/>
      <c r="W1505" s="404" t="n">
        <v>0</v>
      </c>
      <c r="X1505" s="404" t="n">
        <v>1</v>
      </c>
      <c r="Y1505" s="404" t="n">
        <v>0</v>
      </c>
      <c r="Z1505" s="404" t="n"/>
      <c r="AA1505" s="404" t="n"/>
      <c r="AB1505" s="404" t="n"/>
    </row>
    <row r="1506">
      <c r="A1506" s="404" t="n">
        <v>50</v>
      </c>
      <c r="B1506" s="404" t="n">
        <v>0</v>
      </c>
      <c r="C1506" s="404" t="n">
        <v>0</v>
      </c>
      <c r="D1506" s="404" t="n">
        <v>1</v>
      </c>
      <c r="E1506" s="404" t="n">
        <v>210</v>
      </c>
      <c r="F1506" s="404">
        <f>ROUND(Source!X1480,O1506)</f>
        <v/>
      </c>
      <c r="G1506" s="404" t="inlineStr">
        <is>
          <t>НР</t>
        </is>
      </c>
      <c r="H1506" s="404" t="inlineStr">
        <is>
          <t>Накладные расходы</t>
        </is>
      </c>
      <c r="I1506" s="404" t="n"/>
      <c r="J1506" s="404" t="n"/>
      <c r="K1506" s="404" t="n">
        <v>210</v>
      </c>
      <c r="L1506" s="404" t="n">
        <v>25</v>
      </c>
      <c r="M1506" s="404" t="n">
        <v>3</v>
      </c>
      <c r="N1506" s="404" t="inlineStr"/>
      <c r="O1506" s="404" t="n">
        <v>0</v>
      </c>
      <c r="P1506" s="404" t="n"/>
      <c r="Q1506" s="404" t="n"/>
      <c r="R1506" s="404" t="n"/>
      <c r="S1506" s="404" t="n"/>
      <c r="T1506" s="404" t="n"/>
      <c r="U1506" s="404" t="n"/>
      <c r="V1506" s="404" t="n"/>
      <c r="W1506" s="404" t="n">
        <v>0</v>
      </c>
      <c r="X1506" s="404" t="n">
        <v>1</v>
      </c>
      <c r="Y1506" s="404" t="n">
        <v>0</v>
      </c>
      <c r="Z1506" s="404" t="n"/>
      <c r="AA1506" s="404" t="n"/>
      <c r="AB1506" s="404" t="n"/>
    </row>
    <row r="1507">
      <c r="A1507" s="404" t="n">
        <v>50</v>
      </c>
      <c r="B1507" s="404" t="n">
        <v>0</v>
      </c>
      <c r="C1507" s="404" t="n">
        <v>0</v>
      </c>
      <c r="D1507" s="404" t="n">
        <v>1</v>
      </c>
      <c r="E1507" s="404" t="n">
        <v>211</v>
      </c>
      <c r="F1507" s="404">
        <f>ROUND(Source!Y1480,O1507)</f>
        <v/>
      </c>
      <c r="G1507" s="404" t="inlineStr">
        <is>
          <t>СмПриб</t>
        </is>
      </c>
      <c r="H1507" s="404" t="inlineStr">
        <is>
          <t>Сметная прибыль</t>
        </is>
      </c>
      <c r="I1507" s="404" t="n"/>
      <c r="J1507" s="404" t="n"/>
      <c r="K1507" s="404" t="n">
        <v>211</v>
      </c>
      <c r="L1507" s="404" t="n">
        <v>26</v>
      </c>
      <c r="M1507" s="404" t="n">
        <v>3</v>
      </c>
      <c r="N1507" s="404" t="inlineStr"/>
      <c r="O1507" s="404" t="n">
        <v>0</v>
      </c>
      <c r="P1507" s="404" t="n"/>
      <c r="Q1507" s="404" t="n"/>
      <c r="R1507" s="404" t="n"/>
      <c r="S1507" s="404" t="n"/>
      <c r="T1507" s="404" t="n"/>
      <c r="U1507" s="404" t="n"/>
      <c r="V1507" s="404" t="n"/>
      <c r="W1507" s="404" t="n">
        <v>0</v>
      </c>
      <c r="X1507" s="404" t="n">
        <v>1</v>
      </c>
      <c r="Y1507" s="404" t="n">
        <v>0</v>
      </c>
      <c r="Z1507" s="404" t="n"/>
      <c r="AA1507" s="404" t="n"/>
      <c r="AB1507" s="404" t="n"/>
    </row>
    <row r="1508">
      <c r="A1508" s="404" t="n">
        <v>50</v>
      </c>
      <c r="B1508" s="404" t="n">
        <v>0</v>
      </c>
      <c r="C1508" s="404" t="n">
        <v>0</v>
      </c>
      <c r="D1508" s="404" t="n">
        <v>1</v>
      </c>
      <c r="E1508" s="404" t="n">
        <v>224</v>
      </c>
      <c r="F1508" s="404">
        <f>ROUND(Source!AR1480,O1508)</f>
        <v/>
      </c>
      <c r="G1508" s="404" t="inlineStr">
        <is>
          <t>Всего</t>
        </is>
      </c>
      <c r="H1508" s="404" t="inlineStr">
        <is>
          <t>Всего с НР и СП</t>
        </is>
      </c>
      <c r="I1508" s="404" t="n"/>
      <c r="J1508" s="404" t="n"/>
      <c r="K1508" s="404" t="n">
        <v>224</v>
      </c>
      <c r="L1508" s="404" t="n">
        <v>27</v>
      </c>
      <c r="M1508" s="404" t="n">
        <v>3</v>
      </c>
      <c r="N1508" s="404" t="inlineStr"/>
      <c r="O1508" s="404" t="n">
        <v>0</v>
      </c>
      <c r="P1508" s="404" t="n"/>
      <c r="Q1508" s="404" t="n"/>
      <c r="R1508" s="404" t="n"/>
      <c r="S1508" s="404" t="n"/>
      <c r="T1508" s="404" t="n"/>
      <c r="U1508" s="404" t="n"/>
      <c r="V1508" s="404" t="n"/>
      <c r="W1508" s="404" t="n">
        <v>0</v>
      </c>
      <c r="X1508" s="404" t="n">
        <v>1</v>
      </c>
      <c r="Y1508" s="404" t="n">
        <v>0</v>
      </c>
      <c r="Z1508" s="404" t="n"/>
      <c r="AA1508" s="404" t="n"/>
      <c r="AB1508" s="404" t="n"/>
    </row>
    <row r="1509">
      <c r="A1509" s="404" t="n">
        <v>50</v>
      </c>
      <c r="B1509" s="404" t="n">
        <v>0</v>
      </c>
      <c r="C1509" s="404" t="n">
        <v>0</v>
      </c>
      <c r="D1509" s="404" t="n">
        <v>2</v>
      </c>
      <c r="E1509" s="404" t="n">
        <v>0</v>
      </c>
      <c r="F1509" s="404">
        <f>ROUND(F1508,O1509)</f>
        <v/>
      </c>
      <c r="G1509" s="404" t="inlineStr">
        <is>
          <t>и1</t>
        </is>
      </c>
      <c r="H1509" s="404" t="inlineStr">
        <is>
          <t>Итого</t>
        </is>
      </c>
      <c r="I1509" s="404" t="n"/>
      <c r="J1509" s="404" t="n"/>
      <c r="K1509" s="404" t="n">
        <v>212</v>
      </c>
      <c r="L1509" s="404" t="n">
        <v>28</v>
      </c>
      <c r="M1509" s="404" t="n">
        <v>0</v>
      </c>
      <c r="N1509" s="404" t="inlineStr"/>
      <c r="O1509" s="404" t="n">
        <v>0</v>
      </c>
      <c r="P1509" s="404" t="n"/>
      <c r="Q1509" s="404" t="n"/>
      <c r="R1509" s="404" t="n"/>
      <c r="S1509" s="404" t="n"/>
      <c r="T1509" s="404" t="n"/>
      <c r="U1509" s="404" t="n"/>
      <c r="V1509" s="404" t="n"/>
      <c r="W1509" s="404" t="n">
        <v>0</v>
      </c>
      <c r="X1509" s="404" t="n">
        <v>1</v>
      </c>
      <c r="Y1509" s="404" t="n">
        <v>0</v>
      </c>
      <c r="Z1509" s="404" t="n"/>
      <c r="AA1509" s="404" t="n"/>
      <c r="AB1509" s="404" t="n"/>
    </row>
    <row r="1510">
      <c r="A1510" s="404" t="n">
        <v>50</v>
      </c>
      <c r="B1510" s="404" t="n">
        <v>0</v>
      </c>
      <c r="C1510" s="404" t="n">
        <v>0</v>
      </c>
      <c r="D1510" s="404" t="n">
        <v>2</v>
      </c>
      <c r="E1510" s="404" t="n">
        <v>0</v>
      </c>
      <c r="F1510" s="404">
        <f>ROUND(F1509*0.22,O1510)</f>
        <v/>
      </c>
      <c r="G1510" s="404" t="inlineStr">
        <is>
          <t>и2</t>
        </is>
      </c>
      <c r="H1510" s="404" t="inlineStr">
        <is>
          <t>НДС 22%</t>
        </is>
      </c>
      <c r="I1510" s="404" t="n"/>
      <c r="J1510" s="404" t="n"/>
      <c r="K1510" s="404" t="n">
        <v>212</v>
      </c>
      <c r="L1510" s="404" t="n">
        <v>29</v>
      </c>
      <c r="M1510" s="404" t="n">
        <v>0</v>
      </c>
      <c r="N1510" s="404" t="inlineStr"/>
      <c r="O1510" s="404" t="n">
        <v>0</v>
      </c>
      <c r="P1510" s="404" t="n"/>
      <c r="Q1510" s="404" t="n"/>
      <c r="R1510" s="404" t="n"/>
      <c r="S1510" s="404" t="n"/>
      <c r="T1510" s="404" t="n"/>
      <c r="U1510" s="404" t="n"/>
      <c r="V1510" s="404" t="n"/>
      <c r="W1510" s="404" t="n">
        <v>0</v>
      </c>
      <c r="X1510" s="404" t="n">
        <v>1</v>
      </c>
      <c r="Y1510" s="404" t="n">
        <v>0</v>
      </c>
      <c r="Z1510" s="404" t="n"/>
      <c r="AA1510" s="404" t="n"/>
      <c r="AB1510" s="404" t="n"/>
    </row>
    <row r="1511">
      <c r="A1511" s="404" t="n">
        <v>50</v>
      </c>
      <c r="B1511" s="404" t="n">
        <v>0</v>
      </c>
      <c r="C1511" s="404" t="n">
        <v>0</v>
      </c>
      <c r="D1511" s="404" t="n">
        <v>2</v>
      </c>
      <c r="E1511" s="404" t="n">
        <v>213</v>
      </c>
      <c r="F1511" s="404">
        <f>ROUND(F1509+F1510,O1511)</f>
        <v/>
      </c>
      <c r="G1511" s="404" t="inlineStr">
        <is>
          <t>и3</t>
        </is>
      </c>
      <c r="H1511" s="404" t="inlineStr">
        <is>
          <t>Всего</t>
        </is>
      </c>
      <c r="I1511" s="404" t="n"/>
      <c r="J1511" s="404" t="n"/>
      <c r="K1511" s="404" t="n">
        <v>212</v>
      </c>
      <c r="L1511" s="404" t="n">
        <v>30</v>
      </c>
      <c r="M1511" s="404" t="n">
        <v>0</v>
      </c>
      <c r="N1511" s="404" t="inlineStr"/>
      <c r="O1511" s="404" t="n">
        <v>0</v>
      </c>
      <c r="P1511" s="404" t="n"/>
      <c r="Q1511" s="404" t="n"/>
      <c r="R1511" s="404" t="n"/>
      <c r="S1511" s="404" t="n"/>
      <c r="T1511" s="404" t="n"/>
      <c r="U1511" s="404" t="n"/>
      <c r="V1511" s="404" t="n"/>
      <c r="W1511" s="404" t="n">
        <v>0</v>
      </c>
      <c r="X1511" s="404" t="n">
        <v>1</v>
      </c>
      <c r="Y1511" s="404" t="n">
        <v>0</v>
      </c>
      <c r="Z1511" s="404" t="n"/>
      <c r="AA1511" s="404" t="n"/>
      <c r="AB1511" s="404" t="n"/>
    </row>
    <row r="1512"/>
    <row r="1513">
      <c r="A1513" s="401" t="n">
        <v>3</v>
      </c>
      <c r="B1513" s="401" t="n">
        <v>0</v>
      </c>
      <c r="C1513" s="401" t="n"/>
      <c r="D1513" s="401">
        <f>ROW(A1523)</f>
        <v/>
      </c>
      <c r="E1513" s="401" t="n"/>
      <c r="F1513" s="401" t="inlineStr">
        <is>
          <t>Новая локальная смета</t>
        </is>
      </c>
      <c r="G1513" s="401" t="inlineStr">
        <is>
          <t>Победы 1а</t>
        </is>
      </c>
      <c r="H1513" s="401" t="inlineStr"/>
      <c r="I1513" s="401" t="n">
        <v>0</v>
      </c>
      <c r="J1513" s="401" t="inlineStr"/>
      <c r="K1513" s="401" t="n">
        <v>0</v>
      </c>
      <c r="L1513" s="401" t="inlineStr">
        <is>
          <t>Новая локальная смета</t>
        </is>
      </c>
      <c r="M1513" s="401" t="inlineStr"/>
      <c r="N1513" s="401" t="n"/>
      <c r="O1513" s="401" t="n"/>
      <c r="P1513" s="401" t="n"/>
      <c r="Q1513" s="401" t="n"/>
      <c r="R1513" s="401" t="n"/>
      <c r="S1513" s="401" t="n">
        <v>0</v>
      </c>
      <c r="T1513" s="401" t="n"/>
      <c r="U1513" s="401" t="inlineStr"/>
      <c r="V1513" s="401" t="n">
        <v>0</v>
      </c>
      <c r="W1513" s="401" t="n"/>
      <c r="X1513" s="401" t="n"/>
      <c r="Y1513" s="401" t="n"/>
      <c r="Z1513" s="401" t="n"/>
      <c r="AA1513" s="401" t="n"/>
      <c r="AB1513" s="401" t="inlineStr"/>
      <c r="AC1513" s="401" t="inlineStr"/>
      <c r="AD1513" s="401" t="inlineStr"/>
      <c r="AE1513" s="401" t="inlineStr"/>
      <c r="AF1513" s="401" t="inlineStr"/>
      <c r="AG1513" s="401" t="inlineStr"/>
      <c r="AH1513" s="401" t="n"/>
      <c r="AI1513" s="401" t="n"/>
      <c r="AJ1513" s="401" t="n"/>
      <c r="AK1513" s="401" t="n"/>
      <c r="AL1513" s="401" t="n"/>
      <c r="AM1513" s="401" t="n"/>
      <c r="AN1513" s="401" t="n"/>
      <c r="AO1513" s="401" t="n"/>
      <c r="AP1513" s="401" t="inlineStr"/>
      <c r="AQ1513" s="401" t="inlineStr"/>
      <c r="AR1513" s="401" t="inlineStr"/>
      <c r="AS1513" s="401" t="n"/>
      <c r="AT1513" s="401" t="n"/>
      <c r="AU1513" s="401" t="n"/>
      <c r="AV1513" s="401" t="n"/>
      <c r="AW1513" s="401" t="n"/>
      <c r="AX1513" s="401" t="n"/>
      <c r="AY1513" s="401" t="n"/>
      <c r="AZ1513" s="401" t="inlineStr"/>
      <c r="BA1513" s="401" t="n"/>
      <c r="BB1513" s="401" t="inlineStr"/>
      <c r="BC1513" s="401" t="inlineStr"/>
      <c r="BD1513" s="401" t="inlineStr"/>
      <c r="BE1513" s="401" t="inlineStr"/>
      <c r="BF1513" s="401" t="inlineStr"/>
      <c r="BG1513" s="401" t="inlineStr"/>
      <c r="BH1513" s="401" t="inlineStr"/>
      <c r="BI1513" s="401" t="inlineStr"/>
      <c r="BJ1513" s="401" t="inlineStr"/>
      <c r="BK1513" s="401" t="inlineStr"/>
      <c r="BL1513" s="401" t="inlineStr"/>
      <c r="BM1513" s="401" t="inlineStr"/>
      <c r="BN1513" s="401" t="inlineStr"/>
      <c r="BO1513" s="401" t="inlineStr"/>
      <c r="BP1513" s="401" t="inlineStr"/>
      <c r="BQ1513" s="401" t="n"/>
      <c r="BR1513" s="401" t="n"/>
      <c r="BS1513" s="401" t="n"/>
      <c r="BT1513" s="401" t="n"/>
      <c r="BU1513" s="401" t="n"/>
      <c r="BV1513" s="401" t="n"/>
      <c r="BW1513" s="401" t="n"/>
      <c r="BX1513" s="401" t="n">
        <v>0</v>
      </c>
      <c r="BY1513" s="401" t="n"/>
      <c r="BZ1513" s="401" t="n"/>
      <c r="CA1513" s="401" t="n"/>
      <c r="CB1513" s="401" t="n"/>
      <c r="CC1513" s="401" t="n"/>
      <c r="CD1513" s="401" t="n"/>
      <c r="CE1513" s="401" t="n"/>
      <c r="CF1513" s="401" t="n">
        <v>0</v>
      </c>
      <c r="CG1513" s="401" t="n">
        <v>0</v>
      </c>
      <c r="CH1513" s="401" t="n"/>
      <c r="CI1513" s="401" t="inlineStr"/>
      <c r="CJ1513" s="401" t="inlineStr"/>
      <c r="CK1513" t="inlineStr"/>
      <c r="CL1513" t="inlineStr"/>
      <c r="CM1513" t="inlineStr"/>
      <c r="CN1513" t="inlineStr"/>
      <c r="CO1513" t="inlineStr"/>
      <c r="CP1513" t="inlineStr"/>
      <c r="CQ1513" t="inlineStr"/>
    </row>
    <row r="1514"/>
    <row r="1515">
      <c r="A1515" s="402" t="n">
        <v>52</v>
      </c>
      <c r="B1515" s="402">
        <f>B1523</f>
        <v/>
      </c>
      <c r="C1515" s="402">
        <f>C1523</f>
        <v/>
      </c>
      <c r="D1515" s="402">
        <f>D1523</f>
        <v/>
      </c>
      <c r="E1515" s="402">
        <f>E1523</f>
        <v/>
      </c>
      <c r="F1515" s="402">
        <f>F1523</f>
        <v/>
      </c>
      <c r="G1515" s="402">
        <f>G1523</f>
        <v/>
      </c>
      <c r="H1515" s="402" t="n"/>
      <c r="I1515" s="402" t="n"/>
      <c r="J1515" s="402" t="n"/>
      <c r="K1515" s="402" t="n"/>
      <c r="L1515" s="402" t="n"/>
      <c r="M1515" s="402" t="n"/>
      <c r="N1515" s="402" t="n"/>
      <c r="O1515" s="402">
        <f>O1523</f>
        <v/>
      </c>
      <c r="P1515" s="402">
        <f>P1523</f>
        <v/>
      </c>
      <c r="Q1515" s="402">
        <f>Q1523</f>
        <v/>
      </c>
      <c r="R1515" s="402">
        <f>R1523</f>
        <v/>
      </c>
      <c r="S1515" s="402">
        <f>S1523</f>
        <v/>
      </c>
      <c r="T1515" s="402">
        <f>T1523</f>
        <v/>
      </c>
      <c r="U1515" s="402">
        <f>U1523</f>
        <v/>
      </c>
      <c r="V1515" s="402">
        <f>V1523</f>
        <v/>
      </c>
      <c r="W1515" s="402">
        <f>W1523</f>
        <v/>
      </c>
      <c r="X1515" s="402">
        <f>X1523</f>
        <v/>
      </c>
      <c r="Y1515" s="402">
        <f>Y1523</f>
        <v/>
      </c>
      <c r="Z1515" s="402">
        <f>Z1523</f>
        <v/>
      </c>
      <c r="AA1515" s="402">
        <f>AA1523</f>
        <v/>
      </c>
      <c r="AB1515" s="402">
        <f>AB1523</f>
        <v/>
      </c>
      <c r="AC1515" s="402">
        <f>AC1523</f>
        <v/>
      </c>
      <c r="AD1515" s="402">
        <f>AD1523</f>
        <v/>
      </c>
      <c r="AE1515" s="402">
        <f>AE1523</f>
        <v/>
      </c>
      <c r="AF1515" s="402">
        <f>AF1523</f>
        <v/>
      </c>
      <c r="AG1515" s="402">
        <f>AG1523</f>
        <v/>
      </c>
      <c r="AH1515" s="402">
        <f>AH1523</f>
        <v/>
      </c>
      <c r="AI1515" s="402">
        <f>AI1523</f>
        <v/>
      </c>
      <c r="AJ1515" s="402">
        <f>AJ1523</f>
        <v/>
      </c>
      <c r="AK1515" s="402">
        <f>AK1523</f>
        <v/>
      </c>
      <c r="AL1515" s="402">
        <f>AL1523</f>
        <v/>
      </c>
      <c r="AM1515" s="402">
        <f>AM1523</f>
        <v/>
      </c>
      <c r="AN1515" s="402">
        <f>AN1523</f>
        <v/>
      </c>
      <c r="AO1515" s="402">
        <f>AO1523</f>
        <v/>
      </c>
      <c r="AP1515" s="402">
        <f>AP1523</f>
        <v/>
      </c>
      <c r="AQ1515" s="402">
        <f>AQ1523</f>
        <v/>
      </c>
      <c r="AR1515" s="402">
        <f>AR1523</f>
        <v/>
      </c>
      <c r="AS1515" s="402">
        <f>AS1523</f>
        <v/>
      </c>
      <c r="AT1515" s="402">
        <f>AT1523</f>
        <v/>
      </c>
      <c r="AU1515" s="402">
        <f>AU1523</f>
        <v/>
      </c>
      <c r="AV1515" s="402">
        <f>AV1523</f>
        <v/>
      </c>
      <c r="AW1515" s="402">
        <f>AW1523</f>
        <v/>
      </c>
      <c r="AX1515" s="402">
        <f>AX1523</f>
        <v/>
      </c>
      <c r="AY1515" s="402">
        <f>AY1523</f>
        <v/>
      </c>
      <c r="AZ1515" s="402">
        <f>AZ1523</f>
        <v/>
      </c>
      <c r="BA1515" s="402">
        <f>BA1523</f>
        <v/>
      </c>
      <c r="BB1515" s="402">
        <f>BB1523</f>
        <v/>
      </c>
      <c r="BC1515" s="402">
        <f>BC1523</f>
        <v/>
      </c>
      <c r="BD1515" s="402">
        <f>BD1523</f>
        <v/>
      </c>
      <c r="BE1515" s="402">
        <f>BE1523</f>
        <v/>
      </c>
      <c r="BF1515" s="402">
        <f>BF1523</f>
        <v/>
      </c>
      <c r="BG1515" s="402">
        <f>BG1523</f>
        <v/>
      </c>
      <c r="BH1515" s="402">
        <f>BH1523</f>
        <v/>
      </c>
      <c r="BI1515" s="402">
        <f>BI1523</f>
        <v/>
      </c>
      <c r="BJ1515" s="402">
        <f>BJ1523</f>
        <v/>
      </c>
      <c r="BK1515" s="402">
        <f>BK1523</f>
        <v/>
      </c>
      <c r="BL1515" s="402">
        <f>BL1523</f>
        <v/>
      </c>
      <c r="BM1515" s="402">
        <f>BM1523</f>
        <v/>
      </c>
      <c r="BN1515" s="402">
        <f>BN1523</f>
        <v/>
      </c>
      <c r="BO1515" s="402">
        <f>BO1523</f>
        <v/>
      </c>
      <c r="BP1515" s="402">
        <f>BP1523</f>
        <v/>
      </c>
      <c r="BQ1515" s="402">
        <f>BQ1523</f>
        <v/>
      </c>
      <c r="BR1515" s="402">
        <f>BR1523</f>
        <v/>
      </c>
      <c r="BS1515" s="402">
        <f>BS1523</f>
        <v/>
      </c>
      <c r="BT1515" s="402">
        <f>BT1523</f>
        <v/>
      </c>
      <c r="BU1515" s="402">
        <f>BU1523</f>
        <v/>
      </c>
      <c r="BV1515" s="402">
        <f>BV1523</f>
        <v/>
      </c>
      <c r="BW1515" s="402">
        <f>BW1523</f>
        <v/>
      </c>
      <c r="BX1515" s="402">
        <f>BX1523</f>
        <v/>
      </c>
      <c r="BY1515" s="402">
        <f>BY1523</f>
        <v/>
      </c>
      <c r="BZ1515" s="402">
        <f>BZ1523</f>
        <v/>
      </c>
      <c r="CA1515" s="402">
        <f>CA1523</f>
        <v/>
      </c>
      <c r="CB1515" s="402">
        <f>CB1523</f>
        <v/>
      </c>
      <c r="CC1515" s="402">
        <f>CC1523</f>
        <v/>
      </c>
      <c r="CD1515" s="402">
        <f>CD1523</f>
        <v/>
      </c>
      <c r="CE1515" s="402">
        <f>CE1523</f>
        <v/>
      </c>
      <c r="CF1515" s="402">
        <f>CF1523</f>
        <v/>
      </c>
      <c r="CG1515" s="402">
        <f>CG1523</f>
        <v/>
      </c>
      <c r="CH1515" s="402">
        <f>CH1523</f>
        <v/>
      </c>
      <c r="CI1515" s="402">
        <f>CI1523</f>
        <v/>
      </c>
      <c r="CJ1515" s="402">
        <f>CJ1523</f>
        <v/>
      </c>
      <c r="CK1515" s="402">
        <f>CK1523</f>
        <v/>
      </c>
      <c r="CL1515" s="402">
        <f>CL1523</f>
        <v/>
      </c>
      <c r="CM1515" s="402">
        <f>CM1523</f>
        <v/>
      </c>
      <c r="CN1515" s="402">
        <f>CN1523</f>
        <v/>
      </c>
      <c r="CO1515" s="402">
        <f>CO1523</f>
        <v/>
      </c>
      <c r="CP1515" s="402">
        <f>CP1523</f>
        <v/>
      </c>
      <c r="CQ1515" s="402">
        <f>CQ1523</f>
        <v/>
      </c>
      <c r="CR1515" s="402">
        <f>CR1523</f>
        <v/>
      </c>
      <c r="CS1515" s="402">
        <f>CS1523</f>
        <v/>
      </c>
      <c r="CT1515" s="402">
        <f>CT1523</f>
        <v/>
      </c>
      <c r="CU1515" s="402">
        <f>CU1523</f>
        <v/>
      </c>
      <c r="CV1515" s="402">
        <f>CV1523</f>
        <v/>
      </c>
      <c r="CW1515" s="402">
        <f>CW1523</f>
        <v/>
      </c>
      <c r="CX1515" s="402">
        <f>CX1523</f>
        <v/>
      </c>
      <c r="CY1515" s="402">
        <f>CY1523</f>
        <v/>
      </c>
      <c r="CZ1515" s="402">
        <f>CZ1523</f>
        <v/>
      </c>
      <c r="DA1515" s="402">
        <f>DA1523</f>
        <v/>
      </c>
      <c r="DB1515" s="402">
        <f>DB1523</f>
        <v/>
      </c>
      <c r="DC1515" s="402">
        <f>DC1523</f>
        <v/>
      </c>
      <c r="DD1515" s="402">
        <f>DD1523</f>
        <v/>
      </c>
      <c r="DE1515" s="402">
        <f>DE1523</f>
        <v/>
      </c>
      <c r="DF1515" s="402">
        <f>DF1523</f>
        <v/>
      </c>
      <c r="DG1515" s="403">
        <f>DG1523</f>
        <v/>
      </c>
      <c r="DH1515" s="403">
        <f>DH1523</f>
        <v/>
      </c>
      <c r="DI1515" s="403">
        <f>DI1523</f>
        <v/>
      </c>
      <c r="DJ1515" s="403">
        <f>DJ1523</f>
        <v/>
      </c>
      <c r="DK1515" s="403">
        <f>DK1523</f>
        <v/>
      </c>
      <c r="DL1515" s="403">
        <f>DL1523</f>
        <v/>
      </c>
      <c r="DM1515" s="403">
        <f>DM1523</f>
        <v/>
      </c>
      <c r="DN1515" s="403">
        <f>DN1523</f>
        <v/>
      </c>
      <c r="DO1515" s="403">
        <f>DO1523</f>
        <v/>
      </c>
      <c r="DP1515" s="403">
        <f>DP1523</f>
        <v/>
      </c>
      <c r="DQ1515" s="403">
        <f>DQ1523</f>
        <v/>
      </c>
      <c r="DR1515" s="403">
        <f>DR1523</f>
        <v/>
      </c>
      <c r="DS1515" s="403">
        <f>DS1523</f>
        <v/>
      </c>
      <c r="DT1515" s="403">
        <f>DT1523</f>
        <v/>
      </c>
      <c r="DU1515" s="403">
        <f>DU1523</f>
        <v/>
      </c>
      <c r="DV1515" s="403">
        <f>DV1523</f>
        <v/>
      </c>
      <c r="DW1515" s="403">
        <f>DW1523</f>
        <v/>
      </c>
      <c r="DX1515" s="403">
        <f>DX1523</f>
        <v/>
      </c>
      <c r="DY1515" s="403">
        <f>DY1523</f>
        <v/>
      </c>
      <c r="DZ1515" s="403">
        <f>DZ1523</f>
        <v/>
      </c>
      <c r="EA1515" s="403">
        <f>EA1523</f>
        <v/>
      </c>
      <c r="EB1515" s="403">
        <f>EB1523</f>
        <v/>
      </c>
      <c r="EC1515" s="403">
        <f>EC1523</f>
        <v/>
      </c>
      <c r="ED1515" s="403">
        <f>ED1523</f>
        <v/>
      </c>
      <c r="EE1515" s="403">
        <f>EE1523</f>
        <v/>
      </c>
      <c r="EF1515" s="403">
        <f>EF1523</f>
        <v/>
      </c>
      <c r="EG1515" s="403">
        <f>EG1523</f>
        <v/>
      </c>
      <c r="EH1515" s="403">
        <f>EH1523</f>
        <v/>
      </c>
      <c r="EI1515" s="403">
        <f>EI1523</f>
        <v/>
      </c>
      <c r="EJ1515" s="403">
        <f>EJ1523</f>
        <v/>
      </c>
      <c r="EK1515" s="403">
        <f>EK1523</f>
        <v/>
      </c>
      <c r="EL1515" s="403">
        <f>EL1523</f>
        <v/>
      </c>
      <c r="EM1515" s="403">
        <f>EM1523</f>
        <v/>
      </c>
      <c r="EN1515" s="403">
        <f>EN1523</f>
        <v/>
      </c>
      <c r="EO1515" s="403">
        <f>EO1523</f>
        <v/>
      </c>
      <c r="EP1515" s="403">
        <f>EP1523</f>
        <v/>
      </c>
      <c r="EQ1515" s="403">
        <f>EQ1523</f>
        <v/>
      </c>
      <c r="ER1515" s="403">
        <f>ER1523</f>
        <v/>
      </c>
      <c r="ES1515" s="403">
        <f>ES1523</f>
        <v/>
      </c>
      <c r="ET1515" s="403">
        <f>ET1523</f>
        <v/>
      </c>
      <c r="EU1515" s="403">
        <f>EU1523</f>
        <v/>
      </c>
      <c r="EV1515" s="403">
        <f>EV1523</f>
        <v/>
      </c>
      <c r="EW1515" s="403">
        <f>EW1523</f>
        <v/>
      </c>
      <c r="EX1515" s="403">
        <f>EX1523</f>
        <v/>
      </c>
      <c r="EY1515" s="403">
        <f>EY1523</f>
        <v/>
      </c>
      <c r="EZ1515" s="403">
        <f>EZ1523</f>
        <v/>
      </c>
      <c r="FA1515" s="403">
        <f>FA1523</f>
        <v/>
      </c>
      <c r="FB1515" s="403">
        <f>FB1523</f>
        <v/>
      </c>
      <c r="FC1515" s="403">
        <f>FC1523</f>
        <v/>
      </c>
      <c r="FD1515" s="403">
        <f>FD1523</f>
        <v/>
      </c>
      <c r="FE1515" s="403">
        <f>FE1523</f>
        <v/>
      </c>
      <c r="FF1515" s="403">
        <f>FF1523</f>
        <v/>
      </c>
      <c r="FG1515" s="403">
        <f>FG1523</f>
        <v/>
      </c>
      <c r="FH1515" s="403">
        <f>FH1523</f>
        <v/>
      </c>
      <c r="FI1515" s="403">
        <f>FI1523</f>
        <v/>
      </c>
      <c r="FJ1515" s="403">
        <f>FJ1523</f>
        <v/>
      </c>
      <c r="FK1515" s="403">
        <f>FK1523</f>
        <v/>
      </c>
      <c r="FL1515" s="403">
        <f>FL1523</f>
        <v/>
      </c>
      <c r="FM1515" s="403">
        <f>FM1523</f>
        <v/>
      </c>
      <c r="FN1515" s="403">
        <f>FN1523</f>
        <v/>
      </c>
      <c r="FO1515" s="403">
        <f>FO1523</f>
        <v/>
      </c>
      <c r="FP1515" s="403">
        <f>FP1523</f>
        <v/>
      </c>
      <c r="FQ1515" s="403">
        <f>FQ1523</f>
        <v/>
      </c>
      <c r="FR1515" s="403">
        <f>FR1523</f>
        <v/>
      </c>
      <c r="FS1515" s="403">
        <f>FS1523</f>
        <v/>
      </c>
      <c r="FT1515" s="403">
        <f>FT1523</f>
        <v/>
      </c>
      <c r="FU1515" s="403">
        <f>FU1523</f>
        <v/>
      </c>
      <c r="FV1515" s="403">
        <f>FV1523</f>
        <v/>
      </c>
      <c r="FW1515" s="403">
        <f>FW1523</f>
        <v/>
      </c>
      <c r="FX1515" s="403">
        <f>FX1523</f>
        <v/>
      </c>
      <c r="FY1515" s="403">
        <f>FY1523</f>
        <v/>
      </c>
      <c r="FZ1515" s="403">
        <f>FZ1523</f>
        <v/>
      </c>
      <c r="GA1515" s="403">
        <f>GA1523</f>
        <v/>
      </c>
      <c r="GB1515" s="403">
        <f>GB1523</f>
        <v/>
      </c>
      <c r="GC1515" s="403">
        <f>GC1523</f>
        <v/>
      </c>
      <c r="GD1515" s="403">
        <f>GD1523</f>
        <v/>
      </c>
      <c r="GE1515" s="403">
        <f>GE1523</f>
        <v/>
      </c>
      <c r="GF1515" s="403">
        <f>GF1523</f>
        <v/>
      </c>
      <c r="GG1515" s="403">
        <f>GG1523</f>
        <v/>
      </c>
      <c r="GH1515" s="403">
        <f>GH1523</f>
        <v/>
      </c>
      <c r="GI1515" s="403">
        <f>GI1523</f>
        <v/>
      </c>
      <c r="GJ1515" s="403">
        <f>GJ1523</f>
        <v/>
      </c>
      <c r="GK1515" s="403">
        <f>GK1523</f>
        <v/>
      </c>
      <c r="GL1515" s="403">
        <f>GL1523</f>
        <v/>
      </c>
      <c r="GM1515" s="403">
        <f>GM1523</f>
        <v/>
      </c>
      <c r="GN1515" s="403">
        <f>GN1523</f>
        <v/>
      </c>
      <c r="GO1515" s="403">
        <f>GO1523</f>
        <v/>
      </c>
      <c r="GP1515" s="403">
        <f>GP1523</f>
        <v/>
      </c>
      <c r="GQ1515" s="403">
        <f>GQ1523</f>
        <v/>
      </c>
      <c r="GR1515" s="403">
        <f>GR1523</f>
        <v/>
      </c>
      <c r="GS1515" s="403">
        <f>GS1523</f>
        <v/>
      </c>
      <c r="GT1515" s="403">
        <f>GT1523</f>
        <v/>
      </c>
      <c r="GU1515" s="403">
        <f>GU1523</f>
        <v/>
      </c>
      <c r="GV1515" s="403">
        <f>GV1523</f>
        <v/>
      </c>
      <c r="GW1515" s="403">
        <f>GW1523</f>
        <v/>
      </c>
      <c r="GX1515" s="403">
        <f>GX1523</f>
        <v/>
      </c>
    </row>
    <row r="1516"/>
    <row r="1517">
      <c r="A1517" t="n">
        <v>17</v>
      </c>
      <c r="B1517" t="n">
        <v>0</v>
      </c>
      <c r="C1517">
        <f>ROW(SmtRes!A720)</f>
        <v/>
      </c>
      <c r="D1517">
        <f>ROW(EtalonRes!A658)</f>
        <v/>
      </c>
      <c r="E1517" t="inlineStr">
        <is>
          <t>1</t>
        </is>
      </c>
      <c r="F1517" t="inlineStr">
        <is>
          <t>67-5-2</t>
        </is>
      </c>
      <c r="G1517" t="inlineStr">
        <is>
          <t>Смена ламп люминесцентных</t>
        </is>
      </c>
      <c r="H1517" t="inlineStr">
        <is>
          <t>100 шт.</t>
        </is>
      </c>
      <c r="I1517">
        <f>ROUND(ROUND(2/100,4),7)</f>
        <v/>
      </c>
      <c r="J1517" t="n">
        <v>0</v>
      </c>
      <c r="K1517">
        <f>ROUND(ROUND(2/100,4),7)</f>
        <v/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78869116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970.5700000000001</v>
      </c>
      <c r="AL1517" t="n">
        <v>852</v>
      </c>
      <c r="AM1517" t="n">
        <v>0</v>
      </c>
      <c r="AN1517" t="n">
        <v>0</v>
      </c>
      <c r="AO1517" t="n">
        <v>118.57</v>
      </c>
      <c r="AP1517" t="n">
        <v>0</v>
      </c>
      <c r="AQ1517" t="n">
        <v>13.9</v>
      </c>
      <c r="AR1517" t="n">
        <v>0</v>
      </c>
      <c r="AS1517" t="n">
        <v>0</v>
      </c>
      <c r="AT1517" t="n">
        <v>91</v>
      </c>
      <c r="AU1517" t="n">
        <v>48</v>
      </c>
      <c r="AV1517" t="n">
        <v>1</v>
      </c>
      <c r="AW1517" t="n">
        <v>1</v>
      </c>
      <c r="AZ1517" t="n">
        <v>1</v>
      </c>
      <c r="BA1517" t="n">
        <v>52.25</v>
      </c>
      <c r="BB1517" t="n">
        <v>1</v>
      </c>
      <c r="BC1517" t="n">
        <v>4.14</v>
      </c>
      <c r="BD1517" t="inlineStr"/>
      <c r="BE1517" t="inlineStr"/>
      <c r="BF1517" t="inlineStr"/>
      <c r="BG1517" t="inlineStr"/>
      <c r="BH1517" t="n">
        <v>0</v>
      </c>
      <c r="BI1517" t="n">
        <v>1</v>
      </c>
      <c r="BJ1517" t="inlineStr">
        <is>
          <t>ТЕРр Московской обл., 67-5-2, приказ Минстроя России №675/пр от 28.02.2017 № 263/пр</t>
        </is>
      </c>
      <c r="BM1517" t="n">
        <v>67001</v>
      </c>
      <c r="BN1517" t="n">
        <v>0</v>
      </c>
      <c r="BO1517" t="inlineStr">
        <is>
          <t>67-5-2</t>
        </is>
      </c>
      <c r="BP1517" t="n">
        <v>1</v>
      </c>
      <c r="BQ1517" t="n">
        <v>6</v>
      </c>
      <c r="BR1517" t="n">
        <v>0</v>
      </c>
      <c r="BS1517" t="n">
        <v>52.25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91</v>
      </c>
      <c r="CA1517" t="n">
        <v>48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AC1517*BC1517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1010</v>
      </c>
      <c r="DV1517" t="inlineStr">
        <is>
          <t>100 шт.</t>
        </is>
      </c>
      <c r="DW1517" t="inlineStr">
        <is>
          <t>100 шт.</t>
        </is>
      </c>
      <c r="DX1517" t="n">
        <v>100</v>
      </c>
      <c r="DZ1517" t="inlineStr"/>
      <c r="EA1517" t="inlineStr"/>
      <c r="EB1517" t="inlineStr"/>
      <c r="EC1517" t="inlineStr"/>
      <c r="EE1517" t="n">
        <v>78726030</v>
      </c>
      <c r="EF1517" t="n">
        <v>6</v>
      </c>
      <c r="EG1517" t="inlineStr">
        <is>
          <t>Ремонтно-строительные работы</t>
        </is>
      </c>
      <c r="EH1517" t="n">
        <v>101</v>
      </c>
      <c r="EI1517" t="inlineStr">
        <is>
          <t>Электромонтажные работы</t>
        </is>
      </c>
      <c r="EJ1517" t="n">
        <v>1</v>
      </c>
      <c r="EK1517" t="n">
        <v>67001</v>
      </c>
      <c r="EL1517" t="inlineStr">
        <is>
          <t>Электромонтажные работы</t>
        </is>
      </c>
      <c r="EM1517" t="inlineStr">
        <is>
          <t>рФЕР-67</t>
        </is>
      </c>
      <c r="EO1517" t="inlineStr"/>
      <c r="EQ1517" t="n">
        <v>0</v>
      </c>
      <c r="ER1517" t="n">
        <v>970.5700000000001</v>
      </c>
      <c r="ES1517" t="n">
        <v>852</v>
      </c>
      <c r="ET1517" t="n">
        <v>0</v>
      </c>
      <c r="EU1517" t="n">
        <v>0</v>
      </c>
      <c r="EV1517" t="n">
        <v>118.57</v>
      </c>
      <c r="EW1517" t="n">
        <v>13.9</v>
      </c>
      <c r="EX1517" t="n">
        <v>0</v>
      </c>
      <c r="EY1517" t="n">
        <v>0</v>
      </c>
      <c r="FQ1517" t="n">
        <v>0</v>
      </c>
      <c r="FR1517" t="n">
        <v>0</v>
      </c>
      <c r="FS1517" t="n">
        <v>0</v>
      </c>
      <c r="FX1517" t="n">
        <v>91</v>
      </c>
      <c r="FY1517" t="n">
        <v>48</v>
      </c>
      <c r="GA1517" t="inlineStr"/>
      <c r="GD1517" t="n">
        <v>1</v>
      </c>
      <c r="GF1517" t="n">
        <v>1400342257</v>
      </c>
      <c r="GG1517" t="n">
        <v>2</v>
      </c>
      <c r="GH1517" t="n">
        <v>1</v>
      </c>
      <c r="GI1517" t="n">
        <v>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0</v>
      </c>
      <c r="GS1517" t="n">
        <v>3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/>
      <c r="HF1517" t="inlineStr"/>
      <c r="HM1517" t="inlineStr"/>
      <c r="HN1517" t="inlineStr">
        <is>
          <t>Пр/812-101.0-1</t>
        </is>
      </c>
      <c r="HO1517" t="inlineStr">
        <is>
          <t>Пр/774-101.0</t>
        </is>
      </c>
      <c r="HP1517" t="inlineStr">
        <is>
          <t>Электромонтажные работы</t>
        </is>
      </c>
      <c r="HQ1517" t="inlineStr">
        <is>
          <t>Электромонтажные работы</t>
        </is>
      </c>
      <c r="HS1517" t="n">
        <v>0</v>
      </c>
      <c r="IK1517" t="n">
        <v>0</v>
      </c>
    </row>
    <row r="1518">
      <c r="A1518" t="n">
        <v>18</v>
      </c>
      <c r="B1518" t="n">
        <v>0</v>
      </c>
      <c r="C1518" t="n">
        <v>719</v>
      </c>
      <c r="E1518" t="inlineStr">
        <is>
          <t>1,1</t>
        </is>
      </c>
      <c r="F1518" t="inlineStr">
        <is>
          <t>509-6744</t>
        </is>
      </c>
      <c r="G1518" t="inlineStr">
        <is>
          <t>Лампы люминесцентные компактные энергосберегающие с цоколем Е27 мощностью 55 Вт</t>
        </is>
      </c>
      <c r="H1518" t="inlineStr">
        <is>
          <t>шт.</t>
        </is>
      </c>
      <c r="I1518">
        <f>I1517*J1518</f>
        <v/>
      </c>
      <c r="J1518" t="n">
        <v>100</v>
      </c>
      <c r="K1518" t="n">
        <v>100</v>
      </c>
      <c r="O1518">
        <f>ROUND(CP1518,0)</f>
        <v/>
      </c>
      <c r="P1518">
        <f>ROUND(CQ1518*I1518,0)</f>
        <v/>
      </c>
      <c r="Q1518">
        <f>(ROUND((ROUND(((ET1518)*I1518),0)*BB1518),0)+ROUND((ROUND(((AE1518-(EU1518))*I1518),0)*BS1518),0))</f>
        <v/>
      </c>
      <c r="R1518">
        <f>(ROUND((ROUND(((EU1518)*I1518),0)*BS1518),0)+ROUND((ROUND(((AE1518-(EU1518))*I1518),0)*BS1518),0))</f>
        <v/>
      </c>
      <c r="S1518">
        <f>ROUND(CT1518*I1518,0)</f>
        <v/>
      </c>
      <c r="T1518">
        <f>ROUND(CU1518*I1518,0)</f>
        <v/>
      </c>
      <c r="U1518">
        <f>ROUND(CV1518*I1518,7)</f>
        <v/>
      </c>
      <c r="V1518">
        <f>ROUND(CW1518*I1518,7)</f>
        <v/>
      </c>
      <c r="W1518">
        <f>ROUND(CX1518*I1518,0)</f>
        <v/>
      </c>
      <c r="X1518">
        <f>ROUND(CY1518,0)</f>
        <v/>
      </c>
      <c r="Y1518">
        <f>ROUND(CZ1518,0)</f>
        <v/>
      </c>
      <c r="AA1518" t="n">
        <v>78869116</v>
      </c>
      <c r="AB1518">
        <f>ROUND((AC1518+AD1518+AF1518),2)</f>
        <v/>
      </c>
      <c r="AC1518">
        <f>ROUND((ES1518),2)</f>
        <v/>
      </c>
      <c r="AD1518">
        <f>ROUND((((ET1518)-(EU1518))+AE1518),2)</f>
        <v/>
      </c>
      <c r="AE1518">
        <f>ROUND((EU1518),2)</f>
        <v/>
      </c>
      <c r="AF1518">
        <f>ROUND((EV1518),2)</f>
        <v/>
      </c>
      <c r="AG1518">
        <f>ROUND((AP1518),2)</f>
        <v/>
      </c>
      <c r="AH1518">
        <f>(EW1518)</f>
        <v/>
      </c>
      <c r="AI1518">
        <f>(EX1518)</f>
        <v/>
      </c>
      <c r="AJ1518">
        <f>(AS1518)</f>
        <v/>
      </c>
      <c r="AK1518" t="n">
        <v>140.69</v>
      </c>
      <c r="AL1518" t="n">
        <v>140.69</v>
      </c>
      <c r="AM1518" t="n">
        <v>0</v>
      </c>
      <c r="AN1518" t="n">
        <v>0</v>
      </c>
      <c r="AO1518" t="n">
        <v>0</v>
      </c>
      <c r="AP1518" t="n">
        <v>0</v>
      </c>
      <c r="AQ1518" t="n">
        <v>0</v>
      </c>
      <c r="AR1518" t="n">
        <v>0</v>
      </c>
      <c r="AS1518" t="n">
        <v>0.02</v>
      </c>
      <c r="AT1518" t="n">
        <v>91</v>
      </c>
      <c r="AU1518" t="n">
        <v>48</v>
      </c>
      <c r="AV1518" t="n">
        <v>1</v>
      </c>
      <c r="AW1518" t="n">
        <v>1</v>
      </c>
      <c r="AZ1518" t="n">
        <v>1</v>
      </c>
      <c r="BA1518" t="n">
        <v>1</v>
      </c>
      <c r="BB1518" t="n">
        <v>1</v>
      </c>
      <c r="BC1518" t="n">
        <v>1.69</v>
      </c>
      <c r="BD1518" t="inlineStr"/>
      <c r="BE1518" t="inlineStr"/>
      <c r="BF1518" t="inlineStr"/>
      <c r="BG1518" t="inlineStr"/>
      <c r="BH1518" t="n">
        <v>3</v>
      </c>
      <c r="BI1518" t="n">
        <v>1</v>
      </c>
      <c r="BJ1518" t="inlineStr">
        <is>
          <t>ТССЦ Московской обл., 509-6744, приказ Минстроя России №675/пр от 28.02.2017 № 258/пр</t>
        </is>
      </c>
      <c r="BM1518" t="n">
        <v>67001</v>
      </c>
      <c r="BN1518" t="n">
        <v>0</v>
      </c>
      <c r="BO1518" t="inlineStr">
        <is>
          <t>509-6744</t>
        </is>
      </c>
      <c r="BP1518" t="n">
        <v>1</v>
      </c>
      <c r="BQ1518" t="n">
        <v>6</v>
      </c>
      <c r="BR1518" t="n">
        <v>0</v>
      </c>
      <c r="BS1518" t="n">
        <v>1</v>
      </c>
      <c r="BT1518" t="n">
        <v>1</v>
      </c>
      <c r="BU1518" t="n">
        <v>1</v>
      </c>
      <c r="BV1518" t="n">
        <v>1</v>
      </c>
      <c r="BW1518" t="n">
        <v>1</v>
      </c>
      <c r="BX1518" t="n">
        <v>1</v>
      </c>
      <c r="BY1518" t="inlineStr"/>
      <c r="BZ1518" t="n">
        <v>91</v>
      </c>
      <c r="CA1518" t="n">
        <v>48</v>
      </c>
      <c r="CB1518" t="inlineStr"/>
      <c r="CE1518" t="n">
        <v>12</v>
      </c>
      <c r="CF1518" t="n">
        <v>0</v>
      </c>
      <c r="CG1518" t="n">
        <v>0</v>
      </c>
      <c r="CM1518" t="n">
        <v>0</v>
      </c>
      <c r="CN1518" t="inlineStr"/>
      <c r="CO1518" t="n">
        <v>0</v>
      </c>
      <c r="CP1518">
        <f>(P1518+Q1518+S1518)</f>
        <v/>
      </c>
      <c r="CQ1518">
        <f>AC1518*BC1518</f>
        <v/>
      </c>
      <c r="CR1518">
        <f>(ROUND((ROUND(((ET1518)*1),0)*BB1518),0)+ROUND((ROUND(((AE1518-(EU1518))*1),0)*BS1518),0))</f>
        <v/>
      </c>
      <c r="CS1518">
        <f>(ROUND((ROUND(((EU1518)*1),0)*BS1518),0)+ROUND((ROUND(((AE1518-(EU1518))*1),0)*BS1518),0))</f>
        <v/>
      </c>
      <c r="CT1518">
        <f>AF1518*BA1518</f>
        <v/>
      </c>
      <c r="CU1518">
        <f>AG1518</f>
        <v/>
      </c>
      <c r="CV1518">
        <f>AH1518</f>
        <v/>
      </c>
      <c r="CW1518">
        <f>AI1518</f>
        <v/>
      </c>
      <c r="CX1518">
        <f>AJ1518</f>
        <v/>
      </c>
      <c r="CY1518">
        <f>(((S1518+R1518)*AT1518)/100)</f>
        <v/>
      </c>
      <c r="CZ1518">
        <f>(((S1518+R1518)*AU1518)/100)</f>
        <v/>
      </c>
      <c r="DC1518" t="inlineStr"/>
      <c r="DD1518" t="inlineStr"/>
      <c r="DE1518" t="inlineStr"/>
      <c r="DF1518" t="inlineStr"/>
      <c r="DG1518" t="inlineStr"/>
      <c r="DH1518" t="inlineStr"/>
      <c r="DI1518" t="inlineStr"/>
      <c r="DJ1518" t="inlineStr"/>
      <c r="DK1518" t="inlineStr"/>
      <c r="DL1518" t="inlineStr"/>
      <c r="DM1518" t="inlineStr"/>
      <c r="DN1518" t="n">
        <v>0</v>
      </c>
      <c r="DO1518" t="n">
        <v>0</v>
      </c>
      <c r="DP1518" t="n">
        <v>1</v>
      </c>
      <c r="DQ1518" t="n">
        <v>1</v>
      </c>
      <c r="DU1518" t="n">
        <v>1010</v>
      </c>
      <c r="DV1518" t="inlineStr">
        <is>
          <t>шт.</t>
        </is>
      </c>
      <c r="DW1518" t="inlineStr">
        <is>
          <t>шт.</t>
        </is>
      </c>
      <c r="DX1518" t="n">
        <v>1</v>
      </c>
      <c r="DZ1518" t="inlineStr"/>
      <c r="EA1518" t="inlineStr"/>
      <c r="EB1518" t="inlineStr"/>
      <c r="EC1518" t="inlineStr"/>
      <c r="EE1518" t="n">
        <v>78726030</v>
      </c>
      <c r="EF1518" t="n">
        <v>6</v>
      </c>
      <c r="EG1518" t="inlineStr">
        <is>
          <t>Ремонтно-строительные работы</t>
        </is>
      </c>
      <c r="EH1518" t="n">
        <v>101</v>
      </c>
      <c r="EI1518" t="inlineStr">
        <is>
          <t>Электромонтажные работы</t>
        </is>
      </c>
      <c r="EJ1518" t="n">
        <v>1</v>
      </c>
      <c r="EK1518" t="n">
        <v>67001</v>
      </c>
      <c r="EL1518" t="inlineStr">
        <is>
          <t>Электромонтажные работы</t>
        </is>
      </c>
      <c r="EM1518" t="inlineStr">
        <is>
          <t>рФЕР-67</t>
        </is>
      </c>
      <c r="EO1518" t="inlineStr"/>
      <c r="EQ1518" t="n">
        <v>0</v>
      </c>
      <c r="ER1518" t="n">
        <v>140.69</v>
      </c>
      <c r="ES1518" t="n">
        <v>140.69</v>
      </c>
      <c r="ET1518" t="n">
        <v>0</v>
      </c>
      <c r="EU1518" t="n">
        <v>0</v>
      </c>
      <c r="EV1518" t="n">
        <v>0</v>
      </c>
      <c r="EW1518" t="n">
        <v>0</v>
      </c>
      <c r="EX1518" t="n">
        <v>0</v>
      </c>
      <c r="FQ1518" t="n">
        <v>0</v>
      </c>
      <c r="FR1518" t="n">
        <v>0</v>
      </c>
      <c r="FS1518" t="n">
        <v>0</v>
      </c>
      <c r="FX1518" t="n">
        <v>91</v>
      </c>
      <c r="FY1518" t="n">
        <v>48</v>
      </c>
      <c r="GA1518" t="inlineStr"/>
      <c r="GD1518" t="n">
        <v>1</v>
      </c>
      <c r="GF1518" t="n">
        <v>-228955380</v>
      </c>
      <c r="GG1518" t="n">
        <v>2</v>
      </c>
      <c r="GH1518" t="n">
        <v>1</v>
      </c>
      <c r="GI1518" t="n">
        <v>2</v>
      </c>
      <c r="GJ1518" t="n">
        <v>0</v>
      </c>
      <c r="GK1518" t="n">
        <v>0</v>
      </c>
      <c r="GL1518">
        <f>ROUND(IF(AND(BH1518=3,BI1518=3,FS1518&lt;&gt;0),P1518,0),0)</f>
        <v/>
      </c>
      <c r="GM1518">
        <f>ROUND(O1518+X1518+Y1518,0)+GX1518</f>
        <v/>
      </c>
      <c r="GN1518">
        <f>IF(OR(BI1518=0,BI1518=1),GM1518-GX1518,0)</f>
        <v/>
      </c>
      <c r="GO1518">
        <f>IF(BI1518=2,GM1518-GX1518,0)</f>
        <v/>
      </c>
      <c r="GP1518">
        <f>IF(BI1518=4,GM1518-GX1518,0)</f>
        <v/>
      </c>
      <c r="GR1518" t="n">
        <v>0</v>
      </c>
      <c r="GS1518" t="n">
        <v>3</v>
      </c>
      <c r="GT1518" t="n">
        <v>0</v>
      </c>
      <c r="GU1518" t="inlineStr"/>
      <c r="GV1518">
        <f>ROUND((GT1518),2)</f>
        <v/>
      </c>
      <c r="GW1518" t="n">
        <v>1</v>
      </c>
      <c r="GX1518">
        <f>ROUND(HC1518*I1518,0)</f>
        <v/>
      </c>
      <c r="HA1518" t="n">
        <v>0</v>
      </c>
      <c r="HB1518" t="n">
        <v>0</v>
      </c>
      <c r="HC1518">
        <f>GV1518*GW1518</f>
        <v/>
      </c>
      <c r="HE1518" t="inlineStr"/>
      <c r="HF1518" t="inlineStr"/>
      <c r="HM1518" t="inlineStr"/>
      <c r="HN1518" t="inlineStr">
        <is>
          <t>Пр/812-101.0-1</t>
        </is>
      </c>
      <c r="HO1518" t="inlineStr">
        <is>
          <t>Пр/774-101.0</t>
        </is>
      </c>
      <c r="HP1518" t="inlineStr">
        <is>
          <t>Электромонтажные работы</t>
        </is>
      </c>
      <c r="HQ1518" t="inlineStr">
        <is>
          <t>Электромонтажные работы</t>
        </is>
      </c>
      <c r="HS1518" t="n">
        <v>0</v>
      </c>
      <c r="IK1518" t="n">
        <v>0</v>
      </c>
    </row>
    <row r="1519">
      <c r="A1519" t="n">
        <v>18</v>
      </c>
      <c r="B1519" t="n">
        <v>0</v>
      </c>
      <c r="C1519" t="n">
        <v>720</v>
      </c>
      <c r="E1519" t="inlineStr">
        <is>
          <t>1,2</t>
        </is>
      </c>
      <c r="F1519" t="inlineStr">
        <is>
          <t>Цена поставщика</t>
        </is>
      </c>
      <c r="G1519" t="inlineStr">
        <is>
          <t>Насос Джилекс Ду 32*25</t>
        </is>
      </c>
      <c r="H1519" t="inlineStr">
        <is>
          <t>ШТ</t>
        </is>
      </c>
      <c r="I1519">
        <f>I1517*J1519</f>
        <v/>
      </c>
      <c r="J1519" t="n">
        <v>50</v>
      </c>
      <c r="K1519" t="n">
        <v>50</v>
      </c>
      <c r="O1519">
        <f>ROUND(CP1519,0)</f>
        <v/>
      </c>
      <c r="P1519">
        <f>ROUND(CQ1519*I1519,0)</f>
        <v/>
      </c>
      <c r="Q1519">
        <f>(ROUND((ROUND(((ET1519)*I1519),0)*BB1519),0)+ROUND((ROUND(((AE1519-(EU1519))*I1519),0)*BS1519),0))</f>
        <v/>
      </c>
      <c r="R1519">
        <f>(ROUND((ROUND(((EU1519)*I1519),0)*BS1519),0)+ROUND((ROUND(((AE1519-(EU1519))*I1519),0)*BS1519),0))</f>
        <v/>
      </c>
      <c r="S1519">
        <f>ROUND(CT1519*I1519,0)</f>
        <v/>
      </c>
      <c r="T1519">
        <f>ROUND(CU1519*I1519,0)</f>
        <v/>
      </c>
      <c r="U1519">
        <f>ROUND(CV1519*I1519,7)</f>
        <v/>
      </c>
      <c r="V1519">
        <f>ROUND(CW1519*I1519,7)</f>
        <v/>
      </c>
      <c r="W1519">
        <f>ROUND(CX1519*I1519,0)</f>
        <v/>
      </c>
      <c r="X1519">
        <f>ROUND(CY1519,0)</f>
        <v/>
      </c>
      <c r="Y1519">
        <f>ROUND(CZ1519,0)</f>
        <v/>
      </c>
      <c r="AA1519" t="n">
        <v>78869116</v>
      </c>
      <c r="AB1519">
        <f>ROUND((AC1519+AD1519+AF1519),2)</f>
        <v/>
      </c>
      <c r="AC1519">
        <f>ROUND((ES1519),2)</f>
        <v/>
      </c>
      <c r="AD1519">
        <f>ROUND((((ET1519)-(EU1519))+AE1519),2)</f>
        <v/>
      </c>
      <c r="AE1519">
        <f>ROUND((EU1519),2)</f>
        <v/>
      </c>
      <c r="AF1519">
        <f>ROUND((EV1519),2)</f>
        <v/>
      </c>
      <c r="AG1519">
        <f>ROUND((AP1519),2)</f>
        <v/>
      </c>
      <c r="AH1519">
        <f>(EW1519)</f>
        <v/>
      </c>
      <c r="AI1519">
        <f>(EX1519)</f>
        <v/>
      </c>
      <c r="AJ1519">
        <f>(AS1519)</f>
        <v/>
      </c>
      <c r="AK1519" t="n">
        <v>3540.98</v>
      </c>
      <c r="AL1519" t="n">
        <v>3540.98</v>
      </c>
      <c r="AM1519" t="n">
        <v>0</v>
      </c>
      <c r="AN1519" t="n">
        <v>0</v>
      </c>
      <c r="AO1519" t="n">
        <v>0</v>
      </c>
      <c r="AP1519" t="n">
        <v>0</v>
      </c>
      <c r="AQ1519" t="n">
        <v>0</v>
      </c>
      <c r="AR1519" t="n">
        <v>0</v>
      </c>
      <c r="AS1519" t="n">
        <v>0</v>
      </c>
      <c r="AT1519" t="n">
        <v>91</v>
      </c>
      <c r="AU1519" t="n">
        <v>48</v>
      </c>
      <c r="AV1519" t="n">
        <v>1</v>
      </c>
      <c r="AW1519" t="n">
        <v>1</v>
      </c>
      <c r="AZ1519" t="n">
        <v>1</v>
      </c>
      <c r="BA1519" t="n">
        <v>1</v>
      </c>
      <c r="BB1519" t="n">
        <v>1</v>
      </c>
      <c r="BC1519" t="n">
        <v>1</v>
      </c>
      <c r="BD1519" t="inlineStr"/>
      <c r="BE1519" t="inlineStr"/>
      <c r="BF1519" t="inlineStr"/>
      <c r="BG1519" t="inlineStr"/>
      <c r="BH1519" t="n">
        <v>3</v>
      </c>
      <c r="BI1519" t="n">
        <v>1</v>
      </c>
      <c r="BJ1519" t="inlineStr"/>
      <c r="BM1519" t="n">
        <v>67001</v>
      </c>
      <c r="BN1519" t="n">
        <v>0</v>
      </c>
      <c r="BO1519" t="inlineStr"/>
      <c r="BP1519" t="n">
        <v>0</v>
      </c>
      <c r="BQ1519" t="n">
        <v>6</v>
      </c>
      <c r="BR1519" t="n">
        <v>0</v>
      </c>
      <c r="BS1519" t="n">
        <v>1</v>
      </c>
      <c r="BT1519" t="n">
        <v>1</v>
      </c>
      <c r="BU1519" t="n">
        <v>1</v>
      </c>
      <c r="BV1519" t="n">
        <v>1</v>
      </c>
      <c r="BW1519" t="n">
        <v>1</v>
      </c>
      <c r="BX1519" t="n">
        <v>1</v>
      </c>
      <c r="BY1519" t="inlineStr"/>
      <c r="BZ1519" t="n">
        <v>91</v>
      </c>
      <c r="CA1519" t="n">
        <v>48</v>
      </c>
      <c r="CB1519" t="inlineStr"/>
      <c r="CE1519" t="n">
        <v>12</v>
      </c>
      <c r="CF1519" t="n">
        <v>0</v>
      </c>
      <c r="CG1519" t="n">
        <v>0</v>
      </c>
      <c r="CM1519" t="n">
        <v>0</v>
      </c>
      <c r="CN1519" t="inlineStr"/>
      <c r="CO1519" t="n">
        <v>0</v>
      </c>
      <c r="CP1519">
        <f>(P1519+Q1519+S1519)</f>
        <v/>
      </c>
      <c r="CQ1519">
        <f>AC1519</f>
        <v/>
      </c>
      <c r="CR1519">
        <f>(ROUND((ROUND(((ET1519)*1),0)*BB1519),0)+ROUND((ROUND(((AE1519-(EU1519))*1),0)*BS1519),0))</f>
        <v/>
      </c>
      <c r="CS1519">
        <f>(ROUND((ROUND(((EU1519)*1),0)*BS1519),0)+ROUND((ROUND(((AE1519-(EU1519))*1),0)*BS1519),0))</f>
        <v/>
      </c>
      <c r="CT1519">
        <f>AF1519*BA1519</f>
        <v/>
      </c>
      <c r="CU1519">
        <f>AG1519</f>
        <v/>
      </c>
      <c r="CV1519">
        <f>AH1519</f>
        <v/>
      </c>
      <c r="CW1519">
        <f>AI1519</f>
        <v/>
      </c>
      <c r="CX1519">
        <f>AJ1519</f>
        <v/>
      </c>
      <c r="CY1519">
        <f>(((S1519+R1519)*AT1519)/100)</f>
        <v/>
      </c>
      <c r="CZ1519">
        <f>(((S1519+R1519)*AU1519)/100)</f>
        <v/>
      </c>
      <c r="DC1519" t="inlineStr"/>
      <c r="DD1519" t="inlineStr"/>
      <c r="DE1519" t="inlineStr"/>
      <c r="DF1519" t="inlineStr"/>
      <c r="DG1519" t="inlineStr"/>
      <c r="DH1519" t="inlineStr"/>
      <c r="DI1519" t="inlineStr"/>
      <c r="DJ1519" t="inlineStr"/>
      <c r="DK1519" t="inlineStr"/>
      <c r="DL1519" t="inlineStr"/>
      <c r="DM1519" t="inlineStr"/>
      <c r="DN1519" t="n">
        <v>0</v>
      </c>
      <c r="DO1519" t="n">
        <v>0</v>
      </c>
      <c r="DP1519" t="n">
        <v>1</v>
      </c>
      <c r="DQ1519" t="n">
        <v>1</v>
      </c>
      <c r="DU1519" t="n">
        <v>1013</v>
      </c>
      <c r="DV1519" t="inlineStr">
        <is>
          <t>ШТ</t>
        </is>
      </c>
      <c r="DW1519" t="inlineStr">
        <is>
          <t>ШТ</t>
        </is>
      </c>
      <c r="DX1519" t="n">
        <v>1</v>
      </c>
      <c r="DZ1519" t="inlineStr"/>
      <c r="EA1519" t="inlineStr"/>
      <c r="EB1519" t="inlineStr"/>
      <c r="EC1519" t="inlineStr"/>
      <c r="EE1519" t="n">
        <v>78726030</v>
      </c>
      <c r="EF1519" t="n">
        <v>6</v>
      </c>
      <c r="EG1519" t="inlineStr">
        <is>
          <t>Ремонтно-строительные работы</t>
        </is>
      </c>
      <c r="EH1519" t="n">
        <v>101</v>
      </c>
      <c r="EI1519" t="inlineStr">
        <is>
          <t>Электромонтажные работы</t>
        </is>
      </c>
      <c r="EJ1519" t="n">
        <v>1</v>
      </c>
      <c r="EK1519" t="n">
        <v>67001</v>
      </c>
      <c r="EL1519" t="inlineStr">
        <is>
          <t>Электромонтажные работы</t>
        </is>
      </c>
      <c r="EM1519" t="inlineStr">
        <is>
          <t>рФЕР-67</t>
        </is>
      </c>
      <c r="EO1519" t="inlineStr"/>
      <c r="EQ1519" t="n">
        <v>0</v>
      </c>
      <c r="ER1519" t="n">
        <v>3540.98</v>
      </c>
      <c r="ES1519" t="n">
        <v>3540.98</v>
      </c>
      <c r="ET1519" t="n">
        <v>0</v>
      </c>
      <c r="EU1519" t="n">
        <v>0</v>
      </c>
      <c r="EV1519" t="n">
        <v>0</v>
      </c>
      <c r="EW1519" t="n">
        <v>0</v>
      </c>
      <c r="EX1519" t="n">
        <v>0</v>
      </c>
      <c r="EZ1519" t="n">
        <v>5</v>
      </c>
      <c r="FC1519" t="n">
        <v>1</v>
      </c>
      <c r="FD1519" t="n">
        <v>18</v>
      </c>
      <c r="FF1519" t="n">
        <v>4320</v>
      </c>
      <c r="FQ1519" t="n">
        <v>0</v>
      </c>
      <c r="FR1519" t="n">
        <v>0</v>
      </c>
      <c r="FS1519" t="n">
        <v>0</v>
      </c>
      <c r="FX1519" t="n">
        <v>91</v>
      </c>
      <c r="FY1519" t="n">
        <v>48</v>
      </c>
      <c r="GA1519" t="inlineStr">
        <is>
          <t>[4 320 / 1,22]</t>
        </is>
      </c>
      <c r="GD1519" t="n">
        <v>1</v>
      </c>
      <c r="GF1519" t="n">
        <v>-1644408170</v>
      </c>
      <c r="GG1519" t="n">
        <v>2</v>
      </c>
      <c r="GH1519" t="n">
        <v>3</v>
      </c>
      <c r="GI1519" t="n">
        <v>-2</v>
      </c>
      <c r="GJ1519" t="n">
        <v>0</v>
      </c>
      <c r="GK1519" t="n">
        <v>0</v>
      </c>
      <c r="GL1519">
        <f>ROUND(IF(AND(BH1519=3,BI1519=3,FS1519&lt;&gt;0),P1519,0),0)</f>
        <v/>
      </c>
      <c r="GM1519">
        <f>ROUND(O1519+X1519+Y1519,0)+GX1519</f>
        <v/>
      </c>
      <c r="GN1519">
        <f>IF(OR(BI1519=0,BI1519=1),GM1519-GX1519,0)</f>
        <v/>
      </c>
      <c r="GO1519">
        <f>IF(BI1519=2,GM1519-GX1519,0)</f>
        <v/>
      </c>
      <c r="GP1519">
        <f>IF(BI1519=4,GM1519-GX1519,0)</f>
        <v/>
      </c>
      <c r="GR1519" t="n">
        <v>1</v>
      </c>
      <c r="GS1519" t="n">
        <v>1</v>
      </c>
      <c r="GT1519" t="n">
        <v>0</v>
      </c>
      <c r="GU1519" t="inlineStr"/>
      <c r="GV1519">
        <f>ROUND((GT1519),2)</f>
        <v/>
      </c>
      <c r="GW1519" t="n">
        <v>1</v>
      </c>
      <c r="GX1519">
        <f>ROUND(HC1519*I1519,0)</f>
        <v/>
      </c>
      <c r="HA1519" t="n">
        <v>0</v>
      </c>
      <c r="HB1519" t="n">
        <v>0</v>
      </c>
      <c r="HC1519">
        <f>GV1519*GW1519</f>
        <v/>
      </c>
      <c r="HE1519" t="inlineStr">
        <is>
          <t>0</t>
        </is>
      </c>
      <c r="HF1519" t="inlineStr">
        <is>
          <t>0</t>
        </is>
      </c>
      <c r="HG1519">
        <f>ROUND(AC1519*I1519,0)</f>
        <v/>
      </c>
      <c r="HM1519" t="inlineStr"/>
      <c r="HN1519" t="inlineStr">
        <is>
          <t>Пр/812-101.0-1</t>
        </is>
      </c>
      <c r="HO1519" t="inlineStr">
        <is>
          <t>Пр/774-101.0</t>
        </is>
      </c>
      <c r="HP1519" t="inlineStr">
        <is>
          <t>Электромонтажные работы</t>
        </is>
      </c>
      <c r="HQ1519" t="inlineStr">
        <is>
          <t>Электромонтажные работы</t>
        </is>
      </c>
      <c r="HS1519" t="n">
        <v>0</v>
      </c>
      <c r="IK1519" t="n">
        <v>0</v>
      </c>
    </row>
    <row r="1520">
      <c r="A1520" t="n">
        <v>18</v>
      </c>
      <c r="B1520" t="n">
        <v>0</v>
      </c>
      <c r="C1520" t="n">
        <v>717</v>
      </c>
      <c r="E1520" t="inlineStr">
        <is>
          <t>1,3</t>
        </is>
      </c>
      <c r="F1520" t="inlineStr">
        <is>
          <t>507-5008</t>
        </is>
      </c>
      <c r="G1520" t="inlineStr">
        <is>
          <t>Муфта полипропиленовая соединительная диаметром 25 мм</t>
        </is>
      </c>
      <c r="H1520" t="inlineStr">
        <is>
          <t>10 шт.</t>
        </is>
      </c>
      <c r="I1520">
        <f>I1517*J1520</f>
        <v/>
      </c>
      <c r="J1520" t="n">
        <v>50</v>
      </c>
      <c r="K1520" t="n">
        <v>50</v>
      </c>
      <c r="O1520">
        <f>ROUND(CP1520,0)</f>
        <v/>
      </c>
      <c r="P1520">
        <f>ROUND(CQ1520*I1520,0)</f>
        <v/>
      </c>
      <c r="Q1520">
        <f>(ROUND((ROUND(((ET1520)*I1520),0)*BB1520),0)+ROUND((ROUND(((AE1520-(EU1520))*I1520),0)*BS1520),0))</f>
        <v/>
      </c>
      <c r="R1520">
        <f>(ROUND((ROUND(((EU1520)*I1520),0)*BS1520),0)+ROUND((ROUND(((AE1520-(EU1520))*I1520),0)*BS1520),0))</f>
        <v/>
      </c>
      <c r="S1520">
        <f>ROUND(CT1520*I1520,0)</f>
        <v/>
      </c>
      <c r="T1520">
        <f>ROUND(CU1520*I1520,0)</f>
        <v/>
      </c>
      <c r="U1520">
        <f>ROUND(CV1520*I1520,7)</f>
        <v/>
      </c>
      <c r="V1520">
        <f>ROUND(CW1520*I1520,7)</f>
        <v/>
      </c>
      <c r="W1520">
        <f>ROUND(CX1520*I1520,0)</f>
        <v/>
      </c>
      <c r="X1520">
        <f>ROUND(CY1520,0)</f>
        <v/>
      </c>
      <c r="Y1520">
        <f>ROUND(CZ1520,0)</f>
        <v/>
      </c>
      <c r="AA1520" t="n">
        <v>78869116</v>
      </c>
      <c r="AB1520">
        <f>ROUND((AC1520+AD1520+AF1520),2)</f>
        <v/>
      </c>
      <c r="AC1520">
        <f>ROUND((ES1520),2)</f>
        <v/>
      </c>
      <c r="AD1520">
        <f>ROUND((((ET1520)-(EU1520))+AE1520),2)</f>
        <v/>
      </c>
      <c r="AE1520">
        <f>ROUND((EU1520),2)</f>
        <v/>
      </c>
      <c r="AF1520">
        <f>ROUND((EV1520),2)</f>
        <v/>
      </c>
      <c r="AG1520">
        <f>ROUND((AP1520),2)</f>
        <v/>
      </c>
      <c r="AH1520">
        <f>(EW1520)</f>
        <v/>
      </c>
      <c r="AI1520">
        <f>(EX1520)</f>
        <v/>
      </c>
      <c r="AJ1520">
        <f>(AS1520)</f>
        <v/>
      </c>
      <c r="AK1520" t="n">
        <v>9.9</v>
      </c>
      <c r="AL1520" t="n">
        <v>9.9</v>
      </c>
      <c r="AM1520" t="n">
        <v>0</v>
      </c>
      <c r="AN1520" t="n">
        <v>0</v>
      </c>
      <c r="AO1520" t="n">
        <v>0</v>
      </c>
      <c r="AP1520" t="n">
        <v>0</v>
      </c>
      <c r="AQ1520" t="n">
        <v>0</v>
      </c>
      <c r="AR1520" t="n">
        <v>0</v>
      </c>
      <c r="AS1520" t="n">
        <v>0.01</v>
      </c>
      <c r="AT1520" t="n">
        <v>91</v>
      </c>
      <c r="AU1520" t="n">
        <v>48</v>
      </c>
      <c r="AV1520" t="n">
        <v>1</v>
      </c>
      <c r="AW1520" t="n">
        <v>1</v>
      </c>
      <c r="AZ1520" t="n">
        <v>1</v>
      </c>
      <c r="BA1520" t="n">
        <v>1</v>
      </c>
      <c r="BB1520" t="n">
        <v>1</v>
      </c>
      <c r="BC1520" t="n">
        <v>7.76</v>
      </c>
      <c r="BD1520" t="inlineStr"/>
      <c r="BE1520" t="inlineStr"/>
      <c r="BF1520" t="inlineStr"/>
      <c r="BG1520" t="inlineStr"/>
      <c r="BH1520" t="n">
        <v>3</v>
      </c>
      <c r="BI1520" t="n">
        <v>1</v>
      </c>
      <c r="BJ1520" t="inlineStr">
        <is>
          <t>ТССЦ Московской обл., 507-5008, приказ Минстроя России №675/пр от 28.02.2017 № 258/пр</t>
        </is>
      </c>
      <c r="BM1520" t="n">
        <v>67001</v>
      </c>
      <c r="BN1520" t="n">
        <v>0</v>
      </c>
      <c r="BO1520" t="inlineStr">
        <is>
          <t>507-5008</t>
        </is>
      </c>
      <c r="BP1520" t="n">
        <v>1</v>
      </c>
      <c r="BQ1520" t="n">
        <v>6</v>
      </c>
      <c r="BR1520" t="n">
        <v>0</v>
      </c>
      <c r="BS1520" t="n">
        <v>1</v>
      </c>
      <c r="BT1520" t="n">
        <v>1</v>
      </c>
      <c r="BU1520" t="n">
        <v>1</v>
      </c>
      <c r="BV1520" t="n">
        <v>1</v>
      </c>
      <c r="BW1520" t="n">
        <v>1</v>
      </c>
      <c r="BX1520" t="n">
        <v>1</v>
      </c>
      <c r="BY1520" t="inlineStr"/>
      <c r="BZ1520" t="n">
        <v>91</v>
      </c>
      <c r="CA1520" t="n">
        <v>48</v>
      </c>
      <c r="CB1520" t="inlineStr"/>
      <c r="CE1520" t="n">
        <v>12</v>
      </c>
      <c r="CF1520" t="n">
        <v>0</v>
      </c>
      <c r="CG1520" t="n">
        <v>0</v>
      </c>
      <c r="CM1520" t="n">
        <v>0</v>
      </c>
      <c r="CN1520" t="inlineStr"/>
      <c r="CO1520" t="n">
        <v>0</v>
      </c>
      <c r="CP1520">
        <f>(P1520+Q1520+S1520)</f>
        <v/>
      </c>
      <c r="CQ1520">
        <f>AC1520*BC1520</f>
        <v/>
      </c>
      <c r="CR1520">
        <f>(ROUND((ROUND(((ET1520)*1),0)*BB1520),0)+ROUND((ROUND(((AE1520-(EU1520))*1),0)*BS1520),0))</f>
        <v/>
      </c>
      <c r="CS1520">
        <f>(ROUND((ROUND(((EU1520)*1),0)*BS1520),0)+ROUND((ROUND(((AE1520-(EU1520))*1),0)*BS1520),0))</f>
        <v/>
      </c>
      <c r="CT1520">
        <f>AF1520*BA1520</f>
        <v/>
      </c>
      <c r="CU1520">
        <f>AG1520</f>
        <v/>
      </c>
      <c r="CV1520">
        <f>AH1520</f>
        <v/>
      </c>
      <c r="CW1520">
        <f>AI1520</f>
        <v/>
      </c>
      <c r="CX1520">
        <f>AJ1520</f>
        <v/>
      </c>
      <c r="CY1520">
        <f>(((S1520+R1520)*AT1520)/100)</f>
        <v/>
      </c>
      <c r="CZ1520">
        <f>(((S1520+R1520)*AU1520)/100)</f>
        <v/>
      </c>
      <c r="DC1520" t="inlineStr"/>
      <c r="DD1520" t="inlineStr"/>
      <c r="DE1520" t="inlineStr"/>
      <c r="DF1520" t="inlineStr"/>
      <c r="DG1520" t="inlineStr"/>
      <c r="DH1520" t="inlineStr"/>
      <c r="DI1520" t="inlineStr"/>
      <c r="DJ1520" t="inlineStr"/>
      <c r="DK1520" t="inlineStr"/>
      <c r="DL1520" t="inlineStr"/>
      <c r="DM1520" t="inlineStr"/>
      <c r="DN1520" t="n">
        <v>0</v>
      </c>
      <c r="DO1520" t="n">
        <v>0</v>
      </c>
      <c r="DP1520" t="n">
        <v>1</v>
      </c>
      <c r="DQ1520" t="n">
        <v>1</v>
      </c>
      <c r="DU1520" t="n">
        <v>1010</v>
      </c>
      <c r="DV1520" t="inlineStr">
        <is>
          <t>10 шт.</t>
        </is>
      </c>
      <c r="DW1520" t="inlineStr">
        <is>
          <t>10 шт.</t>
        </is>
      </c>
      <c r="DX1520" t="n">
        <v>10</v>
      </c>
      <c r="DZ1520" t="inlineStr"/>
      <c r="EA1520" t="inlineStr"/>
      <c r="EB1520" t="inlineStr"/>
      <c r="EC1520" t="inlineStr"/>
      <c r="EE1520" t="n">
        <v>78726030</v>
      </c>
      <c r="EF1520" t="n">
        <v>6</v>
      </c>
      <c r="EG1520" t="inlineStr">
        <is>
          <t>Ремонтно-строительные работы</t>
        </is>
      </c>
      <c r="EH1520" t="n">
        <v>101</v>
      </c>
      <c r="EI1520" t="inlineStr">
        <is>
          <t>Электромонтажные работы</t>
        </is>
      </c>
      <c r="EJ1520" t="n">
        <v>1</v>
      </c>
      <c r="EK1520" t="n">
        <v>67001</v>
      </c>
      <c r="EL1520" t="inlineStr">
        <is>
          <t>Электромонтажные работы</t>
        </is>
      </c>
      <c r="EM1520" t="inlineStr">
        <is>
          <t>рФЕР-67</t>
        </is>
      </c>
      <c r="EO1520" t="inlineStr"/>
      <c r="EQ1520" t="n">
        <v>0</v>
      </c>
      <c r="ER1520" t="n">
        <v>9.9</v>
      </c>
      <c r="ES1520" t="n">
        <v>9.9</v>
      </c>
      <c r="ET1520" t="n">
        <v>0</v>
      </c>
      <c r="EU1520" t="n">
        <v>0</v>
      </c>
      <c r="EV1520" t="n">
        <v>0</v>
      </c>
      <c r="EW1520" t="n">
        <v>0</v>
      </c>
      <c r="EX1520" t="n">
        <v>0</v>
      </c>
      <c r="FQ1520" t="n">
        <v>0</v>
      </c>
      <c r="FR1520" t="n">
        <v>0</v>
      </c>
      <c r="FS1520" t="n">
        <v>0</v>
      </c>
      <c r="FX1520" t="n">
        <v>91</v>
      </c>
      <c r="FY1520" t="n">
        <v>48</v>
      </c>
      <c r="GA1520" t="inlineStr"/>
      <c r="GD1520" t="n">
        <v>1</v>
      </c>
      <c r="GF1520" t="n">
        <v>1871529504</v>
      </c>
      <c r="GG1520" t="n">
        <v>2</v>
      </c>
      <c r="GH1520" t="n">
        <v>1</v>
      </c>
      <c r="GI1520" t="n">
        <v>2</v>
      </c>
      <c r="GJ1520" t="n">
        <v>0</v>
      </c>
      <c r="GK1520" t="n">
        <v>0</v>
      </c>
      <c r="GL1520">
        <f>ROUND(IF(AND(BH1520=3,BI1520=3,FS1520&lt;&gt;0),P1520,0),0)</f>
        <v/>
      </c>
      <c r="GM1520">
        <f>ROUND(O1520+X1520+Y1520,0)+GX1520</f>
        <v/>
      </c>
      <c r="GN1520">
        <f>IF(OR(BI1520=0,BI1520=1),GM1520-GX1520,0)</f>
        <v/>
      </c>
      <c r="GO1520">
        <f>IF(BI1520=2,GM1520-GX1520,0)</f>
        <v/>
      </c>
      <c r="GP1520">
        <f>IF(BI1520=4,GM1520-GX1520,0)</f>
        <v/>
      </c>
      <c r="GR1520" t="n">
        <v>0</v>
      </c>
      <c r="GS1520" t="n">
        <v>3</v>
      </c>
      <c r="GT1520" t="n">
        <v>0</v>
      </c>
      <c r="GU1520" t="inlineStr"/>
      <c r="GV1520">
        <f>ROUND((GT1520),2)</f>
        <v/>
      </c>
      <c r="GW1520" t="n">
        <v>1</v>
      </c>
      <c r="GX1520">
        <f>ROUND(HC1520*I1520,0)</f>
        <v/>
      </c>
      <c r="HA1520" t="n">
        <v>0</v>
      </c>
      <c r="HB1520" t="n">
        <v>0</v>
      </c>
      <c r="HC1520">
        <f>GV1520*GW1520</f>
        <v/>
      </c>
      <c r="HE1520" t="inlineStr"/>
      <c r="HF1520" t="inlineStr"/>
      <c r="HM1520" t="inlineStr"/>
      <c r="HN1520" t="inlineStr">
        <is>
          <t>Пр/812-101.0-1</t>
        </is>
      </c>
      <c r="HO1520" t="inlineStr">
        <is>
          <t>Пр/774-101.0</t>
        </is>
      </c>
      <c r="HP1520" t="inlineStr">
        <is>
          <t>Электромонтажные работы</t>
        </is>
      </c>
      <c r="HQ1520" t="inlineStr">
        <is>
          <t>Электромонтажные работы</t>
        </is>
      </c>
      <c r="HS1520" t="n">
        <v>0</v>
      </c>
      <c r="IK1520" t="n">
        <v>0</v>
      </c>
    </row>
    <row r="1521">
      <c r="A1521" t="n">
        <v>17</v>
      </c>
      <c r="B1521" t="n">
        <v>0</v>
      </c>
      <c r="C1521">
        <f>ROW(SmtRes!A726)</f>
        <v/>
      </c>
      <c r="D1521">
        <f>ROW(EtalonRes!A664)</f>
        <v/>
      </c>
      <c r="E1521" t="inlineStr">
        <is>
          <t>2</t>
        </is>
      </c>
      <c r="F1521" t="inlineStr">
        <is>
          <t>16-07-005-1</t>
        </is>
      </c>
      <c r="G152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521" t="inlineStr">
        <is>
          <t>100 м трубопровода</t>
        </is>
      </c>
      <c r="I1521">
        <f>ROUND(ROUND(27/100,4),7)</f>
        <v/>
      </c>
      <c r="J1521" t="n">
        <v>0</v>
      </c>
      <c r="K1521">
        <f>ROUND(ROUND(27/100,4),7)</f>
        <v/>
      </c>
      <c r="O1521">
        <f>ROUND(CP1521,0)</f>
        <v/>
      </c>
      <c r="P1521">
        <f>ROUND(CQ1521*I1521,0)</f>
        <v/>
      </c>
      <c r="Q1521">
        <f>(ROUND((ROUND((((ET1521*ROUND(5,7)))*I1521),0)*BB1521),0)+ROUND((ROUND(((AE1521-((EU1521*ROUND(5,7))))*I1521),0)*BS1521),0))</f>
        <v/>
      </c>
      <c r="R1521">
        <f>(ROUND((ROUND((((EU1521*ROUND(5,7)))*I1521),0)*BS1521),0)+ROUND((ROUND(((AE1521-((EU1521*ROUND(5,7))))*I1521),0)*BS1521),0))</f>
        <v/>
      </c>
      <c r="S1521">
        <f>ROUND(CT1521*I1521,0)</f>
        <v/>
      </c>
      <c r="T1521">
        <f>ROUND(CU1521*I1521,0)</f>
        <v/>
      </c>
      <c r="U1521">
        <f>ROUND(CV1521*I1521,7)</f>
        <v/>
      </c>
      <c r="V1521">
        <f>ROUND(CW1521*I1521,7)</f>
        <v/>
      </c>
      <c r="W1521">
        <f>ROUND(CX1521*I1521,0)</f>
        <v/>
      </c>
      <c r="X1521">
        <f>ROUND(CY1521,0)</f>
        <v/>
      </c>
      <c r="Y1521">
        <f>ROUND(CZ1521,0)</f>
        <v/>
      </c>
      <c r="AA1521" t="n">
        <v>78869116</v>
      </c>
      <c r="AB1521">
        <f>ROUND((AC1521+AD1521+AF1521),2)</f>
        <v/>
      </c>
      <c r="AC1521">
        <f>ROUND(((ES1521*ROUND(5,7))),2)</f>
        <v/>
      </c>
      <c r="AD1521">
        <f>ROUND(((((ET1521*ROUND(5,7)))-((EU1521*ROUND(5,7))))+AE1521),2)</f>
        <v/>
      </c>
      <c r="AE1521">
        <f>ROUND(((EU1521*ROUND(5,7))),2)</f>
        <v/>
      </c>
      <c r="AF1521">
        <f>ROUND(((EV1521*ROUND(5,7))),2)</f>
        <v/>
      </c>
      <c r="AG1521">
        <f>ROUND((AP1521),2)</f>
        <v/>
      </c>
      <c r="AH1521">
        <f>((EW1521*ROUND(5,7)))</f>
        <v/>
      </c>
      <c r="AI1521">
        <f>((EX1521*ROUND(5,7)))</f>
        <v/>
      </c>
      <c r="AJ1521">
        <f>(AS1521)</f>
        <v/>
      </c>
      <c r="AK1521" t="n">
        <v>107.11</v>
      </c>
      <c r="AL1521" t="n">
        <v>4.28</v>
      </c>
      <c r="AM1521" t="n">
        <v>44.51</v>
      </c>
      <c r="AN1521" t="n">
        <v>0</v>
      </c>
      <c r="AO1521" t="n">
        <v>58.32</v>
      </c>
      <c r="AP1521" t="n">
        <v>0</v>
      </c>
      <c r="AQ1521" t="n">
        <v>5.01</v>
      </c>
      <c r="AR1521" t="n">
        <v>0</v>
      </c>
      <c r="AS1521" t="n">
        <v>0</v>
      </c>
      <c r="AT1521" t="n">
        <v>121</v>
      </c>
      <c r="AU1521" t="n">
        <v>72</v>
      </c>
      <c r="AV1521" t="n">
        <v>1</v>
      </c>
      <c r="AW1521" t="n">
        <v>1</v>
      </c>
      <c r="AZ1521" t="n">
        <v>1</v>
      </c>
      <c r="BA1521" t="n">
        <v>52.25</v>
      </c>
      <c r="BB1521" t="n">
        <v>5.97</v>
      </c>
      <c r="BC1521" t="n">
        <v>11.38</v>
      </c>
      <c r="BD1521" t="inlineStr"/>
      <c r="BE1521" t="inlineStr"/>
      <c r="BF1521" t="inlineStr"/>
      <c r="BG1521" t="inlineStr"/>
      <c r="BH1521" t="n">
        <v>0</v>
      </c>
      <c r="BI1521" t="n">
        <v>1</v>
      </c>
      <c r="BJ1521" t="inlineStr">
        <is>
          <t>ТЕР Московской обл., 16-07-005-1, приказ Минстроя России №675/пр от 28.02.2017 № 260/пр</t>
        </is>
      </c>
      <c r="BM1521" t="n">
        <v>16001</v>
      </c>
      <c r="BN1521" t="n">
        <v>0</v>
      </c>
      <c r="BO1521" t="inlineStr">
        <is>
          <t>16-07-005-1</t>
        </is>
      </c>
      <c r="BP1521" t="n">
        <v>1</v>
      </c>
      <c r="BQ1521" t="n">
        <v>2</v>
      </c>
      <c r="BR1521" t="n">
        <v>0</v>
      </c>
      <c r="BS1521" t="n">
        <v>52.25</v>
      </c>
      <c r="BT1521" t="n">
        <v>1</v>
      </c>
      <c r="BU1521" t="n">
        <v>1</v>
      </c>
      <c r="BV1521" t="n">
        <v>1</v>
      </c>
      <c r="BW1521" t="n">
        <v>1</v>
      </c>
      <c r="BX1521" t="n">
        <v>1</v>
      </c>
      <c r="BY1521" t="inlineStr"/>
      <c r="BZ1521" t="n">
        <v>121</v>
      </c>
      <c r="CA1521" t="n">
        <v>72</v>
      </c>
      <c r="CB1521" t="inlineStr"/>
      <c r="CE1521" t="n">
        <v>12</v>
      </c>
      <c r="CF1521" t="n">
        <v>0</v>
      </c>
      <c r="CG1521" t="n">
        <v>0</v>
      </c>
      <c r="CM1521" t="n">
        <v>0</v>
      </c>
      <c r="CN1521" t="inlineStr"/>
      <c r="CO1521" t="n">
        <v>0</v>
      </c>
      <c r="CP1521">
        <f>(P1521+Q1521+S1521)</f>
        <v/>
      </c>
      <c r="CQ1521">
        <f>AC1521*BC1521</f>
        <v/>
      </c>
      <c r="CR1521">
        <f>(ROUND((ROUND((((ET1521*ROUND(5,7)))*1),0)*BB1521),0)+ROUND((ROUND(((AE1521-((EU1521*ROUND(5,7))))*1),0)*BS1521),0))</f>
        <v/>
      </c>
      <c r="CS1521">
        <f>(ROUND((ROUND((((EU1521*ROUND(5,7)))*1),0)*BS1521),0)+ROUND((ROUND(((AE1521-((EU1521*ROUND(5,7))))*1),0)*BS1521),0))</f>
        <v/>
      </c>
      <c r="CT1521">
        <f>AF1521*BA1521</f>
        <v/>
      </c>
      <c r="CU1521">
        <f>AG1521</f>
        <v/>
      </c>
      <c r="CV1521">
        <f>AH1521</f>
        <v/>
      </c>
      <c r="CW1521">
        <f>AI1521</f>
        <v/>
      </c>
      <c r="CX1521">
        <f>AJ1521</f>
        <v/>
      </c>
      <c r="CY1521">
        <f>(((S1521+R1521)*AT1521)/100)</f>
        <v/>
      </c>
      <c r="CZ1521">
        <f>(((S1521+R1521)*AU1521)/100)</f>
        <v/>
      </c>
      <c r="DC1521" t="inlineStr"/>
      <c r="DD1521" t="inlineStr">
        <is>
          <t>)*5</t>
        </is>
      </c>
      <c r="DE1521" t="inlineStr">
        <is>
          <t>)*5</t>
        </is>
      </c>
      <c r="DF1521" t="inlineStr">
        <is>
          <t>)*5</t>
        </is>
      </c>
      <c r="DG1521" t="inlineStr">
        <is>
          <t>)*5</t>
        </is>
      </c>
      <c r="DH1521" t="inlineStr"/>
      <c r="DI1521" t="inlineStr">
        <is>
          <t>)*5</t>
        </is>
      </c>
      <c r="DJ1521" t="inlineStr">
        <is>
          <t>)*5</t>
        </is>
      </c>
      <c r="DK1521" t="inlineStr"/>
      <c r="DL1521" t="inlineStr"/>
      <c r="DM1521" t="inlineStr"/>
      <c r="DN1521" t="n">
        <v>0</v>
      </c>
      <c r="DO1521" t="n">
        <v>0</v>
      </c>
      <c r="DP1521" t="n">
        <v>1</v>
      </c>
      <c r="DQ1521" t="n">
        <v>1</v>
      </c>
      <c r="DU1521" t="n">
        <v>1013</v>
      </c>
      <c r="DV1521" t="inlineStr">
        <is>
          <t>100 м трубопровода</t>
        </is>
      </c>
      <c r="DW1521" t="inlineStr">
        <is>
          <t>100 м трубопровода</t>
        </is>
      </c>
      <c r="DX1521" t="n">
        <v>1</v>
      </c>
      <c r="DZ1521" t="inlineStr"/>
      <c r="EA1521" t="inlineStr"/>
      <c r="EB1521" t="inlineStr"/>
      <c r="EC1521" t="inlineStr"/>
      <c r="EE1521" t="n">
        <v>78725882</v>
      </c>
      <c r="EF1521" t="n">
        <v>2</v>
      </c>
      <c r="EG1521" t="inlineStr">
        <is>
          <t>Общестроительные работы</t>
        </is>
      </c>
      <c r="EH1521" t="n">
        <v>16</v>
      </c>
      <c r="EI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21" t="n">
        <v>1</v>
      </c>
      <c r="EK1521" t="n">
        <v>16001</v>
      </c>
      <c r="EL1521" t="inlineStr">
        <is>
          <t>Трубопроводы внутренние</t>
        </is>
      </c>
      <c r="EM1521" t="inlineStr">
        <is>
          <t>ФЕР-16</t>
        </is>
      </c>
      <c r="EO1521" t="inlineStr"/>
      <c r="EQ1521" t="n">
        <v>0</v>
      </c>
      <c r="ER1521" t="n">
        <v>107.11</v>
      </c>
      <c r="ES1521" t="n">
        <v>4.28</v>
      </c>
      <c r="ET1521" t="n">
        <v>44.51</v>
      </c>
      <c r="EU1521" t="n">
        <v>0</v>
      </c>
      <c r="EV1521" t="n">
        <v>58.32</v>
      </c>
      <c r="EW1521" t="n">
        <v>5.01</v>
      </c>
      <c r="EX1521" t="n">
        <v>0</v>
      </c>
      <c r="EY1521" t="n">
        <v>0</v>
      </c>
      <c r="FQ1521" t="n">
        <v>0</v>
      </c>
      <c r="FR1521" t="n">
        <v>0</v>
      </c>
      <c r="FS1521" t="n">
        <v>0</v>
      </c>
      <c r="FX1521" t="n">
        <v>121</v>
      </c>
      <c r="FY1521" t="n">
        <v>72</v>
      </c>
      <c r="GA1521" t="inlineStr"/>
      <c r="GD1521" t="n">
        <v>1</v>
      </c>
      <c r="GF1521" t="n">
        <v>635989612</v>
      </c>
      <c r="GG1521" t="n">
        <v>2</v>
      </c>
      <c r="GH1521" t="n">
        <v>1</v>
      </c>
      <c r="GI1521" t="n">
        <v>2</v>
      </c>
      <c r="GJ1521" t="n">
        <v>0</v>
      </c>
      <c r="GK1521" t="n">
        <v>0</v>
      </c>
      <c r="GL1521">
        <f>ROUND(IF(AND(BH1521=3,BI1521=3,FS1521&lt;&gt;0),P1521,0),0)</f>
        <v/>
      </c>
      <c r="GM1521">
        <f>ROUND(O1521+X1521+Y1521,0)+GX1521</f>
        <v/>
      </c>
      <c r="GN1521">
        <f>IF(OR(BI1521=0,BI1521=1),GM1521-GX1521,0)</f>
        <v/>
      </c>
      <c r="GO1521">
        <f>IF(BI1521=2,GM1521-GX1521,0)</f>
        <v/>
      </c>
      <c r="GP1521">
        <f>IF(BI1521=4,GM1521-GX1521,0)</f>
        <v/>
      </c>
      <c r="GR1521" t="n">
        <v>0</v>
      </c>
      <c r="GS1521" t="n">
        <v>3</v>
      </c>
      <c r="GT1521" t="n">
        <v>0</v>
      </c>
      <c r="GU1521" t="inlineStr"/>
      <c r="GV1521">
        <f>ROUND((GT1521),2)</f>
        <v/>
      </c>
      <c r="GW1521" t="n">
        <v>1</v>
      </c>
      <c r="GX1521">
        <f>ROUND(HC1521*I1521,0)</f>
        <v/>
      </c>
      <c r="HA1521" t="n">
        <v>0</v>
      </c>
      <c r="HB1521" t="n">
        <v>0</v>
      </c>
      <c r="HC1521">
        <f>GV1521*GW1521</f>
        <v/>
      </c>
      <c r="HE1521" t="inlineStr"/>
      <c r="HF1521" t="inlineStr"/>
      <c r="HM1521" t="inlineStr"/>
      <c r="HN1521" t="inlineStr">
        <is>
          <t>Пр/812-016.0-1</t>
        </is>
      </c>
      <c r="HO1521" t="inlineStr">
        <is>
          <t>Пр/774-016.0</t>
        </is>
      </c>
      <c r="HP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21" t="n">
        <v>0</v>
      </c>
      <c r="IK1521" t="n">
        <v>0</v>
      </c>
    </row>
    <row r="1522"/>
    <row r="1523">
      <c r="A1523" s="402" t="n">
        <v>51</v>
      </c>
      <c r="B1523" s="402">
        <f>B1513</f>
        <v/>
      </c>
      <c r="C1523" s="402">
        <f>A1513</f>
        <v/>
      </c>
      <c r="D1523" s="402">
        <f>ROW(A1513)</f>
        <v/>
      </c>
      <c r="E1523" s="402" t="n"/>
      <c r="F1523" s="402">
        <f>IF(F1513&lt;&gt;"",F1513,"")</f>
        <v/>
      </c>
      <c r="G1523" s="402">
        <f>IF(G1513&lt;&gt;"",G1513,"")</f>
        <v/>
      </c>
      <c r="H1523" s="402" t="n">
        <v>0</v>
      </c>
      <c r="I1523" s="402" t="n"/>
      <c r="J1523" s="402" t="n"/>
      <c r="K1523" s="402" t="n"/>
      <c r="L1523" s="402" t="n"/>
      <c r="M1523" s="402" t="n"/>
      <c r="N1523" s="402" t="n"/>
      <c r="O1523" s="402" t="n">
        <v>0</v>
      </c>
      <c r="P1523" s="402" t="n">
        <v>0</v>
      </c>
      <c r="Q1523" s="402" t="n">
        <v>0</v>
      </c>
      <c r="R1523" s="402" t="n">
        <v>0</v>
      </c>
      <c r="S1523" s="402" t="n">
        <v>0</v>
      </c>
      <c r="T1523" s="402" t="n">
        <v>0</v>
      </c>
      <c r="U1523" s="402" t="n">
        <v>0</v>
      </c>
      <c r="V1523" s="402" t="n">
        <v>0</v>
      </c>
      <c r="W1523" s="402" t="n">
        <v>0</v>
      </c>
      <c r="X1523" s="402" t="n">
        <v>0</v>
      </c>
      <c r="Y1523" s="402" t="n">
        <v>0</v>
      </c>
      <c r="Z1523" s="402" t="n"/>
      <c r="AA1523" s="402" t="n"/>
      <c r="AB1523" s="402" t="n"/>
      <c r="AC1523" s="402" t="n"/>
      <c r="AD1523" s="402" t="n"/>
      <c r="AE1523" s="402" t="n"/>
      <c r="AF1523" s="402" t="n"/>
      <c r="AG1523" s="402" t="n"/>
      <c r="AH1523" s="402" t="n"/>
      <c r="AI1523" s="402" t="n"/>
      <c r="AJ1523" s="402" t="n"/>
      <c r="AK1523" s="402" t="n"/>
      <c r="AL1523" s="402" t="n"/>
      <c r="AM1523" s="402" t="n"/>
      <c r="AN1523" s="402" t="n"/>
      <c r="AO1523" s="402">
        <f>ROUND(BX1523,0)</f>
        <v/>
      </c>
      <c r="AP1523" s="402">
        <f>ROUND(BY1523,0)</f>
        <v/>
      </c>
      <c r="AQ1523" s="402">
        <f>ROUND(BZ1523,0)</f>
        <v/>
      </c>
      <c r="AR1523" s="402">
        <f>ROUND(CA1523,0)</f>
        <v/>
      </c>
      <c r="AS1523" s="402">
        <f>ROUND(CB1523,0)</f>
        <v/>
      </c>
      <c r="AT1523" s="402">
        <f>ROUND(CC1523,0)</f>
        <v/>
      </c>
      <c r="AU1523" s="402">
        <f>ROUND(CD1523,0)</f>
        <v/>
      </c>
      <c r="AV1523" s="402">
        <f>ROUND(CE1523,0)</f>
        <v/>
      </c>
      <c r="AW1523" s="402">
        <f>ROUND(CF1523,0)</f>
        <v/>
      </c>
      <c r="AX1523" s="402">
        <f>ROUND(CG1523,0)</f>
        <v/>
      </c>
      <c r="AY1523" s="402">
        <f>ROUND(CH1523,0)</f>
        <v/>
      </c>
      <c r="AZ1523" s="402">
        <f>ROUND(CI1523,0)</f>
        <v/>
      </c>
      <c r="BA1523" s="402">
        <f>ROUND(CJ1523,0)</f>
        <v/>
      </c>
      <c r="BB1523" s="402">
        <f>ROUND(CK1523,0)</f>
        <v/>
      </c>
      <c r="BC1523" s="402">
        <f>ROUND(CL1523,0)</f>
        <v/>
      </c>
      <c r="BD1523" s="402">
        <f>ROUND(CM1523,0)</f>
        <v/>
      </c>
      <c r="BE1523" s="402" t="n"/>
      <c r="BF1523" s="402" t="n"/>
      <c r="BG1523" s="402" t="n"/>
      <c r="BH1523" s="402" t="n"/>
      <c r="BI1523" s="402" t="n"/>
      <c r="BJ1523" s="402" t="n"/>
      <c r="BK1523" s="402" t="n"/>
      <c r="BL1523" s="402" t="n"/>
      <c r="BM1523" s="402" t="n"/>
      <c r="BN1523" s="402" t="n"/>
      <c r="BO1523" s="402" t="n"/>
      <c r="BP1523" s="402" t="n"/>
      <c r="BQ1523" s="402" t="n"/>
      <c r="BR1523" s="402" t="n"/>
      <c r="BS1523" s="402" t="n"/>
      <c r="BT1523" s="402" t="n"/>
      <c r="BU1523" s="402" t="n"/>
      <c r="BV1523" s="402" t="n"/>
      <c r="BW1523" s="402" t="n"/>
      <c r="BX1523" s="402" t="n"/>
      <c r="BY1523" s="402" t="n"/>
      <c r="BZ1523" s="402" t="n"/>
      <c r="CA1523" s="402" t="n"/>
      <c r="CB1523" s="402" t="n"/>
      <c r="CC1523" s="402" t="n"/>
      <c r="CD1523" s="402" t="n"/>
      <c r="CE1523" s="402" t="n"/>
      <c r="CF1523" s="402" t="n"/>
      <c r="CG1523" s="402" t="n"/>
      <c r="CH1523" s="402" t="n"/>
      <c r="CI1523" s="402" t="n"/>
      <c r="CJ1523" s="402" t="n"/>
      <c r="CK1523" s="402" t="n"/>
      <c r="CL1523" s="402" t="n"/>
      <c r="CM1523" s="402" t="n"/>
      <c r="CN1523" s="402" t="n"/>
      <c r="CO1523" s="402" t="n"/>
      <c r="CP1523" s="402" t="n"/>
      <c r="CQ1523" s="402" t="n"/>
      <c r="CR1523" s="402" t="n"/>
      <c r="CS1523" s="402" t="n"/>
      <c r="CT1523" s="402" t="n"/>
      <c r="CU1523" s="402" t="n"/>
      <c r="CV1523" s="402" t="n"/>
      <c r="CW1523" s="402" t="n"/>
      <c r="CX1523" s="402" t="n"/>
      <c r="CY1523" s="402" t="n"/>
      <c r="CZ1523" s="402" t="n"/>
      <c r="DA1523" s="402" t="n"/>
      <c r="DB1523" s="402" t="n"/>
      <c r="DC1523" s="402" t="n"/>
      <c r="DD1523" s="402" t="n"/>
      <c r="DE1523" s="402" t="n"/>
      <c r="DF1523" s="402" t="n"/>
      <c r="DG1523" s="403" t="n"/>
      <c r="DH1523" s="403" t="n"/>
      <c r="DI1523" s="403" t="n"/>
      <c r="DJ1523" s="403" t="n"/>
      <c r="DK1523" s="403" t="n"/>
      <c r="DL1523" s="403" t="n"/>
      <c r="DM1523" s="403" t="n"/>
      <c r="DN1523" s="403" t="n"/>
      <c r="DO1523" s="403" t="n"/>
      <c r="DP1523" s="403" t="n"/>
      <c r="DQ1523" s="403" t="n"/>
      <c r="DR1523" s="403" t="n"/>
      <c r="DS1523" s="403" t="n"/>
      <c r="DT1523" s="403" t="n"/>
      <c r="DU1523" s="403" t="n"/>
      <c r="DV1523" s="403" t="n"/>
      <c r="DW1523" s="403" t="n"/>
      <c r="DX1523" s="403" t="n"/>
      <c r="DY1523" s="403" t="n"/>
      <c r="DZ1523" s="403" t="n"/>
      <c r="EA1523" s="403" t="n"/>
      <c r="EB1523" s="403" t="n"/>
      <c r="EC1523" s="403" t="n"/>
      <c r="ED1523" s="403" t="n"/>
      <c r="EE1523" s="403" t="n"/>
      <c r="EF1523" s="403" t="n"/>
      <c r="EG1523" s="403" t="n"/>
      <c r="EH1523" s="403" t="n"/>
      <c r="EI1523" s="403" t="n"/>
      <c r="EJ1523" s="403" t="n"/>
      <c r="EK1523" s="403" t="n"/>
      <c r="EL1523" s="403" t="n"/>
      <c r="EM1523" s="403" t="n"/>
      <c r="EN1523" s="403" t="n"/>
      <c r="EO1523" s="403" t="n"/>
      <c r="EP1523" s="403" t="n"/>
      <c r="EQ1523" s="403" t="n"/>
      <c r="ER1523" s="403" t="n"/>
      <c r="ES1523" s="403" t="n"/>
      <c r="ET1523" s="403" t="n"/>
      <c r="EU1523" s="403" t="n"/>
      <c r="EV1523" s="403" t="n"/>
      <c r="EW1523" s="403" t="n"/>
      <c r="EX1523" s="403" t="n"/>
      <c r="EY1523" s="403" t="n"/>
      <c r="EZ1523" s="403" t="n"/>
      <c r="FA1523" s="403" t="n"/>
      <c r="FB1523" s="403" t="n"/>
      <c r="FC1523" s="403" t="n"/>
      <c r="FD1523" s="403" t="n"/>
      <c r="FE1523" s="403" t="n"/>
      <c r="FF1523" s="403" t="n"/>
      <c r="FG1523" s="403" t="n"/>
      <c r="FH1523" s="403" t="n"/>
      <c r="FI1523" s="403" t="n"/>
      <c r="FJ1523" s="403" t="n"/>
      <c r="FK1523" s="403" t="n"/>
      <c r="FL1523" s="403" t="n"/>
      <c r="FM1523" s="403" t="n"/>
      <c r="FN1523" s="403" t="n"/>
      <c r="FO1523" s="403" t="n"/>
      <c r="FP1523" s="403" t="n"/>
      <c r="FQ1523" s="403" t="n"/>
      <c r="FR1523" s="403" t="n"/>
      <c r="FS1523" s="403" t="n"/>
      <c r="FT1523" s="403" t="n"/>
      <c r="FU1523" s="403" t="n"/>
      <c r="FV1523" s="403" t="n"/>
      <c r="FW1523" s="403" t="n"/>
      <c r="FX1523" s="403" t="n"/>
      <c r="FY1523" s="403" t="n"/>
      <c r="FZ1523" s="403" t="n"/>
      <c r="GA1523" s="403" t="n"/>
      <c r="GB1523" s="403" t="n"/>
      <c r="GC1523" s="403" t="n"/>
      <c r="GD1523" s="403" t="n"/>
      <c r="GE1523" s="403" t="n"/>
      <c r="GF1523" s="403" t="n"/>
      <c r="GG1523" s="403" t="n"/>
      <c r="GH1523" s="403" t="n"/>
      <c r="GI1523" s="403" t="n"/>
      <c r="GJ1523" s="403" t="n"/>
      <c r="GK1523" s="403" t="n"/>
      <c r="GL1523" s="403" t="n"/>
      <c r="GM1523" s="403" t="n"/>
      <c r="GN1523" s="403" t="n"/>
      <c r="GO1523" s="403" t="n"/>
      <c r="GP1523" s="403" t="n"/>
      <c r="GQ1523" s="403" t="n"/>
      <c r="GR1523" s="403" t="n"/>
      <c r="GS1523" s="403" t="n"/>
      <c r="GT1523" s="403" t="n"/>
      <c r="GU1523" s="403" t="n"/>
      <c r="GV1523" s="403" t="n"/>
      <c r="GW1523" s="403" t="n"/>
      <c r="GX1523" s="403" t="n">
        <v>0</v>
      </c>
    </row>
    <row r="1524"/>
    <row r="1525">
      <c r="A1525" s="404" t="n">
        <v>50</v>
      </c>
      <c r="B1525" s="404" t="n">
        <v>0</v>
      </c>
      <c r="C1525" s="404" t="n">
        <v>0</v>
      </c>
      <c r="D1525" s="404" t="n">
        <v>1</v>
      </c>
      <c r="E1525" s="404" t="n">
        <v>201</v>
      </c>
      <c r="F1525" s="404">
        <f>ROUND(Source!O1523,O1525)</f>
        <v/>
      </c>
      <c r="G1525" s="404" t="inlineStr">
        <is>
          <t>ПЗ</t>
        </is>
      </c>
      <c r="H1525" s="404" t="inlineStr">
        <is>
          <t>Прямые затраты</t>
        </is>
      </c>
      <c r="I1525" s="404" t="n"/>
      <c r="J1525" s="404" t="n"/>
      <c r="K1525" s="404" t="n">
        <v>201</v>
      </c>
      <c r="L1525" s="404" t="n">
        <v>1</v>
      </c>
      <c r="M1525" s="404" t="n">
        <v>3</v>
      </c>
      <c r="N1525" s="404" t="inlineStr"/>
      <c r="O1525" s="404" t="n">
        <v>0</v>
      </c>
      <c r="P1525" s="404" t="n"/>
      <c r="Q1525" s="404" t="n"/>
      <c r="R1525" s="404" t="n"/>
      <c r="S1525" s="404" t="n"/>
      <c r="T1525" s="404" t="n"/>
      <c r="U1525" s="404" t="n"/>
      <c r="V1525" s="404" t="n"/>
      <c r="W1525" s="404" t="n">
        <v>0</v>
      </c>
      <c r="X1525" s="404" t="n">
        <v>1</v>
      </c>
      <c r="Y1525" s="404" t="n">
        <v>0</v>
      </c>
      <c r="Z1525" s="404" t="n"/>
      <c r="AA1525" s="404" t="n"/>
      <c r="AB1525" s="404" t="n"/>
    </row>
    <row r="1526">
      <c r="A1526" s="404" t="n">
        <v>50</v>
      </c>
      <c r="B1526" s="404" t="n">
        <v>0</v>
      </c>
      <c r="C1526" s="404" t="n">
        <v>0</v>
      </c>
      <c r="D1526" s="404" t="n">
        <v>1</v>
      </c>
      <c r="E1526" s="404" t="n">
        <v>202</v>
      </c>
      <c r="F1526" s="404">
        <f>ROUND(Source!P1523,O1526)</f>
        <v/>
      </c>
      <c r="G1526" s="404" t="inlineStr">
        <is>
          <t>СтМатОб</t>
        </is>
      </c>
      <c r="H1526" s="404" t="inlineStr">
        <is>
          <t>Стоимость материальных ресурсов (всего)</t>
        </is>
      </c>
      <c r="I1526" s="404" t="n"/>
      <c r="J1526" s="404" t="n"/>
      <c r="K1526" s="404" t="n">
        <v>202</v>
      </c>
      <c r="L1526" s="404" t="n">
        <v>2</v>
      </c>
      <c r="M1526" s="404" t="n">
        <v>3</v>
      </c>
      <c r="N1526" s="404" t="inlineStr"/>
      <c r="O1526" s="404" t="n">
        <v>0</v>
      </c>
      <c r="P1526" s="404" t="n"/>
      <c r="Q1526" s="404" t="n"/>
      <c r="R1526" s="404" t="n"/>
      <c r="S1526" s="404" t="n"/>
      <c r="T1526" s="404" t="n"/>
      <c r="U1526" s="404" t="n"/>
      <c r="V1526" s="404" t="n"/>
      <c r="W1526" s="404" t="n">
        <v>0</v>
      </c>
      <c r="X1526" s="404" t="n">
        <v>1</v>
      </c>
      <c r="Y1526" s="404" t="n">
        <v>0</v>
      </c>
      <c r="Z1526" s="404" t="n"/>
      <c r="AA1526" s="404" t="n"/>
      <c r="AB1526" s="404" t="n"/>
    </row>
    <row r="1527">
      <c r="A1527" s="404" t="n">
        <v>50</v>
      </c>
      <c r="B1527" s="404" t="n">
        <v>0</v>
      </c>
      <c r="C1527" s="404" t="n">
        <v>0</v>
      </c>
      <c r="D1527" s="404" t="n">
        <v>1</v>
      </c>
      <c r="E1527" s="404" t="n">
        <v>222</v>
      </c>
      <c r="F1527" s="404">
        <f>ROUND(Source!AO1523,O1527)</f>
        <v/>
      </c>
      <c r="G1527" s="404" t="inlineStr">
        <is>
          <t>СтМатОбЗак</t>
        </is>
      </c>
      <c r="H1527" s="404" t="inlineStr">
        <is>
          <t>Стоимость материалов и оборудования заказчика</t>
        </is>
      </c>
      <c r="I1527" s="404" t="n"/>
      <c r="J1527" s="404" t="n"/>
      <c r="K1527" s="404" t="n">
        <v>222</v>
      </c>
      <c r="L1527" s="404" t="n">
        <v>3</v>
      </c>
      <c r="M1527" s="404" t="n">
        <v>3</v>
      </c>
      <c r="N1527" s="404" t="inlineStr"/>
      <c r="O1527" s="404" t="n">
        <v>0</v>
      </c>
      <c r="P1527" s="404" t="n"/>
      <c r="Q1527" s="404" t="n"/>
      <c r="R1527" s="404" t="n"/>
      <c r="S1527" s="404" t="n"/>
      <c r="T1527" s="404" t="n"/>
      <c r="U1527" s="404" t="n"/>
      <c r="V1527" s="404" t="n"/>
      <c r="W1527" s="404" t="n">
        <v>0</v>
      </c>
      <c r="X1527" s="404" t="n">
        <v>1</v>
      </c>
      <c r="Y1527" s="404" t="n">
        <v>0</v>
      </c>
      <c r="Z1527" s="404" t="n"/>
      <c r="AA1527" s="404" t="n"/>
      <c r="AB1527" s="404" t="n"/>
    </row>
    <row r="1528">
      <c r="A1528" s="404" t="n">
        <v>50</v>
      </c>
      <c r="B1528" s="404" t="n">
        <v>0</v>
      </c>
      <c r="C1528" s="404" t="n">
        <v>0</v>
      </c>
      <c r="D1528" s="404" t="n">
        <v>1</v>
      </c>
      <c r="E1528" s="404" t="n">
        <v>225</v>
      </c>
      <c r="F1528" s="404">
        <f>ROUND(Source!AV1523,O1528)</f>
        <v/>
      </c>
      <c r="G1528" s="404" t="inlineStr">
        <is>
          <t>СтМатОбПод</t>
        </is>
      </c>
      <c r="H1528" s="404" t="inlineStr">
        <is>
          <t>Стоимость материалов и оборудования подрядчика</t>
        </is>
      </c>
      <c r="I1528" s="404" t="n"/>
      <c r="J1528" s="404" t="n"/>
      <c r="K1528" s="404" t="n">
        <v>225</v>
      </c>
      <c r="L1528" s="404" t="n">
        <v>4</v>
      </c>
      <c r="M1528" s="404" t="n">
        <v>3</v>
      </c>
      <c r="N1528" s="404" t="inlineStr"/>
      <c r="O1528" s="404" t="n">
        <v>0</v>
      </c>
      <c r="P1528" s="404" t="n"/>
      <c r="Q1528" s="404" t="n"/>
      <c r="R1528" s="404" t="n"/>
      <c r="S1528" s="404" t="n"/>
      <c r="T1528" s="404" t="n"/>
      <c r="U1528" s="404" t="n"/>
      <c r="V1528" s="404" t="n"/>
      <c r="W1528" s="404" t="n">
        <v>0</v>
      </c>
      <c r="X1528" s="404" t="n">
        <v>1</v>
      </c>
      <c r="Y1528" s="404" t="n">
        <v>0</v>
      </c>
      <c r="Z1528" s="404" t="n"/>
      <c r="AA1528" s="404" t="n"/>
      <c r="AB1528" s="404" t="n"/>
    </row>
    <row r="1529">
      <c r="A1529" s="404" t="n">
        <v>50</v>
      </c>
      <c r="B1529" s="404" t="n">
        <v>0</v>
      </c>
      <c r="C1529" s="404" t="n">
        <v>0</v>
      </c>
      <c r="D1529" s="404" t="n">
        <v>1</v>
      </c>
      <c r="E1529" s="404" t="n">
        <v>226</v>
      </c>
      <c r="F1529" s="404">
        <f>ROUND(Source!AW1523,O1529)</f>
        <v/>
      </c>
      <c r="G1529" s="404" t="inlineStr">
        <is>
          <t>СтМат</t>
        </is>
      </c>
      <c r="H1529" s="404" t="inlineStr">
        <is>
          <t>Стоимость материалов (всего)</t>
        </is>
      </c>
      <c r="I1529" s="404" t="n"/>
      <c r="J1529" s="404" t="n"/>
      <c r="K1529" s="404" t="n">
        <v>226</v>
      </c>
      <c r="L1529" s="404" t="n">
        <v>5</v>
      </c>
      <c r="M1529" s="404" t="n">
        <v>3</v>
      </c>
      <c r="N1529" s="404" t="inlineStr"/>
      <c r="O1529" s="404" t="n">
        <v>0</v>
      </c>
      <c r="P1529" s="404" t="n"/>
      <c r="Q1529" s="404" t="n"/>
      <c r="R1529" s="404" t="n"/>
      <c r="S1529" s="404" t="n"/>
      <c r="T1529" s="404" t="n"/>
      <c r="U1529" s="404" t="n"/>
      <c r="V1529" s="404" t="n"/>
      <c r="W1529" s="404" t="n">
        <v>0</v>
      </c>
      <c r="X1529" s="404" t="n">
        <v>1</v>
      </c>
      <c r="Y1529" s="404" t="n">
        <v>0</v>
      </c>
      <c r="Z1529" s="404" t="n"/>
      <c r="AA1529" s="404" t="n"/>
      <c r="AB1529" s="404" t="n"/>
    </row>
    <row r="1530">
      <c r="A1530" s="404" t="n">
        <v>50</v>
      </c>
      <c r="B1530" s="404" t="n">
        <v>0</v>
      </c>
      <c r="C1530" s="404" t="n">
        <v>0</v>
      </c>
      <c r="D1530" s="404" t="n">
        <v>1</v>
      </c>
      <c r="E1530" s="404" t="n">
        <v>227</v>
      </c>
      <c r="F1530" s="404">
        <f>ROUND(Source!AX1523,O1530)</f>
        <v/>
      </c>
      <c r="G1530" s="404" t="inlineStr">
        <is>
          <t>СтМатЗак</t>
        </is>
      </c>
      <c r="H1530" s="404" t="inlineStr">
        <is>
          <t>Стоимость материалов заказчика</t>
        </is>
      </c>
      <c r="I1530" s="404" t="n"/>
      <c r="J1530" s="404" t="n"/>
      <c r="K1530" s="404" t="n">
        <v>227</v>
      </c>
      <c r="L1530" s="404" t="n">
        <v>6</v>
      </c>
      <c r="M1530" s="404" t="n">
        <v>3</v>
      </c>
      <c r="N1530" s="404" t="inlineStr"/>
      <c r="O1530" s="404" t="n">
        <v>0</v>
      </c>
      <c r="P1530" s="404" t="n"/>
      <c r="Q1530" s="404" t="n"/>
      <c r="R1530" s="404" t="n"/>
      <c r="S1530" s="404" t="n"/>
      <c r="T1530" s="404" t="n"/>
      <c r="U1530" s="404" t="n"/>
      <c r="V1530" s="404" t="n"/>
      <c r="W1530" s="404" t="n">
        <v>0</v>
      </c>
      <c r="X1530" s="404" t="n">
        <v>1</v>
      </c>
      <c r="Y1530" s="404" t="n">
        <v>0</v>
      </c>
      <c r="Z1530" s="404" t="n"/>
      <c r="AA1530" s="404" t="n"/>
      <c r="AB1530" s="404" t="n"/>
    </row>
    <row r="1531">
      <c r="A1531" s="404" t="n">
        <v>50</v>
      </c>
      <c r="B1531" s="404" t="n">
        <v>0</v>
      </c>
      <c r="C1531" s="404" t="n">
        <v>0</v>
      </c>
      <c r="D1531" s="404" t="n">
        <v>1</v>
      </c>
      <c r="E1531" s="404" t="n">
        <v>228</v>
      </c>
      <c r="F1531" s="404">
        <f>ROUND(Source!AY1523,O1531)</f>
        <v/>
      </c>
      <c r="G1531" s="404" t="inlineStr">
        <is>
          <t>СтМатПод</t>
        </is>
      </c>
      <c r="H1531" s="404" t="inlineStr">
        <is>
          <t>Стоимость материалов подрядчика</t>
        </is>
      </c>
      <c r="I1531" s="404" t="n"/>
      <c r="J1531" s="404" t="n"/>
      <c r="K1531" s="404" t="n">
        <v>228</v>
      </c>
      <c r="L1531" s="404" t="n">
        <v>7</v>
      </c>
      <c r="M1531" s="404" t="n">
        <v>3</v>
      </c>
      <c r="N1531" s="404" t="inlineStr"/>
      <c r="O1531" s="404" t="n">
        <v>0</v>
      </c>
      <c r="P1531" s="404" t="n"/>
      <c r="Q1531" s="404" t="n"/>
      <c r="R1531" s="404" t="n"/>
      <c r="S1531" s="404" t="n"/>
      <c r="T1531" s="404" t="n"/>
      <c r="U1531" s="404" t="n"/>
      <c r="V1531" s="404" t="n"/>
      <c r="W1531" s="404" t="n">
        <v>0</v>
      </c>
      <c r="X1531" s="404" t="n">
        <v>1</v>
      </c>
      <c r="Y1531" s="404" t="n">
        <v>0</v>
      </c>
      <c r="Z1531" s="404" t="n"/>
      <c r="AA1531" s="404" t="n"/>
      <c r="AB1531" s="404" t="n"/>
    </row>
    <row r="1532">
      <c r="A1532" s="404" t="n">
        <v>50</v>
      </c>
      <c r="B1532" s="404" t="n">
        <v>0</v>
      </c>
      <c r="C1532" s="404" t="n">
        <v>0</v>
      </c>
      <c r="D1532" s="404" t="n">
        <v>1</v>
      </c>
      <c r="E1532" s="404" t="n">
        <v>216</v>
      </c>
      <c r="F1532" s="404">
        <f>ROUND(Source!AP1523,O1532)</f>
        <v/>
      </c>
      <c r="G1532" s="404" t="inlineStr">
        <is>
          <t>Оборуд</t>
        </is>
      </c>
      <c r="H1532" s="404" t="inlineStr">
        <is>
          <t>Стоимость оборудования (всего)</t>
        </is>
      </c>
      <c r="I1532" s="404" t="n"/>
      <c r="J1532" s="404" t="n"/>
      <c r="K1532" s="404" t="n">
        <v>216</v>
      </c>
      <c r="L1532" s="404" t="n">
        <v>8</v>
      </c>
      <c r="M1532" s="404" t="n">
        <v>3</v>
      </c>
      <c r="N1532" s="404" t="inlineStr"/>
      <c r="O1532" s="404" t="n">
        <v>0</v>
      </c>
      <c r="P1532" s="404" t="n"/>
      <c r="Q1532" s="404" t="n"/>
      <c r="R1532" s="404" t="n"/>
      <c r="S1532" s="404" t="n"/>
      <c r="T1532" s="404" t="n"/>
      <c r="U1532" s="404" t="n"/>
      <c r="V1532" s="404" t="n"/>
      <c r="W1532" s="404" t="n">
        <v>0</v>
      </c>
      <c r="X1532" s="404" t="n">
        <v>1</v>
      </c>
      <c r="Y1532" s="404" t="n">
        <v>0</v>
      </c>
      <c r="Z1532" s="404" t="n"/>
      <c r="AA1532" s="404" t="n"/>
      <c r="AB1532" s="404" t="n"/>
    </row>
    <row r="1533">
      <c r="A1533" s="404" t="n">
        <v>50</v>
      </c>
      <c r="B1533" s="404" t="n">
        <v>0</v>
      </c>
      <c r="C1533" s="404" t="n">
        <v>0</v>
      </c>
      <c r="D1533" s="404" t="n">
        <v>1</v>
      </c>
      <c r="E1533" s="404" t="n">
        <v>223</v>
      </c>
      <c r="F1533" s="404">
        <f>ROUND(Source!AQ1523,O1533)</f>
        <v/>
      </c>
      <c r="G1533" s="404" t="inlineStr">
        <is>
          <t>ОборудЗак</t>
        </is>
      </c>
      <c r="H1533" s="404" t="inlineStr">
        <is>
          <t>Стоимость оборудования заказчика</t>
        </is>
      </c>
      <c r="I1533" s="404" t="n"/>
      <c r="J1533" s="404" t="n"/>
      <c r="K1533" s="404" t="n">
        <v>223</v>
      </c>
      <c r="L1533" s="404" t="n">
        <v>9</v>
      </c>
      <c r="M1533" s="404" t="n">
        <v>3</v>
      </c>
      <c r="N1533" s="404" t="inlineStr"/>
      <c r="O1533" s="404" t="n">
        <v>0</v>
      </c>
      <c r="P1533" s="404" t="n"/>
      <c r="Q1533" s="404" t="n"/>
      <c r="R1533" s="404" t="n"/>
      <c r="S1533" s="404" t="n"/>
      <c r="T1533" s="404" t="n"/>
      <c r="U1533" s="404" t="n"/>
      <c r="V1533" s="404" t="n"/>
      <c r="W1533" s="404" t="n">
        <v>0</v>
      </c>
      <c r="X1533" s="404" t="n">
        <v>1</v>
      </c>
      <c r="Y1533" s="404" t="n">
        <v>0</v>
      </c>
      <c r="Z1533" s="404" t="n"/>
      <c r="AA1533" s="404" t="n"/>
      <c r="AB1533" s="404" t="n"/>
    </row>
    <row r="1534">
      <c r="A1534" s="404" t="n">
        <v>50</v>
      </c>
      <c r="B1534" s="404" t="n">
        <v>0</v>
      </c>
      <c r="C1534" s="404" t="n">
        <v>0</v>
      </c>
      <c r="D1534" s="404" t="n">
        <v>1</v>
      </c>
      <c r="E1534" s="404" t="n">
        <v>229</v>
      </c>
      <c r="F1534" s="404">
        <f>ROUND(Source!AZ1523,O1534)</f>
        <v/>
      </c>
      <c r="G1534" s="404" t="inlineStr">
        <is>
          <t>ОборудПод</t>
        </is>
      </c>
      <c r="H1534" s="404" t="inlineStr">
        <is>
          <t>Стоимость оборудования подрядчика</t>
        </is>
      </c>
      <c r="I1534" s="404" t="n"/>
      <c r="J1534" s="404" t="n"/>
      <c r="K1534" s="404" t="n">
        <v>229</v>
      </c>
      <c r="L1534" s="404" t="n">
        <v>10</v>
      </c>
      <c r="M1534" s="404" t="n">
        <v>3</v>
      </c>
      <c r="N1534" s="404" t="inlineStr"/>
      <c r="O1534" s="404" t="n">
        <v>0</v>
      </c>
      <c r="P1534" s="404" t="n"/>
      <c r="Q1534" s="404" t="n"/>
      <c r="R1534" s="404" t="n"/>
      <c r="S1534" s="404" t="n"/>
      <c r="T1534" s="404" t="n"/>
      <c r="U1534" s="404" t="n"/>
      <c r="V1534" s="404" t="n"/>
      <c r="W1534" s="404" t="n">
        <v>0</v>
      </c>
      <c r="X1534" s="404" t="n">
        <v>1</v>
      </c>
      <c r="Y1534" s="404" t="n">
        <v>0</v>
      </c>
      <c r="Z1534" s="404" t="n"/>
      <c r="AA1534" s="404" t="n"/>
      <c r="AB1534" s="404" t="n"/>
    </row>
    <row r="1535">
      <c r="A1535" s="404" t="n">
        <v>50</v>
      </c>
      <c r="B1535" s="404" t="n">
        <v>0</v>
      </c>
      <c r="C1535" s="404" t="n">
        <v>0</v>
      </c>
      <c r="D1535" s="404" t="n">
        <v>1</v>
      </c>
      <c r="E1535" s="404" t="n">
        <v>203</v>
      </c>
      <c r="F1535" s="404">
        <f>ROUND(Source!Q1523,O1535)</f>
        <v/>
      </c>
      <c r="G1535" s="404" t="inlineStr">
        <is>
          <t>ЭММ</t>
        </is>
      </c>
      <c r="H1535" s="404" t="inlineStr">
        <is>
          <t>Эксплуатация машин</t>
        </is>
      </c>
      <c r="I1535" s="404" t="n"/>
      <c r="J1535" s="404" t="n"/>
      <c r="K1535" s="404" t="n">
        <v>203</v>
      </c>
      <c r="L1535" s="404" t="n">
        <v>11</v>
      </c>
      <c r="M1535" s="404" t="n">
        <v>3</v>
      </c>
      <c r="N1535" s="404" t="inlineStr"/>
      <c r="O1535" s="404" t="n">
        <v>0</v>
      </c>
      <c r="P1535" s="404" t="n"/>
      <c r="Q1535" s="404" t="n"/>
      <c r="R1535" s="404" t="n"/>
      <c r="S1535" s="404" t="n"/>
      <c r="T1535" s="404" t="n"/>
      <c r="U1535" s="404" t="n"/>
      <c r="V1535" s="404" t="n"/>
      <c r="W1535" s="404" t="n">
        <v>0</v>
      </c>
      <c r="X1535" s="404" t="n">
        <v>1</v>
      </c>
      <c r="Y1535" s="404" t="n">
        <v>0</v>
      </c>
      <c r="Z1535" s="404" t="n"/>
      <c r="AA1535" s="404" t="n"/>
      <c r="AB1535" s="404" t="n"/>
    </row>
    <row r="1536">
      <c r="A1536" s="404" t="n">
        <v>50</v>
      </c>
      <c r="B1536" s="404" t="n">
        <v>0</v>
      </c>
      <c r="C1536" s="404" t="n">
        <v>0</v>
      </c>
      <c r="D1536" s="404" t="n">
        <v>1</v>
      </c>
      <c r="E1536" s="404" t="n">
        <v>231</v>
      </c>
      <c r="F1536" s="404">
        <f>ROUND(Source!BB1523,O1536)</f>
        <v/>
      </c>
      <c r="G1536" s="404" t="inlineStr">
        <is>
          <t>ЭММсНРиСП</t>
        </is>
      </c>
      <c r="H1536" s="404" t="inlineStr">
        <is>
          <t>Эксплуатация машин по ТСН-2001.16</t>
        </is>
      </c>
      <c r="I1536" s="404" t="n"/>
      <c r="J1536" s="404" t="n"/>
      <c r="K1536" s="404" t="n">
        <v>231</v>
      </c>
      <c r="L1536" s="404" t="n">
        <v>12</v>
      </c>
      <c r="M1536" s="404" t="n">
        <v>3</v>
      </c>
      <c r="N1536" s="404" t="inlineStr"/>
      <c r="O1536" s="404" t="n">
        <v>0</v>
      </c>
      <c r="P1536" s="404" t="n"/>
      <c r="Q1536" s="404" t="n"/>
      <c r="R1536" s="404" t="n"/>
      <c r="S1536" s="404" t="n"/>
      <c r="T1536" s="404" t="n"/>
      <c r="U1536" s="404" t="n"/>
      <c r="V1536" s="404" t="n"/>
      <c r="W1536" s="404" t="n">
        <v>0</v>
      </c>
      <c r="X1536" s="404" t="n">
        <v>1</v>
      </c>
      <c r="Y1536" s="404" t="n">
        <v>0</v>
      </c>
      <c r="Z1536" s="404" t="n"/>
      <c r="AA1536" s="404" t="n"/>
      <c r="AB1536" s="404" t="n"/>
    </row>
    <row r="1537">
      <c r="A1537" s="404" t="n">
        <v>50</v>
      </c>
      <c r="B1537" s="404" t="n">
        <v>0</v>
      </c>
      <c r="C1537" s="404" t="n">
        <v>0</v>
      </c>
      <c r="D1537" s="404" t="n">
        <v>1</v>
      </c>
      <c r="E1537" s="404" t="n">
        <v>204</v>
      </c>
      <c r="F1537" s="404">
        <f>ROUND(Source!R1523,O1537)</f>
        <v/>
      </c>
      <c r="G1537" s="404" t="inlineStr">
        <is>
          <t>ЗПМ</t>
        </is>
      </c>
      <c r="H1537" s="404" t="inlineStr">
        <is>
          <t>ЗП машинистов</t>
        </is>
      </c>
      <c r="I1537" s="404" t="n"/>
      <c r="J1537" s="404" t="n"/>
      <c r="K1537" s="404" t="n">
        <v>204</v>
      </c>
      <c r="L1537" s="404" t="n">
        <v>13</v>
      </c>
      <c r="M1537" s="404" t="n">
        <v>3</v>
      </c>
      <c r="N1537" s="404" t="inlineStr"/>
      <c r="O1537" s="404" t="n">
        <v>0</v>
      </c>
      <c r="P1537" s="404" t="n"/>
      <c r="Q1537" s="404" t="n"/>
      <c r="R1537" s="404" t="n"/>
      <c r="S1537" s="404" t="n"/>
      <c r="T1537" s="404" t="n"/>
      <c r="U1537" s="404" t="n"/>
      <c r="V1537" s="404" t="n"/>
      <c r="W1537" s="404" t="n">
        <v>0</v>
      </c>
      <c r="X1537" s="404" t="n">
        <v>1</v>
      </c>
      <c r="Y1537" s="404" t="n">
        <v>0</v>
      </c>
      <c r="Z1537" s="404" t="n"/>
      <c r="AA1537" s="404" t="n"/>
      <c r="AB1537" s="404" t="n"/>
    </row>
    <row r="1538">
      <c r="A1538" s="404" t="n">
        <v>50</v>
      </c>
      <c r="B1538" s="404" t="n">
        <v>0</v>
      </c>
      <c r="C1538" s="404" t="n">
        <v>0</v>
      </c>
      <c r="D1538" s="404" t="n">
        <v>1</v>
      </c>
      <c r="E1538" s="404" t="n">
        <v>205</v>
      </c>
      <c r="F1538" s="404">
        <f>ROUND(Source!S1523,O1538)</f>
        <v/>
      </c>
      <c r="G1538" s="404" t="inlineStr">
        <is>
          <t>ОЗП</t>
        </is>
      </c>
      <c r="H1538" s="404" t="inlineStr">
        <is>
          <t>Основная ЗП рабочих</t>
        </is>
      </c>
      <c r="I1538" s="404" t="n"/>
      <c r="J1538" s="404" t="n"/>
      <c r="K1538" s="404" t="n">
        <v>205</v>
      </c>
      <c r="L1538" s="404" t="n">
        <v>14</v>
      </c>
      <c r="M1538" s="404" t="n">
        <v>3</v>
      </c>
      <c r="N1538" s="404" t="inlineStr"/>
      <c r="O1538" s="404" t="n">
        <v>0</v>
      </c>
      <c r="P1538" s="404" t="n"/>
      <c r="Q1538" s="404" t="n"/>
      <c r="R1538" s="404" t="n"/>
      <c r="S1538" s="404" t="n"/>
      <c r="T1538" s="404" t="n"/>
      <c r="U1538" s="404" t="n"/>
      <c r="V1538" s="404" t="n"/>
      <c r="W1538" s="404" t="n">
        <v>0</v>
      </c>
      <c r="X1538" s="404" t="n">
        <v>1</v>
      </c>
      <c r="Y1538" s="404" t="n">
        <v>0</v>
      </c>
      <c r="Z1538" s="404" t="n"/>
      <c r="AA1538" s="404" t="n"/>
      <c r="AB1538" s="404" t="n"/>
    </row>
    <row r="1539">
      <c r="A1539" s="404" t="n">
        <v>50</v>
      </c>
      <c r="B1539" s="404" t="n">
        <v>0</v>
      </c>
      <c r="C1539" s="404" t="n">
        <v>0</v>
      </c>
      <c r="D1539" s="404" t="n">
        <v>1</v>
      </c>
      <c r="E1539" s="404" t="n">
        <v>232</v>
      </c>
      <c r="F1539" s="404">
        <f>ROUND(Source!BC1523,O1539)</f>
        <v/>
      </c>
      <c r="G1539" s="404" t="inlineStr">
        <is>
          <t>ОЗПсНРиСП</t>
        </is>
      </c>
      <c r="H1539" s="404" t="inlineStr">
        <is>
          <t>Основная ЗП рабочих по ТСН-2001.16</t>
        </is>
      </c>
      <c r="I1539" s="404" t="n"/>
      <c r="J1539" s="404" t="n"/>
      <c r="K1539" s="404" t="n">
        <v>232</v>
      </c>
      <c r="L1539" s="404" t="n">
        <v>15</v>
      </c>
      <c r="M1539" s="404" t="n">
        <v>3</v>
      </c>
      <c r="N1539" s="404" t="inlineStr"/>
      <c r="O1539" s="404" t="n">
        <v>0</v>
      </c>
      <c r="P1539" s="404" t="n"/>
      <c r="Q1539" s="404" t="n"/>
      <c r="R1539" s="404" t="n"/>
      <c r="S1539" s="404" t="n"/>
      <c r="T1539" s="404" t="n"/>
      <c r="U1539" s="404" t="n"/>
      <c r="V1539" s="404" t="n"/>
      <c r="W1539" s="404" t="n">
        <v>0</v>
      </c>
      <c r="X1539" s="404" t="n">
        <v>1</v>
      </c>
      <c r="Y1539" s="404" t="n">
        <v>0</v>
      </c>
      <c r="Z1539" s="404" t="n"/>
      <c r="AA1539" s="404" t="n"/>
      <c r="AB1539" s="404" t="n"/>
    </row>
    <row r="1540">
      <c r="A1540" s="404" t="n">
        <v>50</v>
      </c>
      <c r="B1540" s="404" t="n">
        <v>0</v>
      </c>
      <c r="C1540" s="404" t="n">
        <v>0</v>
      </c>
      <c r="D1540" s="404" t="n">
        <v>1</v>
      </c>
      <c r="E1540" s="404" t="n">
        <v>214</v>
      </c>
      <c r="F1540" s="404">
        <f>ROUND(Source!AS1523,O1540)</f>
        <v/>
      </c>
      <c r="G1540" s="404" t="inlineStr">
        <is>
          <t>Строит</t>
        </is>
      </c>
      <c r="H1540" s="404" t="inlineStr">
        <is>
          <t>Строительные работы с НР и СП</t>
        </is>
      </c>
      <c r="I1540" s="404" t="n"/>
      <c r="J1540" s="404" t="n"/>
      <c r="K1540" s="404" t="n">
        <v>214</v>
      </c>
      <c r="L1540" s="404" t="n">
        <v>16</v>
      </c>
      <c r="M1540" s="404" t="n">
        <v>3</v>
      </c>
      <c r="N1540" s="404" t="inlineStr"/>
      <c r="O1540" s="404" t="n">
        <v>0</v>
      </c>
      <c r="P1540" s="404" t="n"/>
      <c r="Q1540" s="404" t="n"/>
      <c r="R1540" s="404" t="n"/>
      <c r="S1540" s="404" t="n"/>
      <c r="T1540" s="404" t="n"/>
      <c r="U1540" s="404" t="n"/>
      <c r="V1540" s="404" t="n"/>
      <c r="W1540" s="404" t="n">
        <v>0</v>
      </c>
      <c r="X1540" s="404" t="n">
        <v>1</v>
      </c>
      <c r="Y1540" s="404" t="n">
        <v>0</v>
      </c>
      <c r="Z1540" s="404" t="n"/>
      <c r="AA1540" s="404" t="n"/>
      <c r="AB1540" s="404" t="n"/>
    </row>
    <row r="1541">
      <c r="A1541" s="404" t="n">
        <v>50</v>
      </c>
      <c r="B1541" s="404" t="n">
        <v>0</v>
      </c>
      <c r="C1541" s="404" t="n">
        <v>0</v>
      </c>
      <c r="D1541" s="404" t="n">
        <v>1</v>
      </c>
      <c r="E1541" s="404" t="n">
        <v>215</v>
      </c>
      <c r="F1541" s="404">
        <f>ROUND(Source!AT1523,O1541)</f>
        <v/>
      </c>
      <c r="G1541" s="404" t="inlineStr">
        <is>
          <t>Монтаж</t>
        </is>
      </c>
      <c r="H1541" s="404" t="inlineStr">
        <is>
          <t>Монтажные работы с НР и СП</t>
        </is>
      </c>
      <c r="I1541" s="404" t="n"/>
      <c r="J1541" s="404" t="n"/>
      <c r="K1541" s="404" t="n">
        <v>215</v>
      </c>
      <c r="L1541" s="404" t="n">
        <v>17</v>
      </c>
      <c r="M1541" s="404" t="n">
        <v>3</v>
      </c>
      <c r="N1541" s="404" t="inlineStr"/>
      <c r="O1541" s="404" t="n">
        <v>0</v>
      </c>
      <c r="P1541" s="404" t="n"/>
      <c r="Q1541" s="404" t="n"/>
      <c r="R1541" s="404" t="n"/>
      <c r="S1541" s="404" t="n"/>
      <c r="T1541" s="404" t="n"/>
      <c r="U1541" s="404" t="n"/>
      <c r="V1541" s="404" t="n"/>
      <c r="W1541" s="404" t="n">
        <v>0</v>
      </c>
      <c r="X1541" s="404" t="n">
        <v>1</v>
      </c>
      <c r="Y1541" s="404" t="n">
        <v>0</v>
      </c>
      <c r="Z1541" s="404" t="n"/>
      <c r="AA1541" s="404" t="n"/>
      <c r="AB1541" s="404" t="n"/>
    </row>
    <row r="1542">
      <c r="A1542" s="404" t="n">
        <v>50</v>
      </c>
      <c r="B1542" s="404" t="n">
        <v>0</v>
      </c>
      <c r="C1542" s="404" t="n">
        <v>0</v>
      </c>
      <c r="D1542" s="404" t="n">
        <v>1</v>
      </c>
      <c r="E1542" s="404" t="n">
        <v>217</v>
      </c>
      <c r="F1542" s="404">
        <f>ROUND(Source!AU1523,O1542)</f>
        <v/>
      </c>
      <c r="G1542" s="404" t="inlineStr">
        <is>
          <t>Прочие</t>
        </is>
      </c>
      <c r="H1542" s="404" t="inlineStr">
        <is>
          <t>Прочие работы с НР и СП</t>
        </is>
      </c>
      <c r="I1542" s="404" t="n"/>
      <c r="J1542" s="404" t="n"/>
      <c r="K1542" s="404" t="n">
        <v>217</v>
      </c>
      <c r="L1542" s="404" t="n">
        <v>18</v>
      </c>
      <c r="M1542" s="404" t="n">
        <v>3</v>
      </c>
      <c r="N1542" s="404" t="inlineStr"/>
      <c r="O1542" s="404" t="n">
        <v>0</v>
      </c>
      <c r="P1542" s="404" t="n"/>
      <c r="Q1542" s="404" t="n"/>
      <c r="R1542" s="404" t="n"/>
      <c r="S1542" s="404" t="n"/>
      <c r="T1542" s="404" t="n"/>
      <c r="U1542" s="404" t="n"/>
      <c r="V1542" s="404" t="n"/>
      <c r="W1542" s="404" t="n">
        <v>0</v>
      </c>
      <c r="X1542" s="404" t="n">
        <v>1</v>
      </c>
      <c r="Y1542" s="404" t="n">
        <v>0</v>
      </c>
      <c r="Z1542" s="404" t="n"/>
      <c r="AA1542" s="404" t="n"/>
      <c r="AB1542" s="404" t="n"/>
    </row>
    <row r="1543">
      <c r="A1543" s="404" t="n">
        <v>50</v>
      </c>
      <c r="B1543" s="404" t="n">
        <v>0</v>
      </c>
      <c r="C1543" s="404" t="n">
        <v>0</v>
      </c>
      <c r="D1543" s="404" t="n">
        <v>1</v>
      </c>
      <c r="E1543" s="404" t="n">
        <v>230</v>
      </c>
      <c r="F1543" s="404">
        <f>ROUND(Source!BA1523,O1543)</f>
        <v/>
      </c>
      <c r="G1543" s="404" t="inlineStr">
        <is>
          <t>ПрочиеЗатр</t>
        </is>
      </c>
      <c r="H1543" s="404" t="inlineStr">
        <is>
          <t>Прочие затраты по ТСН-2001.16</t>
        </is>
      </c>
      <c r="I1543" s="404" t="n"/>
      <c r="J1543" s="404" t="n"/>
      <c r="K1543" s="404" t="n">
        <v>230</v>
      </c>
      <c r="L1543" s="404" t="n">
        <v>19</v>
      </c>
      <c r="M1543" s="404" t="n">
        <v>3</v>
      </c>
      <c r="N1543" s="404" t="inlineStr"/>
      <c r="O1543" s="404" t="n">
        <v>0</v>
      </c>
      <c r="P1543" s="404" t="n"/>
      <c r="Q1543" s="404" t="n"/>
      <c r="R1543" s="404" t="n"/>
      <c r="S1543" s="404" t="n"/>
      <c r="T1543" s="404" t="n"/>
      <c r="U1543" s="404" t="n"/>
      <c r="V1543" s="404" t="n"/>
      <c r="W1543" s="404" t="n">
        <v>0</v>
      </c>
      <c r="X1543" s="404" t="n">
        <v>1</v>
      </c>
      <c r="Y1543" s="404" t="n">
        <v>0</v>
      </c>
      <c r="Z1543" s="404" t="n"/>
      <c r="AA1543" s="404" t="n"/>
      <c r="AB1543" s="404" t="n"/>
    </row>
    <row r="1544">
      <c r="A1544" s="404" t="n">
        <v>50</v>
      </c>
      <c r="B1544" s="404" t="n">
        <v>0</v>
      </c>
      <c r="C1544" s="404" t="n">
        <v>0</v>
      </c>
      <c r="D1544" s="404" t="n">
        <v>1</v>
      </c>
      <c r="E1544" s="404" t="n">
        <v>206</v>
      </c>
      <c r="F1544" s="404">
        <f>ROUND(Source!T1523,O1544)</f>
        <v/>
      </c>
      <c r="G1544" s="404" t="inlineStr">
        <is>
          <t>ВозврМат</t>
        </is>
      </c>
      <c r="H1544" s="404" t="inlineStr">
        <is>
          <t>Возврат материалов</t>
        </is>
      </c>
      <c r="I1544" s="404" t="n"/>
      <c r="J1544" s="404" t="n"/>
      <c r="K1544" s="404" t="n">
        <v>206</v>
      </c>
      <c r="L1544" s="404" t="n">
        <v>20</v>
      </c>
      <c r="M1544" s="404" t="n">
        <v>3</v>
      </c>
      <c r="N1544" s="404" t="inlineStr"/>
      <c r="O1544" s="404" t="n">
        <v>0</v>
      </c>
      <c r="P1544" s="404" t="n"/>
      <c r="Q1544" s="404" t="n"/>
      <c r="R1544" s="404" t="n"/>
      <c r="S1544" s="404" t="n"/>
      <c r="T1544" s="404" t="n"/>
      <c r="U1544" s="404" t="n"/>
      <c r="V1544" s="404" t="n"/>
      <c r="W1544" s="404" t="n">
        <v>0</v>
      </c>
      <c r="X1544" s="404" t="n">
        <v>1</v>
      </c>
      <c r="Y1544" s="404" t="n">
        <v>0</v>
      </c>
      <c r="Z1544" s="404" t="n"/>
      <c r="AA1544" s="404" t="n"/>
      <c r="AB1544" s="404" t="n"/>
    </row>
    <row r="1545">
      <c r="A1545" s="404" t="n">
        <v>50</v>
      </c>
      <c r="B1545" s="404" t="n">
        <v>0</v>
      </c>
      <c r="C1545" s="404" t="n">
        <v>0</v>
      </c>
      <c r="D1545" s="404" t="n">
        <v>1</v>
      </c>
      <c r="E1545" s="404" t="n">
        <v>207</v>
      </c>
      <c r="F1545" s="404">
        <f>ROUND(Source!U1523,O1545)</f>
        <v/>
      </c>
      <c r="G1545" s="404" t="inlineStr">
        <is>
          <t>ТрудСтр</t>
        </is>
      </c>
      <c r="H1545" s="404" t="inlineStr">
        <is>
          <t>Трудозатраты строителей</t>
        </is>
      </c>
      <c r="I1545" s="404" t="n"/>
      <c r="J1545" s="404" t="n"/>
      <c r="K1545" s="404" t="n">
        <v>207</v>
      </c>
      <c r="L1545" s="404" t="n">
        <v>21</v>
      </c>
      <c r="M1545" s="404" t="n">
        <v>3</v>
      </c>
      <c r="N1545" s="404" t="inlineStr"/>
      <c r="O1545" s="404" t="n">
        <v>7</v>
      </c>
      <c r="P1545" s="404" t="n"/>
      <c r="Q1545" s="404" t="n"/>
      <c r="R1545" s="404" t="n"/>
      <c r="S1545" s="404" t="n"/>
      <c r="T1545" s="404" t="n"/>
      <c r="U1545" s="404" t="n"/>
      <c r="V1545" s="404" t="n"/>
      <c r="W1545" s="404" t="n">
        <v>0</v>
      </c>
      <c r="X1545" s="404" t="n">
        <v>1</v>
      </c>
      <c r="Y1545" s="404" t="n">
        <v>0</v>
      </c>
      <c r="Z1545" s="404" t="n"/>
      <c r="AA1545" s="404" t="n"/>
      <c r="AB1545" s="404" t="n"/>
    </row>
    <row r="1546">
      <c r="A1546" s="404" t="n">
        <v>50</v>
      </c>
      <c r="B1546" s="404" t="n">
        <v>0</v>
      </c>
      <c r="C1546" s="404" t="n">
        <v>0</v>
      </c>
      <c r="D1546" s="404" t="n">
        <v>1</v>
      </c>
      <c r="E1546" s="404" t="n">
        <v>208</v>
      </c>
      <c r="F1546" s="404">
        <f>ROUND(Source!V1523,O1546)</f>
        <v/>
      </c>
      <c r="G1546" s="404" t="inlineStr">
        <is>
          <t>ТрудМаш</t>
        </is>
      </c>
      <c r="H1546" s="404" t="inlineStr">
        <is>
          <t>Трудозатраты машинистов</t>
        </is>
      </c>
      <c r="I1546" s="404" t="n"/>
      <c r="J1546" s="404" t="n"/>
      <c r="K1546" s="404" t="n">
        <v>208</v>
      </c>
      <c r="L1546" s="404" t="n">
        <v>22</v>
      </c>
      <c r="M1546" s="404" t="n">
        <v>3</v>
      </c>
      <c r="N1546" s="404" t="inlineStr"/>
      <c r="O1546" s="404" t="n">
        <v>7</v>
      </c>
      <c r="P1546" s="404" t="n"/>
      <c r="Q1546" s="404" t="n"/>
      <c r="R1546" s="404" t="n"/>
      <c r="S1546" s="404" t="n"/>
      <c r="T1546" s="404" t="n"/>
      <c r="U1546" s="404" t="n"/>
      <c r="V1546" s="404" t="n"/>
      <c r="W1546" s="404" t="n">
        <v>0</v>
      </c>
      <c r="X1546" s="404" t="n">
        <v>1</v>
      </c>
      <c r="Y1546" s="404" t="n">
        <v>0</v>
      </c>
      <c r="Z1546" s="404" t="n"/>
      <c r="AA1546" s="404" t="n"/>
      <c r="AB1546" s="404" t="n"/>
    </row>
    <row r="1547">
      <c r="A1547" s="404" t="n">
        <v>50</v>
      </c>
      <c r="B1547" s="404" t="n">
        <v>0</v>
      </c>
      <c r="C1547" s="404" t="n">
        <v>0</v>
      </c>
      <c r="D1547" s="404" t="n">
        <v>1</v>
      </c>
      <c r="E1547" s="404" t="n">
        <v>209</v>
      </c>
      <c r="F1547" s="404">
        <f>ROUND(Source!W1523,O1547)</f>
        <v/>
      </c>
      <c r="G1547" s="404" t="inlineStr">
        <is>
          <t>ТранспМат</t>
        </is>
      </c>
      <c r="H1547" s="404" t="inlineStr">
        <is>
          <t>Транспорт материалов</t>
        </is>
      </c>
      <c r="I1547" s="404" t="n"/>
      <c r="J1547" s="404" t="n"/>
      <c r="K1547" s="404" t="n">
        <v>209</v>
      </c>
      <c r="L1547" s="404" t="n">
        <v>23</v>
      </c>
      <c r="M1547" s="404" t="n">
        <v>3</v>
      </c>
      <c r="N1547" s="404" t="inlineStr"/>
      <c r="O1547" s="404" t="n">
        <v>0</v>
      </c>
      <c r="P1547" s="404" t="n"/>
      <c r="Q1547" s="404" t="n"/>
      <c r="R1547" s="404" t="n"/>
      <c r="S1547" s="404" t="n"/>
      <c r="T1547" s="404" t="n"/>
      <c r="U1547" s="404" t="n"/>
      <c r="V1547" s="404" t="n"/>
      <c r="W1547" s="404" t="n">
        <v>0</v>
      </c>
      <c r="X1547" s="404" t="n">
        <v>1</v>
      </c>
      <c r="Y1547" s="404" t="n">
        <v>0</v>
      </c>
      <c r="Z1547" s="404" t="n"/>
      <c r="AA1547" s="404" t="n"/>
      <c r="AB1547" s="404" t="n"/>
    </row>
    <row r="1548">
      <c r="A1548" s="404" t="n">
        <v>50</v>
      </c>
      <c r="B1548" s="404" t="n">
        <v>0</v>
      </c>
      <c r="C1548" s="404" t="n">
        <v>0</v>
      </c>
      <c r="D1548" s="404" t="n">
        <v>1</v>
      </c>
      <c r="E1548" s="404" t="n">
        <v>233</v>
      </c>
      <c r="F1548" s="404">
        <f>ROUND(Source!BD1523,O1548)</f>
        <v/>
      </c>
      <c r="G1548" s="404" t="inlineStr">
        <is>
          <t>Перевозка</t>
        </is>
      </c>
      <c r="H1548" s="404" t="inlineStr">
        <is>
          <t>Перевозка грузов</t>
        </is>
      </c>
      <c r="I1548" s="404" t="n"/>
      <c r="J1548" s="404" t="n"/>
      <c r="K1548" s="404" t="n">
        <v>233</v>
      </c>
      <c r="L1548" s="404" t="n">
        <v>24</v>
      </c>
      <c r="M1548" s="404" t="n">
        <v>3</v>
      </c>
      <c r="N1548" s="404" t="inlineStr"/>
      <c r="O1548" s="404" t="n">
        <v>0</v>
      </c>
      <c r="P1548" s="404" t="n"/>
      <c r="Q1548" s="404" t="n"/>
      <c r="R1548" s="404" t="n"/>
      <c r="S1548" s="404" t="n"/>
      <c r="T1548" s="404" t="n"/>
      <c r="U1548" s="404" t="n"/>
      <c r="V1548" s="404" t="n"/>
      <c r="W1548" s="404" t="n">
        <v>0</v>
      </c>
      <c r="X1548" s="404" t="n">
        <v>1</v>
      </c>
      <c r="Y1548" s="404" t="n">
        <v>0</v>
      </c>
      <c r="Z1548" s="404" t="n"/>
      <c r="AA1548" s="404" t="n"/>
      <c r="AB1548" s="404" t="n"/>
    </row>
    <row r="1549">
      <c r="A1549" s="404" t="n">
        <v>50</v>
      </c>
      <c r="B1549" s="404" t="n">
        <v>0</v>
      </c>
      <c r="C1549" s="404" t="n">
        <v>0</v>
      </c>
      <c r="D1549" s="404" t="n">
        <v>1</v>
      </c>
      <c r="E1549" s="404" t="n">
        <v>210</v>
      </c>
      <c r="F1549" s="404">
        <f>ROUND(Source!X1523,O1549)</f>
        <v/>
      </c>
      <c r="G1549" s="404" t="inlineStr">
        <is>
          <t>НР</t>
        </is>
      </c>
      <c r="H1549" s="404" t="inlineStr">
        <is>
          <t>Накладные расходы</t>
        </is>
      </c>
      <c r="I1549" s="404" t="n"/>
      <c r="J1549" s="404" t="n"/>
      <c r="K1549" s="404" t="n">
        <v>210</v>
      </c>
      <c r="L1549" s="404" t="n">
        <v>25</v>
      </c>
      <c r="M1549" s="404" t="n">
        <v>3</v>
      </c>
      <c r="N1549" s="404" t="inlineStr"/>
      <c r="O1549" s="404" t="n">
        <v>0</v>
      </c>
      <c r="P1549" s="404" t="n"/>
      <c r="Q1549" s="404" t="n"/>
      <c r="R1549" s="404" t="n"/>
      <c r="S1549" s="404" t="n"/>
      <c r="T1549" s="404" t="n"/>
      <c r="U1549" s="404" t="n"/>
      <c r="V1549" s="404" t="n"/>
      <c r="W1549" s="404" t="n">
        <v>0</v>
      </c>
      <c r="X1549" s="404" t="n">
        <v>1</v>
      </c>
      <c r="Y1549" s="404" t="n">
        <v>0</v>
      </c>
      <c r="Z1549" s="404" t="n"/>
      <c r="AA1549" s="404" t="n"/>
      <c r="AB1549" s="404" t="n"/>
    </row>
    <row r="1550">
      <c r="A1550" s="404" t="n">
        <v>50</v>
      </c>
      <c r="B1550" s="404" t="n">
        <v>0</v>
      </c>
      <c r="C1550" s="404" t="n">
        <v>0</v>
      </c>
      <c r="D1550" s="404" t="n">
        <v>1</v>
      </c>
      <c r="E1550" s="404" t="n">
        <v>211</v>
      </c>
      <c r="F1550" s="404">
        <f>ROUND(Source!Y1523,O1550)</f>
        <v/>
      </c>
      <c r="G1550" s="404" t="inlineStr">
        <is>
          <t>СмПриб</t>
        </is>
      </c>
      <c r="H1550" s="404" t="inlineStr">
        <is>
          <t>Сметная прибыль</t>
        </is>
      </c>
      <c r="I1550" s="404" t="n"/>
      <c r="J1550" s="404" t="n"/>
      <c r="K1550" s="404" t="n">
        <v>211</v>
      </c>
      <c r="L1550" s="404" t="n">
        <v>26</v>
      </c>
      <c r="M1550" s="404" t="n">
        <v>3</v>
      </c>
      <c r="N1550" s="404" t="inlineStr"/>
      <c r="O1550" s="404" t="n">
        <v>0</v>
      </c>
      <c r="P1550" s="404" t="n"/>
      <c r="Q1550" s="404" t="n"/>
      <c r="R1550" s="404" t="n"/>
      <c r="S1550" s="404" t="n"/>
      <c r="T1550" s="404" t="n"/>
      <c r="U1550" s="404" t="n"/>
      <c r="V1550" s="404" t="n"/>
      <c r="W1550" s="404" t="n">
        <v>0</v>
      </c>
      <c r="X1550" s="404" t="n">
        <v>1</v>
      </c>
      <c r="Y1550" s="404" t="n">
        <v>0</v>
      </c>
      <c r="Z1550" s="404" t="n"/>
      <c r="AA1550" s="404" t="n"/>
      <c r="AB1550" s="404" t="n"/>
    </row>
    <row r="1551">
      <c r="A1551" s="404" t="n">
        <v>50</v>
      </c>
      <c r="B1551" s="404" t="n">
        <v>0</v>
      </c>
      <c r="C1551" s="404" t="n">
        <v>0</v>
      </c>
      <c r="D1551" s="404" t="n">
        <v>1</v>
      </c>
      <c r="E1551" s="404" t="n">
        <v>224</v>
      </c>
      <c r="F1551" s="404">
        <f>ROUND(Source!AR1523,O1551)</f>
        <v/>
      </c>
      <c r="G1551" s="404" t="inlineStr">
        <is>
          <t>Всего</t>
        </is>
      </c>
      <c r="H1551" s="404" t="inlineStr">
        <is>
          <t>Всего с НР и СП</t>
        </is>
      </c>
      <c r="I1551" s="404" t="n"/>
      <c r="J1551" s="404" t="n"/>
      <c r="K1551" s="404" t="n">
        <v>224</v>
      </c>
      <c r="L1551" s="404" t="n">
        <v>27</v>
      </c>
      <c r="M1551" s="404" t="n">
        <v>3</v>
      </c>
      <c r="N1551" s="404" t="inlineStr"/>
      <c r="O1551" s="404" t="n">
        <v>0</v>
      </c>
      <c r="P1551" s="404" t="n"/>
      <c r="Q1551" s="404" t="n"/>
      <c r="R1551" s="404" t="n"/>
      <c r="S1551" s="404" t="n"/>
      <c r="T1551" s="404" t="n"/>
      <c r="U1551" s="404" t="n"/>
      <c r="V1551" s="404" t="n"/>
      <c r="W1551" s="404" t="n">
        <v>0</v>
      </c>
      <c r="X1551" s="404" t="n">
        <v>1</v>
      </c>
      <c r="Y1551" s="404" t="n">
        <v>0</v>
      </c>
      <c r="Z1551" s="404" t="n"/>
      <c r="AA1551" s="404" t="n"/>
      <c r="AB1551" s="404" t="n"/>
    </row>
    <row r="1552">
      <c r="A1552" s="404" t="n">
        <v>50</v>
      </c>
      <c r="B1552" s="404" t="n">
        <v>0</v>
      </c>
      <c r="C1552" s="404" t="n">
        <v>0</v>
      </c>
      <c r="D1552" s="404" t="n">
        <v>2</v>
      </c>
      <c r="E1552" s="404" t="n">
        <v>0</v>
      </c>
      <c r="F1552" s="404">
        <f>ROUND(F1551,O1552)</f>
        <v/>
      </c>
      <c r="G1552" s="404" t="inlineStr">
        <is>
          <t>и1</t>
        </is>
      </c>
      <c r="H1552" s="404" t="inlineStr">
        <is>
          <t>Итого</t>
        </is>
      </c>
      <c r="I1552" s="404" t="n"/>
      <c r="J1552" s="404" t="n"/>
      <c r="K1552" s="404" t="n">
        <v>212</v>
      </c>
      <c r="L1552" s="404" t="n">
        <v>28</v>
      </c>
      <c r="M1552" s="404" t="n">
        <v>0</v>
      </c>
      <c r="N1552" s="404" t="inlineStr"/>
      <c r="O1552" s="404" t="n">
        <v>0</v>
      </c>
      <c r="P1552" s="404" t="n"/>
      <c r="Q1552" s="404" t="n"/>
      <c r="R1552" s="404" t="n"/>
      <c r="S1552" s="404" t="n"/>
      <c r="T1552" s="404" t="n"/>
      <c r="U1552" s="404" t="n"/>
      <c r="V1552" s="404" t="n"/>
      <c r="W1552" s="404" t="n">
        <v>0</v>
      </c>
      <c r="X1552" s="404" t="n">
        <v>1</v>
      </c>
      <c r="Y1552" s="404" t="n">
        <v>0</v>
      </c>
      <c r="Z1552" s="404" t="n"/>
      <c r="AA1552" s="404" t="n"/>
      <c r="AB1552" s="404" t="n"/>
    </row>
    <row r="1553">
      <c r="A1553" s="404" t="n">
        <v>50</v>
      </c>
      <c r="B1553" s="404" t="n">
        <v>0</v>
      </c>
      <c r="C1553" s="404" t="n">
        <v>0</v>
      </c>
      <c r="D1553" s="404" t="n">
        <v>2</v>
      </c>
      <c r="E1553" s="404" t="n">
        <v>0</v>
      </c>
      <c r="F1553" s="404">
        <f>ROUND(F1552*0.22,O1553)</f>
        <v/>
      </c>
      <c r="G1553" s="404" t="inlineStr">
        <is>
          <t>и2</t>
        </is>
      </c>
      <c r="H1553" s="404" t="inlineStr">
        <is>
          <t>НДС 22%</t>
        </is>
      </c>
      <c r="I1553" s="404" t="n"/>
      <c r="J1553" s="404" t="n"/>
      <c r="K1553" s="404" t="n">
        <v>212</v>
      </c>
      <c r="L1553" s="404" t="n">
        <v>29</v>
      </c>
      <c r="M1553" s="404" t="n">
        <v>0</v>
      </c>
      <c r="N1553" s="404" t="inlineStr"/>
      <c r="O1553" s="404" t="n">
        <v>0</v>
      </c>
      <c r="P1553" s="404" t="n"/>
      <c r="Q1553" s="404" t="n"/>
      <c r="R1553" s="404" t="n"/>
      <c r="S1553" s="404" t="n"/>
      <c r="T1553" s="404" t="n"/>
      <c r="U1553" s="404" t="n"/>
      <c r="V1553" s="404" t="n"/>
      <c r="W1553" s="404" t="n">
        <v>0</v>
      </c>
      <c r="X1553" s="404" t="n">
        <v>1</v>
      </c>
      <c r="Y1553" s="404" t="n">
        <v>0</v>
      </c>
      <c r="Z1553" s="404" t="n"/>
      <c r="AA1553" s="404" t="n"/>
      <c r="AB1553" s="404" t="n"/>
    </row>
    <row r="1554">
      <c r="A1554" s="404" t="n">
        <v>50</v>
      </c>
      <c r="B1554" s="404" t="n">
        <v>0</v>
      </c>
      <c r="C1554" s="404" t="n">
        <v>0</v>
      </c>
      <c r="D1554" s="404" t="n">
        <v>2</v>
      </c>
      <c r="E1554" s="404" t="n">
        <v>213</v>
      </c>
      <c r="F1554" s="404">
        <f>ROUND(F1552+F1553,O1554)</f>
        <v/>
      </c>
      <c r="G1554" s="404" t="inlineStr">
        <is>
          <t>и3</t>
        </is>
      </c>
      <c r="H1554" s="404" t="inlineStr">
        <is>
          <t>Всего</t>
        </is>
      </c>
      <c r="I1554" s="404" t="n"/>
      <c r="J1554" s="404" t="n"/>
      <c r="K1554" s="404" t="n">
        <v>212</v>
      </c>
      <c r="L1554" s="404" t="n">
        <v>30</v>
      </c>
      <c r="M1554" s="404" t="n">
        <v>0</v>
      </c>
      <c r="N1554" s="404" t="inlineStr"/>
      <c r="O1554" s="404" t="n">
        <v>0</v>
      </c>
      <c r="P1554" s="404" t="n"/>
      <c r="Q1554" s="404" t="n"/>
      <c r="R1554" s="404" t="n"/>
      <c r="S1554" s="404" t="n"/>
      <c r="T1554" s="404" t="n"/>
      <c r="U1554" s="404" t="n"/>
      <c r="V1554" s="404" t="n"/>
      <c r="W1554" s="404" t="n">
        <v>0</v>
      </c>
      <c r="X1554" s="404" t="n">
        <v>1</v>
      </c>
      <c r="Y1554" s="404" t="n">
        <v>0</v>
      </c>
      <c r="Z1554" s="404" t="n"/>
      <c r="AA1554" s="404" t="n"/>
      <c r="AB1554" s="404" t="n"/>
    </row>
    <row r="1555"/>
    <row r="1556">
      <c r="A1556" s="402" t="n">
        <v>51</v>
      </c>
      <c r="B1556" s="402">
        <f>B12</f>
        <v/>
      </c>
      <c r="C1556" s="402">
        <f>A12</f>
        <v/>
      </c>
      <c r="D1556" s="402">
        <f>ROW(A12)</f>
        <v/>
      </c>
      <c r="E1556" s="402" t="n"/>
      <c r="F1556" s="402">
        <f>IF(F12&lt;&gt;"",F12,"")</f>
        <v/>
      </c>
      <c r="G1556" s="402">
        <f>IF(G12&lt;&gt;"",G12,"")</f>
        <v/>
      </c>
      <c r="H1556" s="402" t="n">
        <v>0</v>
      </c>
      <c r="I1556" s="402" t="n"/>
      <c r="J1556" s="402" t="n"/>
      <c r="K1556" s="402" t="n"/>
      <c r="L1556" s="402" t="n"/>
      <c r="M1556" s="402" t="n"/>
      <c r="N1556" s="402" t="n"/>
      <c r="O1556" s="402">
        <f>ROUND(O29+O80+O122+O162+O207+O252+O297+O342+O387+O432+O481+O521+O564+O621+O675+O717+O760+O801+O850+O890+O930+O970+O1009+O1048+O1088+O1130+O1169+O1221+O1263+O1306+O1348+O1390+O1438+O1480+O1523,0)</f>
        <v/>
      </c>
      <c r="P1556" s="402">
        <f>ROUND(P29+P80+P122+P162+P207+P252+P297+P342+P387+P432+P481+P521+P564+P621+P675+P717+P760+P801+P850+P890+P930+P970+P1009+P1048+P1088+P1130+P1169+P1221+P1263+P1306+P1348+P1390+P1438+P1480+P1523,0)</f>
        <v/>
      </c>
      <c r="Q1556" s="402">
        <f>ROUND(Q29+Q80+Q122+Q162+Q207+Q252+Q297+Q342+Q387+Q432+Q481+Q521+Q564+Q621+Q675+Q717+Q760+Q801+Q850+Q890+Q930+Q970+Q1009+Q1048+Q1088+Q1130+Q1169+Q1221+Q1263+Q1306+Q1348+Q1390+Q1438+Q1480+Q1523,0)</f>
        <v/>
      </c>
      <c r="R1556" s="402">
        <f>ROUND(R29+R80+R122+R162+R207+R252+R297+R342+R387+R432+R481+R521+R564+R621+R675+R717+R760+R801+R850+R890+R930+R970+R1009+R1048+R1088+R1130+R1169+R1221+R1263+R1306+R1348+R1390+R1438+R1480+R1523,0)</f>
        <v/>
      </c>
      <c r="S1556" s="402">
        <f>ROUND(S29+S80+S122+S162+S207+S252+S297+S342+S387+S432+S481+S521+S564+S621+S675+S717+S760+S801+S850+S890+S930+S970+S1009+S1048+S1088+S1130+S1169+S1221+S1263+S1306+S1348+S1390+S1438+S1480+S1523,0)</f>
        <v/>
      </c>
      <c r="T1556" s="402">
        <f>ROUND(T29+T80+T122+T162+T207+T252+T297+T342+T387+T432+T481+T521+T564+T621+T675+T717+T760+T801+T850+T890+T930+T970+T1009+T1048+T1088+T1130+T1169+T1221+T1263+T1306+T1348+T1390+T1438+T1480+T1523,0)</f>
        <v/>
      </c>
      <c r="U1556" s="402">
        <f>U29+U80+U122+U162+U207+U252+U297+U342+U387+U432+U481+U521+U564+U621+U675+U717+U760+U801+U850+U890+U930+U970+U1009+U1048+U1088+U1130+U1169+U1221+U1263+U1306+U1348+U1390+U1438+U1480+U1523</f>
        <v/>
      </c>
      <c r="V1556" s="402">
        <f>V29+V80+V122+V162+V207+V252+V297+V342+V387+V432+V481+V521+V564+V621+V675+V717+V760+V801+V850+V890+V930+V970+V1009+V1048+V1088+V1130+V1169+V1221+V1263+V1306+V1348+V1390+V1438+V1480+V1523</f>
        <v/>
      </c>
      <c r="W1556" s="402">
        <f>ROUND(W29+W80+W122+W162+W207+W252+W297+W342+W387+W432+W481+W521+W564+W621+W675+W717+W760+W801+W850+W890+W930+W970+W1009+W1048+W1088+W1130+W1169+W1221+W1263+W1306+W1348+W1390+W1438+W1480+W1523,0)</f>
        <v/>
      </c>
      <c r="X1556" s="402">
        <f>ROUND(X29+X80+X122+X162+X207+X252+X297+X342+X387+X432+X481+X521+X564+X621+X675+X717+X760+X801+X850+X890+X930+X970+X1009+X1048+X1088+X1130+X1169+X1221+X1263+X1306+X1348+X1390+X1438+X1480+X1523,0)</f>
        <v/>
      </c>
      <c r="Y1556" s="402">
        <f>ROUND(Y29+Y80+Y122+Y162+Y207+Y252+Y297+Y342+Y387+Y432+Y481+Y521+Y564+Y621+Y675+Y717+Y760+Y801+Y850+Y890+Y930+Y970+Y1009+Y1048+Y1088+Y1130+Y1169+Y1221+Y1263+Y1306+Y1348+Y1390+Y1438+Y1480+Y1523,0)</f>
        <v/>
      </c>
      <c r="Z1556" s="402" t="n"/>
      <c r="AA1556" s="402" t="n"/>
      <c r="AB1556" s="402" t="n"/>
      <c r="AC1556" s="402" t="n"/>
      <c r="AD1556" s="402" t="n"/>
      <c r="AE1556" s="402" t="n"/>
      <c r="AF1556" s="402" t="n"/>
      <c r="AG1556" s="402" t="n"/>
      <c r="AH1556" s="402" t="n"/>
      <c r="AI1556" s="402" t="n"/>
      <c r="AJ1556" s="402" t="n"/>
      <c r="AK1556" s="402" t="n"/>
      <c r="AL1556" s="402" t="n"/>
      <c r="AM1556" s="402" t="n"/>
      <c r="AN1556" s="402" t="n"/>
      <c r="AO1556" s="402">
        <f>ROUND(AO29+AO80+AO122+AO162+AO207+AO252+AO297+AO342+AO387+AO432+AO481+AO521+AO564+AO621+AO675+AO717+AO760+AO801+AO850+AO890+AO930+AO970+AO1009+AO1048+AO1088+AO1130+AO1169+AO1221+AO1263+AO1306+AO1348+AO1390+AO1438+AO1480+AO1523,0)</f>
        <v/>
      </c>
      <c r="AP1556" s="402">
        <f>ROUND(AP29+AP80+AP122+AP162+AP207+AP252+AP297+AP342+AP387+AP432+AP481+AP521+AP564+AP621+AP675+AP717+AP760+AP801+AP850+AP890+AP930+AP970+AP1009+AP1048+AP1088+AP1130+AP1169+AP1221+AP1263+AP1306+AP1348+AP1390+AP1438+AP1480+AP1523,0)</f>
        <v/>
      </c>
      <c r="AQ1556" s="402">
        <f>ROUND(AQ29+AQ80+AQ122+AQ162+AQ207+AQ252+AQ297+AQ342+AQ387+AQ432+AQ481+AQ521+AQ564+AQ621+AQ675+AQ717+AQ760+AQ801+AQ850+AQ890+AQ930+AQ970+AQ1009+AQ1048+AQ1088+AQ1130+AQ1169+AQ1221+AQ1263+AQ1306+AQ1348+AQ1390+AQ1438+AQ1480+AQ1523,0)</f>
        <v/>
      </c>
      <c r="AR1556" s="402">
        <f>ROUND(AR29+AR80+AR122+AR162+AR207+AR252+AR297+AR342+AR387+AR432+AR481+AR521+AR564+AR621+AR675+AR717+AR760+AR801+AR850+AR890+AR930+AR970+AR1009+AR1048+AR1088+AR1130+AR1169+AR1221+AR1263+AR1306+AR1348+AR1390+AR1438+AR1480+AR1523,0)</f>
        <v/>
      </c>
      <c r="AS1556" s="402">
        <f>ROUND(AS29+AS80+AS122+AS162+AS207+AS252+AS297+AS342+AS387+AS432+AS481+AS521+AS564+AS621+AS675+AS717+AS760+AS801+AS850+AS890+AS930+AS970+AS1009+AS1048+AS1088+AS1130+AS1169+AS1221+AS1263+AS1306+AS1348+AS1390+AS1438+AS1480+AS1523,0)</f>
        <v/>
      </c>
      <c r="AT1556" s="402">
        <f>ROUND(AT29+AT80+AT122+AT162+AT207+AT252+AT297+AT342+AT387+AT432+AT481+AT521+AT564+AT621+AT675+AT717+AT760+AT801+AT850+AT890+AT930+AT970+AT1009+AT1048+AT1088+AT1130+AT1169+AT1221+AT1263+AT1306+AT1348+AT1390+AT1438+AT1480+AT1523,0)</f>
        <v/>
      </c>
      <c r="AU1556" s="402">
        <f>ROUND(AU29+AU80+AU122+AU162+AU207+AU252+AU297+AU342+AU387+AU432+AU481+AU521+AU564+AU621+AU675+AU717+AU760+AU801+AU850+AU890+AU930+AU970+AU1009+AU1048+AU1088+AU1130+AU1169+AU1221+AU1263+AU1306+AU1348+AU1390+AU1438+AU1480+AU1523,0)</f>
        <v/>
      </c>
      <c r="AV1556" s="402">
        <f>ROUND(AV29+AV80+AV122+AV162+AV207+AV252+AV297+AV342+AV387+AV432+AV481+AV521+AV564+AV621+AV675+AV717+AV760+AV801+AV850+AV890+AV930+AV970+AV1009+AV1048+AV1088+AV1130+AV1169+AV1221+AV1263+AV1306+AV1348+AV1390+AV1438+AV1480+AV1523,0)</f>
        <v/>
      </c>
      <c r="AW1556" s="402">
        <f>ROUND(AW29+AW80+AW122+AW162+AW207+AW252+AW297+AW342+AW387+AW432+AW481+AW521+AW564+AW621+AW675+AW717+AW760+AW801+AW850+AW890+AW930+AW970+AW1009+AW1048+AW1088+AW1130+AW1169+AW1221+AW1263+AW1306+AW1348+AW1390+AW1438+AW1480+AW1523,0)</f>
        <v/>
      </c>
      <c r="AX1556" s="402">
        <f>ROUND(AX29+AX80+AX122+AX162+AX207+AX252+AX297+AX342+AX387+AX432+AX481+AX521+AX564+AX621+AX675+AX717+AX760+AX801+AX850+AX890+AX930+AX970+AX1009+AX1048+AX1088+AX1130+AX1169+AX1221+AX1263+AX1306+AX1348+AX1390+AX1438+AX1480+AX1523,0)</f>
        <v/>
      </c>
      <c r="AY1556" s="402">
        <f>ROUND(AY29+AY80+AY122+AY162+AY207+AY252+AY297+AY342+AY387+AY432+AY481+AY521+AY564+AY621+AY675+AY717+AY760+AY801+AY850+AY890+AY930+AY970+AY1009+AY1048+AY1088+AY1130+AY1169+AY1221+AY1263+AY1306+AY1348+AY1390+AY1438+AY1480+AY1523,0)</f>
        <v/>
      </c>
      <c r="AZ1556" s="402">
        <f>ROUND(AZ29+AZ80+AZ122+AZ162+AZ207+AZ252+AZ297+AZ342+AZ387+AZ432+AZ481+AZ521+AZ564+AZ621+AZ675+AZ717+AZ760+AZ801+AZ850+AZ890+AZ930+AZ970+AZ1009+AZ1048+AZ1088+AZ1130+AZ1169+AZ1221+AZ1263+AZ1306+AZ1348+AZ1390+AZ1438+AZ1480+AZ1523,0)</f>
        <v/>
      </c>
      <c r="BA1556" s="402">
        <f>ROUND(BA29+BA80+BA122+BA162+BA207+BA252+BA297+BA342+BA387+BA432+BA481+BA521+BA564+BA621+BA675+BA717+BA760+BA801+BA850+BA890+BA930+BA970+BA1009+BA1048+BA1088+BA1130+BA1169+BA1221+BA1263+BA1306+BA1348+BA1390+BA1438+BA1480+BA1523,0)</f>
        <v/>
      </c>
      <c r="BB1556" s="402">
        <f>ROUND(BB29+BB80+BB122+BB162+BB207+BB252+BB297+BB342+BB387+BB432+BB481+BB521+BB564+BB621+BB675+BB717+BB760+BB801+BB850+BB890+BB930+BB970+BB1009+BB1048+BB1088+BB1130+BB1169+BB1221+BB1263+BB1306+BB1348+BB1390+BB1438+BB1480+BB1523,0)</f>
        <v/>
      </c>
      <c r="BC1556" s="402">
        <f>ROUND(BC29+BC80+BC122+BC162+BC207+BC252+BC297+BC342+BC387+BC432+BC481+BC521+BC564+BC621+BC675+BC717+BC760+BC801+BC850+BC890+BC930+BC970+BC1009+BC1048+BC1088+BC1130+BC1169+BC1221+BC1263+BC1306+BC1348+BC1390+BC1438+BC1480+BC1523,0)</f>
        <v/>
      </c>
      <c r="BD1556" s="402">
        <f>ROUND(BD29+BD80+BD122+BD162+BD207+BD252+BD297+BD342+BD387+BD432+BD481+BD521+BD564+BD621+BD675+BD717+BD760+BD801+BD850+BD890+BD930+BD970+BD1009+BD1048+BD1088+BD1130+BD1169+BD1221+BD1263+BD1306+BD1348+BD1390+BD1438+BD1480+BD1523,0)</f>
        <v/>
      </c>
      <c r="BE1556" s="402" t="n"/>
      <c r="BF1556" s="402" t="n"/>
      <c r="BG1556" s="402" t="n"/>
      <c r="BH1556" s="402" t="n"/>
      <c r="BI1556" s="402" t="n"/>
      <c r="BJ1556" s="402" t="n"/>
      <c r="BK1556" s="402" t="n"/>
      <c r="BL1556" s="402" t="n"/>
      <c r="BM1556" s="402" t="n"/>
      <c r="BN1556" s="402" t="n"/>
      <c r="BO1556" s="402" t="n"/>
      <c r="BP1556" s="402" t="n"/>
      <c r="BQ1556" s="402" t="n"/>
      <c r="BR1556" s="402" t="n"/>
      <c r="BS1556" s="402" t="n"/>
      <c r="BT1556" s="402" t="n"/>
      <c r="BU1556" s="402" t="n"/>
      <c r="BV1556" s="402" t="n"/>
      <c r="BW1556" s="402" t="n"/>
      <c r="BX1556" s="402" t="n"/>
      <c r="BY1556" s="402" t="n"/>
      <c r="BZ1556" s="402" t="n"/>
      <c r="CA1556" s="402" t="n"/>
      <c r="CB1556" s="402" t="n"/>
      <c r="CC1556" s="402" t="n"/>
      <c r="CD1556" s="402" t="n"/>
      <c r="CE1556" s="402" t="n"/>
      <c r="CF1556" s="402" t="n"/>
      <c r="CG1556" s="402" t="n"/>
      <c r="CH1556" s="402" t="n"/>
      <c r="CI1556" s="402" t="n"/>
      <c r="CJ1556" s="402" t="n"/>
      <c r="CK1556" s="402" t="n"/>
      <c r="CL1556" s="402" t="n"/>
      <c r="CM1556" s="402" t="n"/>
      <c r="CN1556" s="402" t="n"/>
      <c r="CO1556" s="402" t="n"/>
      <c r="CP1556" s="402" t="n"/>
      <c r="CQ1556" s="402" t="n"/>
      <c r="CR1556" s="402" t="n"/>
      <c r="CS1556" s="402" t="n"/>
      <c r="CT1556" s="402" t="n"/>
      <c r="CU1556" s="402" t="n"/>
      <c r="CV1556" s="402" t="n"/>
      <c r="CW1556" s="402" t="n"/>
      <c r="CX1556" s="402" t="n"/>
      <c r="CY1556" s="402" t="n"/>
      <c r="CZ1556" s="402" t="n"/>
      <c r="DA1556" s="402" t="n"/>
      <c r="DB1556" s="402" t="n"/>
      <c r="DC1556" s="402" t="n"/>
      <c r="DD1556" s="402" t="n"/>
      <c r="DE1556" s="402" t="n"/>
      <c r="DF1556" s="402" t="n"/>
      <c r="DG1556" s="403" t="n"/>
      <c r="DH1556" s="403" t="n"/>
      <c r="DI1556" s="403" t="n"/>
      <c r="DJ1556" s="403" t="n"/>
      <c r="DK1556" s="403" t="n"/>
      <c r="DL1556" s="403" t="n"/>
      <c r="DM1556" s="403" t="n"/>
      <c r="DN1556" s="403" t="n"/>
      <c r="DO1556" s="403" t="n"/>
      <c r="DP1556" s="403" t="n"/>
      <c r="DQ1556" s="403" t="n"/>
      <c r="DR1556" s="403" t="n"/>
      <c r="DS1556" s="403" t="n"/>
      <c r="DT1556" s="403" t="n"/>
      <c r="DU1556" s="403" t="n"/>
      <c r="DV1556" s="403" t="n"/>
      <c r="DW1556" s="403" t="n"/>
      <c r="DX1556" s="403" t="n"/>
      <c r="DY1556" s="403" t="n"/>
      <c r="DZ1556" s="403" t="n"/>
      <c r="EA1556" s="403" t="n"/>
      <c r="EB1556" s="403" t="n"/>
      <c r="EC1556" s="403" t="n"/>
      <c r="ED1556" s="403" t="n"/>
      <c r="EE1556" s="403" t="n"/>
      <c r="EF1556" s="403" t="n"/>
      <c r="EG1556" s="403" t="n"/>
      <c r="EH1556" s="403" t="n"/>
      <c r="EI1556" s="403" t="n"/>
      <c r="EJ1556" s="403" t="n"/>
      <c r="EK1556" s="403" t="n"/>
      <c r="EL1556" s="403" t="n"/>
      <c r="EM1556" s="403" t="n"/>
      <c r="EN1556" s="403" t="n"/>
      <c r="EO1556" s="403" t="n"/>
      <c r="EP1556" s="403" t="n"/>
      <c r="EQ1556" s="403" t="n"/>
      <c r="ER1556" s="403" t="n"/>
      <c r="ES1556" s="403" t="n"/>
      <c r="ET1556" s="403" t="n"/>
      <c r="EU1556" s="403" t="n"/>
      <c r="EV1556" s="403" t="n"/>
      <c r="EW1556" s="403" t="n"/>
      <c r="EX1556" s="403" t="n"/>
      <c r="EY1556" s="403" t="n"/>
      <c r="EZ1556" s="403" t="n"/>
      <c r="FA1556" s="403" t="n"/>
      <c r="FB1556" s="403" t="n"/>
      <c r="FC1556" s="403" t="n"/>
      <c r="FD1556" s="403" t="n"/>
      <c r="FE1556" s="403" t="n"/>
      <c r="FF1556" s="403" t="n"/>
      <c r="FG1556" s="403" t="n"/>
      <c r="FH1556" s="403" t="n"/>
      <c r="FI1556" s="403" t="n"/>
      <c r="FJ1556" s="403" t="n"/>
      <c r="FK1556" s="403" t="n"/>
      <c r="FL1556" s="403" t="n"/>
      <c r="FM1556" s="403" t="n"/>
      <c r="FN1556" s="403" t="n"/>
      <c r="FO1556" s="403" t="n"/>
      <c r="FP1556" s="403" t="n"/>
      <c r="FQ1556" s="403" t="n"/>
      <c r="FR1556" s="403" t="n"/>
      <c r="FS1556" s="403" t="n"/>
      <c r="FT1556" s="403" t="n"/>
      <c r="FU1556" s="403" t="n"/>
      <c r="FV1556" s="403" t="n"/>
      <c r="FW1556" s="403" t="n"/>
      <c r="FX1556" s="403" t="n"/>
      <c r="FY1556" s="403" t="n"/>
      <c r="FZ1556" s="403" t="n"/>
      <c r="GA1556" s="403" t="n"/>
      <c r="GB1556" s="403" t="n"/>
      <c r="GC1556" s="403" t="n"/>
      <c r="GD1556" s="403" t="n"/>
      <c r="GE1556" s="403" t="n"/>
      <c r="GF1556" s="403" t="n"/>
      <c r="GG1556" s="403" t="n"/>
      <c r="GH1556" s="403" t="n"/>
      <c r="GI1556" s="403" t="n"/>
      <c r="GJ1556" s="403" t="n"/>
      <c r="GK1556" s="403" t="n"/>
      <c r="GL1556" s="403" t="n"/>
      <c r="GM1556" s="403" t="n"/>
      <c r="GN1556" s="403" t="n"/>
      <c r="GO1556" s="403" t="n"/>
      <c r="GP1556" s="403" t="n"/>
      <c r="GQ1556" s="403" t="n"/>
      <c r="GR1556" s="403" t="n"/>
      <c r="GS1556" s="403" t="n"/>
      <c r="GT1556" s="403" t="n"/>
      <c r="GU1556" s="403" t="n"/>
      <c r="GV1556" s="403" t="n"/>
      <c r="GW1556" s="403" t="n"/>
      <c r="GX1556" s="403" t="n">
        <v>0</v>
      </c>
    </row>
    <row r="1557"/>
    <row r="1558">
      <c r="A1558" s="404" t="n">
        <v>50</v>
      </c>
      <c r="B1558" s="404" t="n">
        <v>0</v>
      </c>
      <c r="C1558" s="404" t="n">
        <v>0</v>
      </c>
      <c r="D1558" s="404" t="n">
        <v>1</v>
      </c>
      <c r="E1558" s="404" t="n">
        <v>201</v>
      </c>
      <c r="F1558" s="404">
        <f>ROUND(Source!O1556,O1558)</f>
        <v/>
      </c>
      <c r="G1558" s="404" t="inlineStr">
        <is>
          <t>ПЗ</t>
        </is>
      </c>
      <c r="H1558" s="404" t="inlineStr">
        <is>
          <t>Прямые затраты</t>
        </is>
      </c>
      <c r="I1558" s="404" t="n"/>
      <c r="J1558" s="404" t="n"/>
      <c r="K1558" s="404" t="n">
        <v>201</v>
      </c>
      <c r="L1558" s="404" t="n">
        <v>1</v>
      </c>
      <c r="M1558" s="404" t="n">
        <v>3</v>
      </c>
      <c r="N1558" s="404" t="inlineStr"/>
      <c r="O1558" s="404" t="n">
        <v>0</v>
      </c>
      <c r="P1558" s="404" t="n"/>
      <c r="Q1558" s="404" t="n"/>
      <c r="R1558" s="404" t="n"/>
      <c r="S1558" s="404" t="n"/>
      <c r="T1558" s="404" t="n"/>
      <c r="U1558" s="404" t="n"/>
      <c r="V1558" s="404" t="n"/>
      <c r="W1558" s="404" t="n">
        <v>31301</v>
      </c>
      <c r="X1558" s="404" t="n">
        <v>1</v>
      </c>
      <c r="Y1558" s="404" t="n">
        <v>31301</v>
      </c>
      <c r="Z1558" s="404" t="n"/>
      <c r="AA1558" s="404" t="n"/>
      <c r="AB1558" s="404" t="n"/>
    </row>
    <row r="1559">
      <c r="A1559" s="404" t="n">
        <v>50</v>
      </c>
      <c r="B1559" s="404" t="n">
        <v>0</v>
      </c>
      <c r="C1559" s="404" t="n">
        <v>0</v>
      </c>
      <c r="D1559" s="404" t="n">
        <v>1</v>
      </c>
      <c r="E1559" s="404" t="n">
        <v>202</v>
      </c>
      <c r="F1559" s="404">
        <f>ROUND(Source!P1556,O1559)</f>
        <v/>
      </c>
      <c r="G1559" s="404" t="inlineStr">
        <is>
          <t>СтМатОб</t>
        </is>
      </c>
      <c r="H1559" s="404" t="inlineStr">
        <is>
          <t>Стоимость материальных ресурсов (всего)</t>
        </is>
      </c>
      <c r="I1559" s="404" t="n"/>
      <c r="J1559" s="404" t="n"/>
      <c r="K1559" s="404" t="n">
        <v>202</v>
      </c>
      <c r="L1559" s="404" t="n">
        <v>2</v>
      </c>
      <c r="M1559" s="404" t="n">
        <v>3</v>
      </c>
      <c r="N1559" s="404" t="inlineStr"/>
      <c r="O1559" s="404" t="n">
        <v>0</v>
      </c>
      <c r="P1559" s="404" t="n"/>
      <c r="Q1559" s="404" t="n"/>
      <c r="R1559" s="404" t="n"/>
      <c r="S1559" s="404" t="n"/>
      <c r="T1559" s="404" t="n"/>
      <c r="U1559" s="404" t="n"/>
      <c r="V1559" s="404" t="n"/>
      <c r="W1559" s="404" t="n">
        <v>3663</v>
      </c>
      <c r="X1559" s="404" t="n">
        <v>1</v>
      </c>
      <c r="Y1559" s="404" t="n">
        <v>3663</v>
      </c>
      <c r="Z1559" s="404" t="n"/>
      <c r="AA1559" s="404" t="n"/>
      <c r="AB1559" s="404" t="n"/>
    </row>
    <row r="1560">
      <c r="A1560" s="404" t="n">
        <v>50</v>
      </c>
      <c r="B1560" s="404" t="n">
        <v>0</v>
      </c>
      <c r="C1560" s="404" t="n">
        <v>0</v>
      </c>
      <c r="D1560" s="404" t="n">
        <v>1</v>
      </c>
      <c r="E1560" s="404" t="n">
        <v>222</v>
      </c>
      <c r="F1560" s="404">
        <f>ROUND(Source!AO1556,O1560)</f>
        <v/>
      </c>
      <c r="G1560" s="404" t="inlineStr">
        <is>
          <t>СтМатОбЗак</t>
        </is>
      </c>
      <c r="H1560" s="404" t="inlineStr">
        <is>
          <t>Стоимость материалов и оборудования заказчика</t>
        </is>
      </c>
      <c r="I1560" s="404" t="n"/>
      <c r="J1560" s="404" t="n"/>
      <c r="K1560" s="404" t="n">
        <v>222</v>
      </c>
      <c r="L1560" s="404" t="n">
        <v>3</v>
      </c>
      <c r="M1560" s="404" t="n">
        <v>3</v>
      </c>
      <c r="N1560" s="404" t="inlineStr"/>
      <c r="O1560" s="404" t="n">
        <v>0</v>
      </c>
      <c r="P1560" s="404" t="n"/>
      <c r="Q1560" s="404" t="n"/>
      <c r="R1560" s="404" t="n"/>
      <c r="S1560" s="404" t="n"/>
      <c r="T1560" s="404" t="n"/>
      <c r="U1560" s="404" t="n"/>
      <c r="V1560" s="404" t="n"/>
      <c r="W1560" s="404" t="n">
        <v>0</v>
      </c>
      <c r="X1560" s="404" t="n">
        <v>1</v>
      </c>
      <c r="Y1560" s="404" t="n">
        <v>0</v>
      </c>
      <c r="Z1560" s="404" t="n"/>
      <c r="AA1560" s="404" t="n"/>
      <c r="AB1560" s="404" t="n"/>
    </row>
    <row r="1561">
      <c r="A1561" s="404" t="n">
        <v>50</v>
      </c>
      <c r="B1561" s="404" t="n">
        <v>0</v>
      </c>
      <c r="C1561" s="404" t="n">
        <v>0</v>
      </c>
      <c r="D1561" s="404" t="n">
        <v>1</v>
      </c>
      <c r="E1561" s="404" t="n">
        <v>225</v>
      </c>
      <c r="F1561" s="404">
        <f>ROUND(Source!AV1556,O1561)</f>
        <v/>
      </c>
      <c r="G1561" s="404" t="inlineStr">
        <is>
          <t>СтМатОбПод</t>
        </is>
      </c>
      <c r="H1561" s="404" t="inlineStr">
        <is>
          <t>Стоимость материалов и оборудования подрядчика</t>
        </is>
      </c>
      <c r="I1561" s="404" t="n"/>
      <c r="J1561" s="404" t="n"/>
      <c r="K1561" s="404" t="n">
        <v>225</v>
      </c>
      <c r="L1561" s="404" t="n">
        <v>4</v>
      </c>
      <c r="M1561" s="404" t="n">
        <v>3</v>
      </c>
      <c r="N1561" s="404" t="inlineStr"/>
      <c r="O1561" s="404" t="n">
        <v>0</v>
      </c>
      <c r="P1561" s="404" t="n"/>
      <c r="Q1561" s="404" t="n"/>
      <c r="R1561" s="404" t="n"/>
      <c r="S1561" s="404" t="n"/>
      <c r="T1561" s="404" t="n"/>
      <c r="U1561" s="404" t="n"/>
      <c r="V1561" s="404" t="n"/>
      <c r="W1561" s="404" t="n">
        <v>3663</v>
      </c>
      <c r="X1561" s="404" t="n">
        <v>1</v>
      </c>
      <c r="Y1561" s="404" t="n">
        <v>3663</v>
      </c>
      <c r="Z1561" s="404" t="n"/>
      <c r="AA1561" s="404" t="n"/>
      <c r="AB1561" s="404" t="n"/>
    </row>
    <row r="1562">
      <c r="A1562" s="404" t="n">
        <v>50</v>
      </c>
      <c r="B1562" s="404" t="n">
        <v>0</v>
      </c>
      <c r="C1562" s="404" t="n">
        <v>0</v>
      </c>
      <c r="D1562" s="404" t="n">
        <v>1</v>
      </c>
      <c r="E1562" s="404" t="n">
        <v>226</v>
      </c>
      <c r="F1562" s="404">
        <f>ROUND(Source!AW1556,O1562)</f>
        <v/>
      </c>
      <c r="G1562" s="404" t="inlineStr">
        <is>
          <t>СтМат</t>
        </is>
      </c>
      <c r="H1562" s="404" t="inlineStr">
        <is>
          <t>Стоимость материалов (всего)</t>
        </is>
      </c>
      <c r="I1562" s="404" t="n"/>
      <c r="J1562" s="404" t="n"/>
      <c r="K1562" s="404" t="n">
        <v>226</v>
      </c>
      <c r="L1562" s="404" t="n">
        <v>5</v>
      </c>
      <c r="M1562" s="404" t="n">
        <v>3</v>
      </c>
      <c r="N1562" s="404" t="inlineStr"/>
      <c r="O1562" s="404" t="n">
        <v>0</v>
      </c>
      <c r="P1562" s="404" t="n"/>
      <c r="Q1562" s="404" t="n"/>
      <c r="R1562" s="404" t="n"/>
      <c r="S1562" s="404" t="n"/>
      <c r="T1562" s="404" t="n"/>
      <c r="U1562" s="404" t="n"/>
      <c r="V1562" s="404" t="n"/>
      <c r="W1562" s="404" t="n">
        <v>3663</v>
      </c>
      <c r="X1562" s="404" t="n">
        <v>1</v>
      </c>
      <c r="Y1562" s="404" t="n">
        <v>3663</v>
      </c>
      <c r="Z1562" s="404" t="n"/>
      <c r="AA1562" s="404" t="n"/>
      <c r="AB1562" s="404" t="n"/>
    </row>
    <row r="1563">
      <c r="A1563" s="404" t="n">
        <v>50</v>
      </c>
      <c r="B1563" s="404" t="n">
        <v>0</v>
      </c>
      <c r="C1563" s="404" t="n">
        <v>0</v>
      </c>
      <c r="D1563" s="404" t="n">
        <v>1</v>
      </c>
      <c r="E1563" s="404" t="n">
        <v>227</v>
      </c>
      <c r="F1563" s="404">
        <f>ROUND(Source!AX1556,O1563)</f>
        <v/>
      </c>
      <c r="G1563" s="404" t="inlineStr">
        <is>
          <t>СтМатЗак</t>
        </is>
      </c>
      <c r="H1563" s="404" t="inlineStr">
        <is>
          <t>Стоимость материалов заказчика</t>
        </is>
      </c>
      <c r="I1563" s="404" t="n"/>
      <c r="J1563" s="404" t="n"/>
      <c r="K1563" s="404" t="n">
        <v>227</v>
      </c>
      <c r="L1563" s="404" t="n">
        <v>6</v>
      </c>
      <c r="M1563" s="404" t="n">
        <v>3</v>
      </c>
      <c r="N1563" s="404" t="inlineStr"/>
      <c r="O1563" s="404" t="n">
        <v>0</v>
      </c>
      <c r="P1563" s="404" t="n"/>
      <c r="Q1563" s="404" t="n"/>
      <c r="R1563" s="404" t="n"/>
      <c r="S1563" s="404" t="n"/>
      <c r="T1563" s="404" t="n"/>
      <c r="U1563" s="404" t="n"/>
      <c r="V1563" s="404" t="n"/>
      <c r="W1563" s="404" t="n">
        <v>0</v>
      </c>
      <c r="X1563" s="404" t="n">
        <v>1</v>
      </c>
      <c r="Y1563" s="404" t="n">
        <v>0</v>
      </c>
      <c r="Z1563" s="404" t="n"/>
      <c r="AA1563" s="404" t="n"/>
      <c r="AB1563" s="404" t="n"/>
    </row>
    <row r="1564">
      <c r="A1564" s="404" t="n">
        <v>50</v>
      </c>
      <c r="B1564" s="404" t="n">
        <v>0</v>
      </c>
      <c r="C1564" s="404" t="n">
        <v>0</v>
      </c>
      <c r="D1564" s="404" t="n">
        <v>1</v>
      </c>
      <c r="E1564" s="404" t="n">
        <v>228</v>
      </c>
      <c r="F1564" s="404">
        <f>ROUND(Source!AY1556,O1564)</f>
        <v/>
      </c>
      <c r="G1564" s="404" t="inlineStr">
        <is>
          <t>СтМатПод</t>
        </is>
      </c>
      <c r="H1564" s="404" t="inlineStr">
        <is>
          <t>Стоимость материалов подрядчика</t>
        </is>
      </c>
      <c r="I1564" s="404" t="n"/>
      <c r="J1564" s="404" t="n"/>
      <c r="K1564" s="404" t="n">
        <v>228</v>
      </c>
      <c r="L1564" s="404" t="n">
        <v>7</v>
      </c>
      <c r="M1564" s="404" t="n">
        <v>3</v>
      </c>
      <c r="N1564" s="404" t="inlineStr"/>
      <c r="O1564" s="404" t="n">
        <v>0</v>
      </c>
      <c r="P1564" s="404" t="n"/>
      <c r="Q1564" s="404" t="n"/>
      <c r="R1564" s="404" t="n"/>
      <c r="S1564" s="404" t="n"/>
      <c r="T1564" s="404" t="n"/>
      <c r="U1564" s="404" t="n"/>
      <c r="V1564" s="404" t="n"/>
      <c r="W1564" s="404" t="n">
        <v>3663</v>
      </c>
      <c r="X1564" s="404" t="n">
        <v>1</v>
      </c>
      <c r="Y1564" s="404" t="n">
        <v>3663</v>
      </c>
      <c r="Z1564" s="404" t="n"/>
      <c r="AA1564" s="404" t="n"/>
      <c r="AB1564" s="404" t="n"/>
    </row>
    <row r="1565">
      <c r="A1565" s="404" t="n">
        <v>50</v>
      </c>
      <c r="B1565" s="404" t="n">
        <v>0</v>
      </c>
      <c r="C1565" s="404" t="n">
        <v>0</v>
      </c>
      <c r="D1565" s="404" t="n">
        <v>1</v>
      </c>
      <c r="E1565" s="404" t="n">
        <v>216</v>
      </c>
      <c r="F1565" s="404">
        <f>ROUND(Source!AP1556,O1565)</f>
        <v/>
      </c>
      <c r="G1565" s="404" t="inlineStr">
        <is>
          <t>Оборуд</t>
        </is>
      </c>
      <c r="H1565" s="404" t="inlineStr">
        <is>
          <t>Стоимость оборудования (всего)</t>
        </is>
      </c>
      <c r="I1565" s="404" t="n"/>
      <c r="J1565" s="404" t="n"/>
      <c r="K1565" s="404" t="n">
        <v>216</v>
      </c>
      <c r="L1565" s="404" t="n">
        <v>8</v>
      </c>
      <c r="M1565" s="404" t="n">
        <v>3</v>
      </c>
      <c r="N1565" s="404" t="inlineStr"/>
      <c r="O1565" s="404" t="n">
        <v>0</v>
      </c>
      <c r="P1565" s="404" t="n"/>
      <c r="Q1565" s="404" t="n"/>
      <c r="R1565" s="404" t="n"/>
      <c r="S1565" s="404" t="n"/>
      <c r="T1565" s="404" t="n"/>
      <c r="U1565" s="404" t="n"/>
      <c r="V1565" s="404" t="n"/>
      <c r="W1565" s="404" t="n">
        <v>0</v>
      </c>
      <c r="X1565" s="404" t="n">
        <v>1</v>
      </c>
      <c r="Y1565" s="404" t="n">
        <v>0</v>
      </c>
      <c r="Z1565" s="404" t="n"/>
      <c r="AA1565" s="404" t="n"/>
      <c r="AB1565" s="404" t="n"/>
    </row>
    <row r="1566">
      <c r="A1566" s="404" t="n">
        <v>50</v>
      </c>
      <c r="B1566" s="404" t="n">
        <v>0</v>
      </c>
      <c r="C1566" s="404" t="n">
        <v>0</v>
      </c>
      <c r="D1566" s="404" t="n">
        <v>1</v>
      </c>
      <c r="E1566" s="404" t="n">
        <v>223</v>
      </c>
      <c r="F1566" s="404">
        <f>ROUND(Source!AQ1556,O1566)</f>
        <v/>
      </c>
      <c r="G1566" s="404" t="inlineStr">
        <is>
          <t>ОборудЗак</t>
        </is>
      </c>
      <c r="H1566" s="404" t="inlineStr">
        <is>
          <t>Стоимость оборудования заказчика</t>
        </is>
      </c>
      <c r="I1566" s="404" t="n"/>
      <c r="J1566" s="404" t="n"/>
      <c r="K1566" s="404" t="n">
        <v>223</v>
      </c>
      <c r="L1566" s="404" t="n">
        <v>9</v>
      </c>
      <c r="M1566" s="404" t="n">
        <v>3</v>
      </c>
      <c r="N1566" s="404" t="inlineStr"/>
      <c r="O1566" s="404" t="n">
        <v>0</v>
      </c>
      <c r="P1566" s="404" t="n"/>
      <c r="Q1566" s="404" t="n"/>
      <c r="R1566" s="404" t="n"/>
      <c r="S1566" s="404" t="n"/>
      <c r="T1566" s="404" t="n"/>
      <c r="U1566" s="404" t="n"/>
      <c r="V1566" s="404" t="n"/>
      <c r="W1566" s="404" t="n">
        <v>0</v>
      </c>
      <c r="X1566" s="404" t="n">
        <v>1</v>
      </c>
      <c r="Y1566" s="404" t="n">
        <v>0</v>
      </c>
      <c r="Z1566" s="404" t="n"/>
      <c r="AA1566" s="404" t="n"/>
      <c r="AB1566" s="404" t="n"/>
    </row>
    <row r="1567">
      <c r="A1567" s="404" t="n">
        <v>50</v>
      </c>
      <c r="B1567" s="404" t="n">
        <v>0</v>
      </c>
      <c r="C1567" s="404" t="n">
        <v>0</v>
      </c>
      <c r="D1567" s="404" t="n">
        <v>1</v>
      </c>
      <c r="E1567" s="404" t="n">
        <v>229</v>
      </c>
      <c r="F1567" s="404">
        <f>ROUND(Source!AZ1556,O1567)</f>
        <v/>
      </c>
      <c r="G1567" s="404" t="inlineStr">
        <is>
          <t>ОборудПод</t>
        </is>
      </c>
      <c r="H1567" s="404" t="inlineStr">
        <is>
          <t>Стоимость оборудования подрядчика</t>
        </is>
      </c>
      <c r="I1567" s="404" t="n"/>
      <c r="J1567" s="404" t="n"/>
      <c r="K1567" s="404" t="n">
        <v>229</v>
      </c>
      <c r="L1567" s="404" t="n">
        <v>10</v>
      </c>
      <c r="M1567" s="404" t="n">
        <v>3</v>
      </c>
      <c r="N1567" s="404" t="inlineStr"/>
      <c r="O1567" s="404" t="n">
        <v>0</v>
      </c>
      <c r="P1567" s="404" t="n"/>
      <c r="Q1567" s="404" t="n"/>
      <c r="R1567" s="404" t="n"/>
      <c r="S1567" s="404" t="n"/>
      <c r="T1567" s="404" t="n"/>
      <c r="U1567" s="404" t="n"/>
      <c r="V1567" s="404" t="n"/>
      <c r="W1567" s="404" t="n">
        <v>0</v>
      </c>
      <c r="X1567" s="404" t="n">
        <v>1</v>
      </c>
      <c r="Y1567" s="404" t="n">
        <v>0</v>
      </c>
      <c r="Z1567" s="404" t="n"/>
      <c r="AA1567" s="404" t="n"/>
      <c r="AB1567" s="404" t="n"/>
    </row>
    <row r="1568">
      <c r="A1568" s="404" t="n">
        <v>50</v>
      </c>
      <c r="B1568" s="404" t="n">
        <v>0</v>
      </c>
      <c r="C1568" s="404" t="n">
        <v>0</v>
      </c>
      <c r="D1568" s="404" t="n">
        <v>1</v>
      </c>
      <c r="E1568" s="404" t="n">
        <v>203</v>
      </c>
      <c r="F1568" s="404">
        <f>ROUND(Source!Q1556,O1568)</f>
        <v/>
      </c>
      <c r="G1568" s="404" t="inlineStr">
        <is>
          <t>ЭММ</t>
        </is>
      </c>
      <c r="H1568" s="404" t="inlineStr">
        <is>
          <t>Эксплуатация машин</t>
        </is>
      </c>
      <c r="I1568" s="404" t="n"/>
      <c r="J1568" s="404" t="n"/>
      <c r="K1568" s="404" t="n">
        <v>203</v>
      </c>
      <c r="L1568" s="404" t="n">
        <v>11</v>
      </c>
      <c r="M1568" s="404" t="n">
        <v>3</v>
      </c>
      <c r="N1568" s="404" t="inlineStr"/>
      <c r="O1568" s="404" t="n">
        <v>0</v>
      </c>
      <c r="P1568" s="404" t="n"/>
      <c r="Q1568" s="404" t="n"/>
      <c r="R1568" s="404" t="n"/>
      <c r="S1568" s="404" t="n"/>
      <c r="T1568" s="404" t="n"/>
      <c r="U1568" s="404" t="n"/>
      <c r="V1568" s="404" t="n"/>
      <c r="W1568" s="404" t="n">
        <v>1311</v>
      </c>
      <c r="X1568" s="404" t="n">
        <v>1</v>
      </c>
      <c r="Y1568" s="404" t="n">
        <v>1311</v>
      </c>
      <c r="Z1568" s="404" t="n"/>
      <c r="AA1568" s="404" t="n"/>
      <c r="AB1568" s="404" t="n"/>
    </row>
    <row r="1569">
      <c r="A1569" s="404" t="n">
        <v>50</v>
      </c>
      <c r="B1569" s="404" t="n">
        <v>0</v>
      </c>
      <c r="C1569" s="404" t="n">
        <v>0</v>
      </c>
      <c r="D1569" s="404" t="n">
        <v>1</v>
      </c>
      <c r="E1569" s="404" t="n">
        <v>231</v>
      </c>
      <c r="F1569" s="404">
        <f>ROUND(Source!BB1556,O1569)</f>
        <v/>
      </c>
      <c r="G1569" s="404" t="inlineStr">
        <is>
          <t>ЭММсНРиСП</t>
        </is>
      </c>
      <c r="H1569" s="404" t="inlineStr">
        <is>
          <t>Эксплуатация машин по ТСН-2001.16</t>
        </is>
      </c>
      <c r="I1569" s="404" t="n"/>
      <c r="J1569" s="404" t="n"/>
      <c r="K1569" s="404" t="n">
        <v>231</v>
      </c>
      <c r="L1569" s="404" t="n">
        <v>12</v>
      </c>
      <c r="M1569" s="404" t="n">
        <v>3</v>
      </c>
      <c r="N1569" s="404" t="inlineStr"/>
      <c r="O1569" s="404" t="n">
        <v>0</v>
      </c>
      <c r="P1569" s="404" t="n"/>
      <c r="Q1569" s="404" t="n"/>
      <c r="R1569" s="404" t="n"/>
      <c r="S1569" s="404" t="n"/>
      <c r="T1569" s="404" t="n"/>
      <c r="U1569" s="404" t="n"/>
      <c r="V1569" s="404" t="n"/>
      <c r="W1569" s="404" t="n">
        <v>0</v>
      </c>
      <c r="X1569" s="404" t="n">
        <v>1</v>
      </c>
      <c r="Y1569" s="404" t="n">
        <v>0</v>
      </c>
      <c r="Z1569" s="404" t="n"/>
      <c r="AA1569" s="404" t="n"/>
      <c r="AB1569" s="404" t="n"/>
    </row>
    <row r="1570">
      <c r="A1570" s="404" t="n">
        <v>50</v>
      </c>
      <c r="B1570" s="404" t="n">
        <v>0</v>
      </c>
      <c r="C1570" s="404" t="n">
        <v>0</v>
      </c>
      <c r="D1570" s="404" t="n">
        <v>1</v>
      </c>
      <c r="E1570" s="404" t="n">
        <v>204</v>
      </c>
      <c r="F1570" s="404">
        <f>ROUND(Source!R1556,O1570)</f>
        <v/>
      </c>
      <c r="G1570" s="404" t="inlineStr">
        <is>
          <t>ЗПМ</t>
        </is>
      </c>
      <c r="H1570" s="404" t="inlineStr">
        <is>
          <t>ЗП машинистов</t>
        </is>
      </c>
      <c r="I1570" s="404" t="n"/>
      <c r="J1570" s="404" t="n"/>
      <c r="K1570" s="404" t="n">
        <v>204</v>
      </c>
      <c r="L1570" s="404" t="n">
        <v>13</v>
      </c>
      <c r="M1570" s="404" t="n">
        <v>3</v>
      </c>
      <c r="N1570" s="404" t="inlineStr"/>
      <c r="O1570" s="404" t="n">
        <v>0</v>
      </c>
      <c r="P1570" s="404" t="n"/>
      <c r="Q1570" s="404" t="n"/>
      <c r="R1570" s="404" t="n"/>
      <c r="S1570" s="404" t="n"/>
      <c r="T1570" s="404" t="n"/>
      <c r="U1570" s="404" t="n"/>
      <c r="V1570" s="404" t="n"/>
      <c r="W1570" s="404" t="n">
        <v>261</v>
      </c>
      <c r="X1570" s="404" t="n">
        <v>1</v>
      </c>
      <c r="Y1570" s="404" t="n">
        <v>261</v>
      </c>
      <c r="Z1570" s="404" t="n"/>
      <c r="AA1570" s="404" t="n"/>
      <c r="AB1570" s="404" t="n"/>
    </row>
    <row r="1571">
      <c r="A1571" s="404" t="n">
        <v>50</v>
      </c>
      <c r="B1571" s="404" t="n">
        <v>0</v>
      </c>
      <c r="C1571" s="404" t="n">
        <v>0</v>
      </c>
      <c r="D1571" s="404" t="n">
        <v>1</v>
      </c>
      <c r="E1571" s="404" t="n">
        <v>205</v>
      </c>
      <c r="F1571" s="404">
        <f>ROUND(Source!S1556,O1571)</f>
        <v/>
      </c>
      <c r="G1571" s="404" t="inlineStr">
        <is>
          <t>ОЗП</t>
        </is>
      </c>
      <c r="H1571" s="404" t="inlineStr">
        <is>
          <t>Основная ЗП рабочих</t>
        </is>
      </c>
      <c r="I1571" s="404" t="n"/>
      <c r="J1571" s="404" t="n"/>
      <c r="K1571" s="404" t="n">
        <v>205</v>
      </c>
      <c r="L1571" s="404" t="n">
        <v>14</v>
      </c>
      <c r="M1571" s="404" t="n">
        <v>3</v>
      </c>
      <c r="N1571" s="404" t="inlineStr"/>
      <c r="O1571" s="404" t="n">
        <v>0</v>
      </c>
      <c r="P1571" s="404" t="n"/>
      <c r="Q1571" s="404" t="n"/>
      <c r="R1571" s="404" t="n"/>
      <c r="S1571" s="404" t="n"/>
      <c r="T1571" s="404" t="n"/>
      <c r="U1571" s="404" t="n"/>
      <c r="V1571" s="404" t="n"/>
      <c r="W1571" s="404" t="n">
        <v>26327</v>
      </c>
      <c r="X1571" s="404" t="n">
        <v>1</v>
      </c>
      <c r="Y1571" s="404" t="n">
        <v>26327</v>
      </c>
      <c r="Z1571" s="404" t="n"/>
      <c r="AA1571" s="404" t="n"/>
      <c r="AB1571" s="404" t="n"/>
    </row>
    <row r="1572">
      <c r="A1572" s="404" t="n">
        <v>50</v>
      </c>
      <c r="B1572" s="404" t="n">
        <v>0</v>
      </c>
      <c r="C1572" s="404" t="n">
        <v>0</v>
      </c>
      <c r="D1572" s="404" t="n">
        <v>1</v>
      </c>
      <c r="E1572" s="404" t="n">
        <v>232</v>
      </c>
      <c r="F1572" s="404">
        <f>ROUND(Source!BC1556,O1572)</f>
        <v/>
      </c>
      <c r="G1572" s="404" t="inlineStr">
        <is>
          <t>ОЗПсНРиСП</t>
        </is>
      </c>
      <c r="H1572" s="404" t="inlineStr">
        <is>
          <t>Основная ЗП рабочих по ТСН-2001.16</t>
        </is>
      </c>
      <c r="I1572" s="404" t="n"/>
      <c r="J1572" s="404" t="n"/>
      <c r="K1572" s="404" t="n">
        <v>232</v>
      </c>
      <c r="L1572" s="404" t="n">
        <v>15</v>
      </c>
      <c r="M1572" s="404" t="n">
        <v>3</v>
      </c>
      <c r="N1572" s="404" t="inlineStr"/>
      <c r="O1572" s="404" t="n">
        <v>0</v>
      </c>
      <c r="P1572" s="404" t="n"/>
      <c r="Q1572" s="404" t="n"/>
      <c r="R1572" s="404" t="n"/>
      <c r="S1572" s="404" t="n"/>
      <c r="T1572" s="404" t="n"/>
      <c r="U1572" s="404" t="n"/>
      <c r="V1572" s="404" t="n"/>
      <c r="W1572" s="404" t="n">
        <v>0</v>
      </c>
      <c r="X1572" s="404" t="n">
        <v>1</v>
      </c>
      <c r="Y1572" s="404" t="n">
        <v>0</v>
      </c>
      <c r="Z1572" s="404" t="n"/>
      <c r="AA1572" s="404" t="n"/>
      <c r="AB1572" s="404" t="n"/>
    </row>
    <row r="1573">
      <c r="A1573" s="404" t="n">
        <v>50</v>
      </c>
      <c r="B1573" s="404" t="n">
        <v>0</v>
      </c>
      <c r="C1573" s="404" t="n">
        <v>0</v>
      </c>
      <c r="D1573" s="404" t="n">
        <v>1</v>
      </c>
      <c r="E1573" s="404" t="n">
        <v>214</v>
      </c>
      <c r="F1573" s="404">
        <f>ROUND(Source!AS1556,O1573)</f>
        <v/>
      </c>
      <c r="G1573" s="404" t="inlineStr">
        <is>
          <t>Строит</t>
        </is>
      </c>
      <c r="H1573" s="404" t="inlineStr">
        <is>
          <t>Строительные работы с НР и СП</t>
        </is>
      </c>
      <c r="I1573" s="404" t="n"/>
      <c r="J1573" s="404" t="n"/>
      <c r="K1573" s="404" t="n">
        <v>214</v>
      </c>
      <c r="L1573" s="404" t="n">
        <v>16</v>
      </c>
      <c r="M1573" s="404" t="n">
        <v>3</v>
      </c>
      <c r="N1573" s="404" t="inlineStr"/>
      <c r="O1573" s="404" t="n">
        <v>0</v>
      </c>
      <c r="P1573" s="404" t="n"/>
      <c r="Q1573" s="404" t="n"/>
      <c r="R1573" s="404" t="n"/>
      <c r="S1573" s="404" t="n"/>
      <c r="T1573" s="404" t="n"/>
      <c r="U1573" s="404" t="n"/>
      <c r="V1573" s="404" t="n"/>
      <c r="W1573" s="404" t="n">
        <v>77664</v>
      </c>
      <c r="X1573" s="404" t="n">
        <v>1</v>
      </c>
      <c r="Y1573" s="404" t="n">
        <v>77664</v>
      </c>
      <c r="Z1573" s="404" t="n"/>
      <c r="AA1573" s="404" t="n"/>
      <c r="AB1573" s="404" t="n"/>
    </row>
    <row r="1574">
      <c r="A1574" s="404" t="n">
        <v>50</v>
      </c>
      <c r="B1574" s="404" t="n">
        <v>0</v>
      </c>
      <c r="C1574" s="404" t="n">
        <v>0</v>
      </c>
      <c r="D1574" s="404" t="n">
        <v>1</v>
      </c>
      <c r="E1574" s="404" t="n">
        <v>215</v>
      </c>
      <c r="F1574" s="404">
        <f>ROUND(Source!AT1556,O1574)</f>
        <v/>
      </c>
      <c r="G1574" s="404" t="inlineStr">
        <is>
          <t>Монтаж</t>
        </is>
      </c>
      <c r="H1574" s="404" t="inlineStr">
        <is>
          <t>Монтажные работы с НР и СП</t>
        </is>
      </c>
      <c r="I1574" s="404" t="n"/>
      <c r="J1574" s="404" t="n"/>
      <c r="K1574" s="404" t="n">
        <v>215</v>
      </c>
      <c r="L1574" s="404" t="n">
        <v>17</v>
      </c>
      <c r="M1574" s="404" t="n">
        <v>3</v>
      </c>
      <c r="N1574" s="404" t="inlineStr"/>
      <c r="O1574" s="404" t="n">
        <v>0</v>
      </c>
      <c r="P1574" s="404" t="n"/>
      <c r="Q1574" s="404" t="n"/>
      <c r="R1574" s="404" t="n"/>
      <c r="S1574" s="404" t="n"/>
      <c r="T1574" s="404" t="n"/>
      <c r="U1574" s="404" t="n"/>
      <c r="V1574" s="404" t="n"/>
      <c r="W1574" s="404" t="n">
        <v>0</v>
      </c>
      <c r="X1574" s="404" t="n">
        <v>1</v>
      </c>
      <c r="Y1574" s="404" t="n">
        <v>0</v>
      </c>
      <c r="Z1574" s="404" t="n"/>
      <c r="AA1574" s="404" t="n"/>
      <c r="AB1574" s="404" t="n"/>
    </row>
    <row r="1575">
      <c r="A1575" s="404" t="n">
        <v>50</v>
      </c>
      <c r="B1575" s="404" t="n">
        <v>0</v>
      </c>
      <c r="C1575" s="404" t="n">
        <v>0</v>
      </c>
      <c r="D1575" s="404" t="n">
        <v>1</v>
      </c>
      <c r="E1575" s="404" t="n">
        <v>217</v>
      </c>
      <c r="F1575" s="404">
        <f>ROUND(Source!AU1556,O1575)</f>
        <v/>
      </c>
      <c r="G1575" s="404" t="inlineStr">
        <is>
          <t>Прочие</t>
        </is>
      </c>
      <c r="H1575" s="404" t="inlineStr">
        <is>
          <t>Прочие работы с НР и СП</t>
        </is>
      </c>
      <c r="I1575" s="404" t="n"/>
      <c r="J1575" s="404" t="n"/>
      <c r="K1575" s="404" t="n">
        <v>217</v>
      </c>
      <c r="L1575" s="404" t="n">
        <v>18</v>
      </c>
      <c r="M1575" s="404" t="n">
        <v>3</v>
      </c>
      <c r="N1575" s="404" t="inlineStr"/>
      <c r="O1575" s="404" t="n">
        <v>0</v>
      </c>
      <c r="P1575" s="404" t="n"/>
      <c r="Q1575" s="404" t="n"/>
      <c r="R1575" s="404" t="n"/>
      <c r="S1575" s="404" t="n"/>
      <c r="T1575" s="404" t="n"/>
      <c r="U1575" s="404" t="n"/>
      <c r="V1575" s="404" t="n"/>
      <c r="W1575" s="404" t="n">
        <v>0</v>
      </c>
      <c r="X1575" s="404" t="n">
        <v>1</v>
      </c>
      <c r="Y1575" s="404" t="n">
        <v>0</v>
      </c>
      <c r="Z1575" s="404" t="n"/>
      <c r="AA1575" s="404" t="n"/>
      <c r="AB1575" s="404" t="n"/>
    </row>
    <row r="1576">
      <c r="A1576" s="404" t="n">
        <v>50</v>
      </c>
      <c r="B1576" s="404" t="n">
        <v>0</v>
      </c>
      <c r="C1576" s="404" t="n">
        <v>0</v>
      </c>
      <c r="D1576" s="404" t="n">
        <v>1</v>
      </c>
      <c r="E1576" s="404" t="n">
        <v>230</v>
      </c>
      <c r="F1576" s="404">
        <f>ROUND(Source!BA1556,O1576)</f>
        <v/>
      </c>
      <c r="G1576" s="404" t="inlineStr">
        <is>
          <t>ПрочиеЗатр</t>
        </is>
      </c>
      <c r="H1576" s="404" t="inlineStr">
        <is>
          <t>Прочие затраты по ТСН-2001.16</t>
        </is>
      </c>
      <c r="I1576" s="404" t="n"/>
      <c r="J1576" s="404" t="n"/>
      <c r="K1576" s="404" t="n">
        <v>230</v>
      </c>
      <c r="L1576" s="404" t="n">
        <v>19</v>
      </c>
      <c r="M1576" s="404" t="n">
        <v>3</v>
      </c>
      <c r="N1576" s="404" t="inlineStr"/>
      <c r="O1576" s="404" t="n">
        <v>0</v>
      </c>
      <c r="P1576" s="404" t="n"/>
      <c r="Q1576" s="404" t="n"/>
      <c r="R1576" s="404" t="n"/>
      <c r="S1576" s="404" t="n"/>
      <c r="T1576" s="404" t="n"/>
      <c r="U1576" s="404" t="n"/>
      <c r="V1576" s="404" t="n"/>
      <c r="W1576" s="404" t="n">
        <v>0</v>
      </c>
      <c r="X1576" s="404" t="n">
        <v>1</v>
      </c>
      <c r="Y1576" s="404" t="n">
        <v>0</v>
      </c>
      <c r="Z1576" s="404" t="n"/>
      <c r="AA1576" s="404" t="n"/>
      <c r="AB1576" s="404" t="n"/>
    </row>
    <row r="1577">
      <c r="A1577" s="404" t="n">
        <v>50</v>
      </c>
      <c r="B1577" s="404" t="n">
        <v>0</v>
      </c>
      <c r="C1577" s="404" t="n">
        <v>0</v>
      </c>
      <c r="D1577" s="404" t="n">
        <v>1</v>
      </c>
      <c r="E1577" s="404" t="n">
        <v>206</v>
      </c>
      <c r="F1577" s="404">
        <f>ROUND(Source!T1556,O1577)</f>
        <v/>
      </c>
      <c r="G1577" s="404" t="inlineStr">
        <is>
          <t>ВозврМат</t>
        </is>
      </c>
      <c r="H1577" s="404" t="inlineStr">
        <is>
          <t>Возврат материалов</t>
        </is>
      </c>
      <c r="I1577" s="404" t="n"/>
      <c r="J1577" s="404" t="n"/>
      <c r="K1577" s="404" t="n">
        <v>206</v>
      </c>
      <c r="L1577" s="404" t="n">
        <v>20</v>
      </c>
      <c r="M1577" s="404" t="n">
        <v>3</v>
      </c>
      <c r="N1577" s="404" t="inlineStr"/>
      <c r="O1577" s="404" t="n">
        <v>0</v>
      </c>
      <c r="P1577" s="404" t="n"/>
      <c r="Q1577" s="404" t="n"/>
      <c r="R1577" s="404" t="n"/>
      <c r="S1577" s="404" t="n"/>
      <c r="T1577" s="404" t="n"/>
      <c r="U1577" s="404" t="n"/>
      <c r="V1577" s="404" t="n"/>
      <c r="W1577" s="404" t="n">
        <v>0</v>
      </c>
      <c r="X1577" s="404" t="n">
        <v>1</v>
      </c>
      <c r="Y1577" s="404" t="n">
        <v>0</v>
      </c>
      <c r="Z1577" s="404" t="n"/>
      <c r="AA1577" s="404" t="n"/>
      <c r="AB1577" s="404" t="n"/>
    </row>
    <row r="1578">
      <c r="A1578" s="404" t="n">
        <v>50</v>
      </c>
      <c r="B1578" s="404" t="n">
        <v>0</v>
      </c>
      <c r="C1578" s="404" t="n">
        <v>0</v>
      </c>
      <c r="D1578" s="404" t="n">
        <v>1</v>
      </c>
      <c r="E1578" s="404" t="n">
        <v>207</v>
      </c>
      <c r="F1578" s="404">
        <f>ROUND(Source!U1556,O1578)</f>
        <v/>
      </c>
      <c r="G1578" s="404" t="inlineStr">
        <is>
          <t>ТрудСтр</t>
        </is>
      </c>
      <c r="H1578" s="404" t="inlineStr">
        <is>
          <t>Трудозатраты строителей</t>
        </is>
      </c>
      <c r="I1578" s="404" t="n"/>
      <c r="J1578" s="404" t="n"/>
      <c r="K1578" s="404" t="n">
        <v>207</v>
      </c>
      <c r="L1578" s="404" t="n">
        <v>21</v>
      </c>
      <c r="M1578" s="404" t="n">
        <v>3</v>
      </c>
      <c r="N1578" s="404" t="inlineStr"/>
      <c r="O1578" s="404" t="n">
        <v>7</v>
      </c>
      <c r="P1578" s="404" t="n"/>
      <c r="Q1578" s="404" t="n"/>
      <c r="R1578" s="404" t="n"/>
      <c r="S1578" s="404" t="n"/>
      <c r="T1578" s="404" t="n"/>
      <c r="U1578" s="404" t="n"/>
      <c r="V1578" s="404" t="n"/>
      <c r="W1578" s="404" t="n">
        <v>52.936</v>
      </c>
      <c r="X1578" s="404" t="n">
        <v>1</v>
      </c>
      <c r="Y1578" s="404" t="n">
        <v>52.936</v>
      </c>
      <c r="Z1578" s="404" t="n"/>
      <c r="AA1578" s="404" t="n"/>
      <c r="AB1578" s="404" t="n"/>
    </row>
    <row r="1579">
      <c r="A1579" s="404" t="n">
        <v>50</v>
      </c>
      <c r="B1579" s="404" t="n">
        <v>0</v>
      </c>
      <c r="C1579" s="404" t="n">
        <v>0</v>
      </c>
      <c r="D1579" s="404" t="n">
        <v>1</v>
      </c>
      <c r="E1579" s="404" t="n">
        <v>208</v>
      </c>
      <c r="F1579" s="404">
        <f>ROUND(Source!V1556,O1579)</f>
        <v/>
      </c>
      <c r="G1579" s="404" t="inlineStr">
        <is>
          <t>ТрудМаш</t>
        </is>
      </c>
      <c r="H1579" s="404" t="inlineStr">
        <is>
          <t>Трудозатраты машинистов</t>
        </is>
      </c>
      <c r="I1579" s="404" t="n"/>
      <c r="J1579" s="404" t="n"/>
      <c r="K1579" s="404" t="n">
        <v>208</v>
      </c>
      <c r="L1579" s="404" t="n">
        <v>22</v>
      </c>
      <c r="M1579" s="404" t="n">
        <v>3</v>
      </c>
      <c r="N1579" s="404" t="inlineStr"/>
      <c r="O1579" s="404" t="n">
        <v>7</v>
      </c>
      <c r="P1579" s="404" t="n"/>
      <c r="Q1579" s="404" t="n"/>
      <c r="R1579" s="404" t="n"/>
      <c r="S1579" s="404" t="n"/>
      <c r="T1579" s="404" t="n"/>
      <c r="U1579" s="404" t="n"/>
      <c r="V1579" s="404" t="n"/>
      <c r="W1579" s="404" t="n">
        <v>0.3787</v>
      </c>
      <c r="X1579" s="404" t="n">
        <v>1</v>
      </c>
      <c r="Y1579" s="404" t="n">
        <v>0.3787</v>
      </c>
      <c r="Z1579" s="404" t="n"/>
      <c r="AA1579" s="404" t="n"/>
      <c r="AB1579" s="404" t="n"/>
    </row>
    <row r="1580">
      <c r="A1580" s="404" t="n">
        <v>50</v>
      </c>
      <c r="B1580" s="404" t="n">
        <v>0</v>
      </c>
      <c r="C1580" s="404" t="n">
        <v>0</v>
      </c>
      <c r="D1580" s="404" t="n">
        <v>1</v>
      </c>
      <c r="E1580" s="404" t="n">
        <v>209</v>
      </c>
      <c r="F1580" s="404">
        <f>ROUND(Source!W1556,O1580)</f>
        <v/>
      </c>
      <c r="G1580" s="404" t="inlineStr">
        <is>
          <t>ТранспМат</t>
        </is>
      </c>
      <c r="H1580" s="404" t="inlineStr">
        <is>
          <t>Транспорт материалов</t>
        </is>
      </c>
      <c r="I1580" s="404" t="n"/>
      <c r="J1580" s="404" t="n"/>
      <c r="K1580" s="404" t="n">
        <v>209</v>
      </c>
      <c r="L1580" s="404" t="n">
        <v>23</v>
      </c>
      <c r="M1580" s="404" t="n">
        <v>3</v>
      </c>
      <c r="N1580" s="404" t="inlineStr"/>
      <c r="O1580" s="404" t="n">
        <v>0</v>
      </c>
      <c r="P1580" s="404" t="n"/>
      <c r="Q1580" s="404" t="n"/>
      <c r="R1580" s="404" t="n"/>
      <c r="S1580" s="404" t="n"/>
      <c r="T1580" s="404" t="n"/>
      <c r="U1580" s="404" t="n"/>
      <c r="V1580" s="404" t="n"/>
      <c r="W1580" s="404" t="n">
        <v>0</v>
      </c>
      <c r="X1580" s="404" t="n">
        <v>1</v>
      </c>
      <c r="Y1580" s="404" t="n">
        <v>0</v>
      </c>
      <c r="Z1580" s="404" t="n"/>
      <c r="AA1580" s="404" t="n"/>
      <c r="AB1580" s="404" t="n"/>
    </row>
    <row r="1581">
      <c r="A1581" s="404" t="n">
        <v>50</v>
      </c>
      <c r="B1581" s="404" t="n">
        <v>0</v>
      </c>
      <c r="C1581" s="404" t="n">
        <v>0</v>
      </c>
      <c r="D1581" s="404" t="n">
        <v>1</v>
      </c>
      <c r="E1581" s="404" t="n">
        <v>233</v>
      </c>
      <c r="F1581" s="404">
        <f>ROUND(Source!BD1556,O1581)</f>
        <v/>
      </c>
      <c r="G1581" s="404" t="inlineStr">
        <is>
          <t>Перевозка</t>
        </is>
      </c>
      <c r="H1581" s="404" t="inlineStr">
        <is>
          <t>Перевозка грузов</t>
        </is>
      </c>
      <c r="I1581" s="404" t="n"/>
      <c r="J1581" s="404" t="n"/>
      <c r="K1581" s="404" t="n">
        <v>233</v>
      </c>
      <c r="L1581" s="404" t="n">
        <v>24</v>
      </c>
      <c r="M1581" s="404" t="n">
        <v>3</v>
      </c>
      <c r="N1581" s="404" t="inlineStr"/>
      <c r="O1581" s="404" t="n">
        <v>0</v>
      </c>
      <c r="P1581" s="404" t="n"/>
      <c r="Q1581" s="404" t="n"/>
      <c r="R1581" s="404" t="n"/>
      <c r="S1581" s="404" t="n"/>
      <c r="T1581" s="404" t="n"/>
      <c r="U1581" s="404" t="n"/>
      <c r="V1581" s="404" t="n"/>
      <c r="W1581" s="404" t="n">
        <v>0</v>
      </c>
      <c r="X1581" s="404" t="n">
        <v>1</v>
      </c>
      <c r="Y1581" s="404" t="n">
        <v>0</v>
      </c>
      <c r="Z1581" s="404" t="n"/>
      <c r="AA1581" s="404" t="n"/>
      <c r="AB1581" s="404" t="n"/>
    </row>
    <row r="1582">
      <c r="A1582" s="404" t="n">
        <v>50</v>
      </c>
      <c r="B1582" s="404" t="n">
        <v>0</v>
      </c>
      <c r="C1582" s="404" t="n">
        <v>0</v>
      </c>
      <c r="D1582" s="404" t="n">
        <v>1</v>
      </c>
      <c r="E1582" s="404" t="n">
        <v>210</v>
      </c>
      <c r="F1582" s="404">
        <f>ROUND(Source!X1556,O1582)</f>
        <v/>
      </c>
      <c r="G1582" s="404" t="inlineStr">
        <is>
          <t>НР</t>
        </is>
      </c>
      <c r="H1582" s="404" t="inlineStr">
        <is>
          <t>Накладные расходы</t>
        </is>
      </c>
      <c r="I1582" s="404" t="n"/>
      <c r="J1582" s="404" t="n"/>
      <c r="K1582" s="404" t="n">
        <v>210</v>
      </c>
      <c r="L1582" s="404" t="n">
        <v>25</v>
      </c>
      <c r="M1582" s="404" t="n">
        <v>3</v>
      </c>
      <c r="N1582" s="404" t="inlineStr"/>
      <c r="O1582" s="404" t="n">
        <v>0</v>
      </c>
      <c r="P1582" s="404" t="n"/>
      <c r="Q1582" s="404" t="n"/>
      <c r="R1582" s="404" t="n"/>
      <c r="S1582" s="404" t="n"/>
      <c r="T1582" s="404" t="n"/>
      <c r="U1582" s="404" t="n"/>
      <c r="V1582" s="404" t="n"/>
      <c r="W1582" s="404" t="n">
        <v>29758</v>
      </c>
      <c r="X1582" s="404" t="n">
        <v>1</v>
      </c>
      <c r="Y1582" s="404" t="n">
        <v>29758</v>
      </c>
      <c r="Z1582" s="404" t="n"/>
      <c r="AA1582" s="404" t="n"/>
      <c r="AB1582" s="404" t="n"/>
    </row>
    <row r="1583">
      <c r="A1583" s="404" t="n">
        <v>50</v>
      </c>
      <c r="B1583" s="404" t="n">
        <v>0</v>
      </c>
      <c r="C1583" s="404" t="n">
        <v>0</v>
      </c>
      <c r="D1583" s="404" t="n">
        <v>1</v>
      </c>
      <c r="E1583" s="404" t="n">
        <v>211</v>
      </c>
      <c r="F1583" s="404">
        <f>ROUND(Source!Y1556,O1583)</f>
        <v/>
      </c>
      <c r="G1583" s="404" t="inlineStr">
        <is>
          <t>СмПриб</t>
        </is>
      </c>
      <c r="H1583" s="404" t="inlineStr">
        <is>
          <t>Сметная прибыль</t>
        </is>
      </c>
      <c r="I1583" s="404" t="n"/>
      <c r="J1583" s="404" t="n"/>
      <c r="K1583" s="404" t="n">
        <v>211</v>
      </c>
      <c r="L1583" s="404" t="n">
        <v>26</v>
      </c>
      <c r="M1583" s="404" t="n">
        <v>3</v>
      </c>
      <c r="N1583" s="404" t="inlineStr"/>
      <c r="O1583" s="404" t="n">
        <v>0</v>
      </c>
      <c r="P1583" s="404" t="n"/>
      <c r="Q1583" s="404" t="n"/>
      <c r="R1583" s="404" t="n"/>
      <c r="S1583" s="404" t="n"/>
      <c r="T1583" s="404" t="n"/>
      <c r="U1583" s="404" t="n"/>
      <c r="V1583" s="404" t="n"/>
      <c r="W1583" s="404" t="n">
        <v>16605</v>
      </c>
      <c r="X1583" s="404" t="n">
        <v>1</v>
      </c>
      <c r="Y1583" s="404" t="n">
        <v>16605</v>
      </c>
      <c r="Z1583" s="404" t="n"/>
      <c r="AA1583" s="404" t="n"/>
      <c r="AB1583" s="404" t="n"/>
    </row>
    <row r="1584">
      <c r="A1584" s="404" t="n">
        <v>50</v>
      </c>
      <c r="B1584" s="404" t="n">
        <v>0</v>
      </c>
      <c r="C1584" s="404" t="n">
        <v>0</v>
      </c>
      <c r="D1584" s="404" t="n">
        <v>1</v>
      </c>
      <c r="E1584" s="404" t="n">
        <v>224</v>
      </c>
      <c r="F1584" s="404">
        <f>ROUND(Source!AR1556,O1584)</f>
        <v/>
      </c>
      <c r="G1584" s="404" t="inlineStr">
        <is>
          <t>Всего</t>
        </is>
      </c>
      <c r="H1584" s="404" t="inlineStr">
        <is>
          <t>Всего с НР и СП</t>
        </is>
      </c>
      <c r="I1584" s="404" t="n"/>
      <c r="J1584" s="404" t="n"/>
      <c r="K1584" s="404" t="n">
        <v>224</v>
      </c>
      <c r="L1584" s="404" t="n">
        <v>27</v>
      </c>
      <c r="M1584" s="404" t="n">
        <v>3</v>
      </c>
      <c r="N1584" s="404" t="inlineStr"/>
      <c r="O1584" s="404" t="n">
        <v>0</v>
      </c>
      <c r="P1584" s="404" t="n"/>
      <c r="Q1584" s="404" t="n"/>
      <c r="R1584" s="404" t="n"/>
      <c r="S1584" s="404" t="n"/>
      <c r="T1584" s="404" t="n"/>
      <c r="U1584" s="404" t="n"/>
      <c r="V1584" s="404" t="n"/>
      <c r="W1584" s="404" t="n">
        <v>77664</v>
      </c>
      <c r="X1584" s="404" t="n">
        <v>1</v>
      </c>
      <c r="Y1584" s="404" t="n">
        <v>77664</v>
      </c>
      <c r="Z1584" s="404" t="n"/>
      <c r="AA1584" s="404" t="n"/>
      <c r="AB1584" s="404" t="n"/>
    </row>
    <row r="1585">
      <c r="A1585" s="404" t="n">
        <v>50</v>
      </c>
      <c r="B1585" s="404" t="n">
        <v>1</v>
      </c>
      <c r="C1585" s="404" t="n">
        <v>0</v>
      </c>
      <c r="D1585" s="404" t="n">
        <v>2</v>
      </c>
      <c r="E1585" s="404" t="n">
        <v>0</v>
      </c>
      <c r="F1585" s="404">
        <f>ROUND(F1584,O1585)</f>
        <v/>
      </c>
      <c r="G1585" s="404" t="inlineStr">
        <is>
          <t>и1</t>
        </is>
      </c>
      <c r="H1585" s="404" t="inlineStr">
        <is>
          <t>Итого</t>
        </is>
      </c>
      <c r="I1585" s="404" t="n"/>
      <c r="J1585" s="404" t="n"/>
      <c r="K1585" s="404" t="n">
        <v>212</v>
      </c>
      <c r="L1585" s="404" t="n">
        <v>28</v>
      </c>
      <c r="M1585" s="404" t="n">
        <v>0</v>
      </c>
      <c r="N1585" s="404" t="inlineStr"/>
      <c r="O1585" s="404" t="n">
        <v>0</v>
      </c>
      <c r="P1585" s="404" t="n"/>
      <c r="Q1585" s="404" t="n"/>
      <c r="R1585" s="404" t="n"/>
      <c r="S1585" s="404" t="n"/>
      <c r="T1585" s="404" t="n"/>
      <c r="U1585" s="404" t="n"/>
      <c r="V1585" s="404" t="n"/>
      <c r="W1585" s="404" t="n">
        <v>77664</v>
      </c>
      <c r="X1585" s="404" t="n">
        <v>1</v>
      </c>
      <c r="Y1585" s="404" t="n">
        <v>77664</v>
      </c>
      <c r="Z1585" s="404" t="n"/>
      <c r="AA1585" s="404" t="n"/>
      <c r="AB1585" s="404" t="n"/>
    </row>
    <row r="1586">
      <c r="A1586" s="404" t="n">
        <v>50</v>
      </c>
      <c r="B1586" s="404" t="n">
        <v>1</v>
      </c>
      <c r="C1586" s="404" t="n">
        <v>0</v>
      </c>
      <c r="D1586" s="404" t="n">
        <v>2</v>
      </c>
      <c r="E1586" s="404" t="n">
        <v>0</v>
      </c>
      <c r="F1586" s="404">
        <f>ROUND(F1585*0.22,O1586)</f>
        <v/>
      </c>
      <c r="G1586" s="404" t="inlineStr">
        <is>
          <t>и2</t>
        </is>
      </c>
      <c r="H1586" s="404" t="inlineStr">
        <is>
          <t>НДС 22%</t>
        </is>
      </c>
      <c r="I1586" s="404" t="n"/>
      <c r="J1586" s="404" t="n"/>
      <c r="K1586" s="404" t="n">
        <v>212</v>
      </c>
      <c r="L1586" s="404" t="n">
        <v>29</v>
      </c>
      <c r="M1586" s="404" t="n">
        <v>0</v>
      </c>
      <c r="N1586" s="404" t="inlineStr"/>
      <c r="O1586" s="404" t="n">
        <v>0</v>
      </c>
      <c r="P1586" s="404" t="n"/>
      <c r="Q1586" s="404" t="n"/>
      <c r="R1586" s="404" t="n"/>
      <c r="S1586" s="404" t="n"/>
      <c r="T1586" s="404" t="n"/>
      <c r="U1586" s="404" t="n"/>
      <c r="V1586" s="404" t="n"/>
      <c r="W1586" s="404" t="n">
        <v>17086</v>
      </c>
      <c r="X1586" s="404" t="n">
        <v>1</v>
      </c>
      <c r="Y1586" s="404" t="n">
        <v>17086</v>
      </c>
      <c r="Z1586" s="404" t="n"/>
      <c r="AA1586" s="404" t="n"/>
      <c r="AB1586" s="404" t="n"/>
    </row>
    <row r="1587">
      <c r="A1587" s="404" t="n">
        <v>50</v>
      </c>
      <c r="B1587" s="404" t="n">
        <v>1</v>
      </c>
      <c r="C1587" s="404" t="n">
        <v>0</v>
      </c>
      <c r="D1587" s="404" t="n">
        <v>2</v>
      </c>
      <c r="E1587" s="404" t="n">
        <v>213</v>
      </c>
      <c r="F1587" s="404">
        <f>ROUND(F1585+F1586,O1587)</f>
        <v/>
      </c>
      <c r="G1587" s="404" t="inlineStr">
        <is>
          <t>и3</t>
        </is>
      </c>
      <c r="H1587" s="404" t="inlineStr">
        <is>
          <t>Всего</t>
        </is>
      </c>
      <c r="I1587" s="404" t="n"/>
      <c r="J1587" s="404" t="n"/>
      <c r="K1587" s="404" t="n">
        <v>212</v>
      </c>
      <c r="L1587" s="404" t="n">
        <v>30</v>
      </c>
      <c r="M1587" s="404" t="n">
        <v>0</v>
      </c>
      <c r="N1587" s="404" t="inlineStr"/>
      <c r="O1587" s="404" t="n">
        <v>0</v>
      </c>
      <c r="P1587" s="404" t="n"/>
      <c r="Q1587" s="404" t="n"/>
      <c r="R1587" s="404" t="n"/>
      <c r="S1587" s="404" t="n"/>
      <c r="T1587" s="404" t="n"/>
      <c r="U1587" s="404" t="n"/>
      <c r="V1587" s="404" t="n"/>
      <c r="W1587" s="404" t="n">
        <v>94750</v>
      </c>
      <c r="X1587" s="404" t="n">
        <v>1</v>
      </c>
      <c r="Y1587" s="404" t="n">
        <v>94750</v>
      </c>
      <c r="Z1587" s="404" t="n"/>
      <c r="AA1587" s="404" t="n"/>
      <c r="AB1587" s="404" t="n"/>
    </row>
    <row r="1588"/>
    <row r="1589"/>
    <row r="1590">
      <c r="A1590" t="n">
        <v>70</v>
      </c>
      <c r="B1590" t="n">
        <v>1</v>
      </c>
      <c r="D1590" t="n">
        <v>1</v>
      </c>
      <c r="E1590" t="inlineStr">
        <is>
          <t>СТР_РЕК</t>
        </is>
      </c>
      <c r="F1590" t="inlineStr">
        <is>
          <t>СТРОИТЕЛЬСТВО и РЕКОНСТРУКЦИЯ  зданий и сооружений всех назначений</t>
        </is>
      </c>
      <c r="G1590" t="n">
        <v>1</v>
      </c>
      <c r="H1590" t="n">
        <v>0</v>
      </c>
      <c r="I1590" t="inlineStr"/>
      <c r="J1590" t="n">
        <v>1</v>
      </c>
      <c r="K1590" t="n">
        <v>0</v>
      </c>
      <c r="L1590" t="inlineStr"/>
      <c r="M1590" t="inlineStr"/>
      <c r="N1590" t="n">
        <v>0</v>
      </c>
      <c r="P1590" t="inlineStr">
        <is>
          <t>Строительство и реконструкция</t>
        </is>
      </c>
    </row>
    <row r="1591">
      <c r="A1591" t="n">
        <v>70</v>
      </c>
      <c r="B1591" t="n">
        <v>1</v>
      </c>
      <c r="D1591" t="n">
        <v>2</v>
      </c>
      <c r="E1591" t="inlineStr">
        <is>
          <t>РЕМ_ЖИЛ</t>
        </is>
      </c>
      <c r="F1591" t="inlineStr">
        <is>
          <t>КАП. РЕМ. ЖИЛЫХ И ОБЩЕСТВЕННЫХ ЗДАНИЙ</t>
        </is>
      </c>
      <c r="G1591" t="n">
        <v>0</v>
      </c>
      <c r="H1591" t="n">
        <v>0</v>
      </c>
      <c r="I1591" t="inlineStr"/>
      <c r="J1591" t="n">
        <v>1</v>
      </c>
      <c r="K1591" t="n">
        <v>0</v>
      </c>
      <c r="L1591" t="inlineStr"/>
      <c r="M1591" t="inlineStr"/>
      <c r="N1591" t="n">
        <v>0</v>
      </c>
      <c r="P1591" t="inlineStr">
        <is>
          <t>Капитальный ремонт жилых и общественных зданий</t>
        </is>
      </c>
    </row>
    <row r="1592">
      <c r="A1592" t="n">
        <v>70</v>
      </c>
      <c r="B1592" t="n">
        <v>1</v>
      </c>
      <c r="D1592" t="n">
        <v>3</v>
      </c>
      <c r="E1592" t="inlineStr">
        <is>
          <t>РЕМ_ПР</t>
        </is>
      </c>
      <c r="F159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1592" t="n">
        <v>0</v>
      </c>
      <c r="H1592" t="n">
        <v>0</v>
      </c>
      <c r="I1592" t="inlineStr"/>
      <c r="J1592" t="n">
        <v>1</v>
      </c>
      <c r="K1592" t="n">
        <v>0</v>
      </c>
      <c r="L1592" t="inlineStr"/>
      <c r="M1592" t="inlineStr"/>
      <c r="N1592" t="n">
        <v>0</v>
      </c>
      <c r="P1592" t="inlineStr">
        <is>
          <t>Капитальный ремонт прозводственных зданий</t>
        </is>
      </c>
    </row>
    <row r="1593">
      <c r="A1593" t="n">
        <v>70</v>
      </c>
      <c r="B1593" t="n">
        <v>1</v>
      </c>
      <c r="D1593" t="n">
        <v>4</v>
      </c>
      <c r="E1593" t="inlineStr">
        <is>
          <t>Территория</t>
        </is>
      </c>
      <c r="F159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1593" t="n">
        <v>1</v>
      </c>
      <c r="H1593" t="n">
        <v>0</v>
      </c>
      <c r="I1593" t="inlineStr"/>
      <c r="J1593" t="n">
        <v>2</v>
      </c>
      <c r="K1593" t="n">
        <v>0</v>
      </c>
      <c r="L1593" t="inlineStr"/>
      <c r="M1593" t="inlineStr"/>
      <c r="N1593" t="n">
        <v>0</v>
      </c>
      <c r="P1593" t="inlineStr"/>
    </row>
    <row r="1594">
      <c r="A1594" t="n">
        <v>70</v>
      </c>
      <c r="B1594" t="n">
        <v>1</v>
      </c>
      <c r="D1594" t="n">
        <v>5</v>
      </c>
      <c r="E1594" t="inlineStr">
        <is>
          <t>МПРКС</t>
        </is>
      </c>
      <c r="F1594" t="inlineStr">
        <is>
          <t>для территории Российской Федерации, относящейся к местностям, приравненным к районам Крайнего Севера</t>
        </is>
      </c>
      <c r="G1594" t="n">
        <v>0</v>
      </c>
      <c r="H1594" t="n">
        <v>0</v>
      </c>
      <c r="I1594" t="inlineStr"/>
      <c r="J1594" t="n">
        <v>2</v>
      </c>
      <c r="K1594" t="n">
        <v>0</v>
      </c>
      <c r="L1594" t="inlineStr"/>
      <c r="M1594" t="inlineStr"/>
      <c r="N1594" t="n">
        <v>0</v>
      </c>
      <c r="P1594" t="inlineStr"/>
    </row>
    <row r="1595">
      <c r="A1595" t="n">
        <v>70</v>
      </c>
      <c r="B1595" t="n">
        <v>1</v>
      </c>
      <c r="D1595" t="n">
        <v>6</v>
      </c>
      <c r="E1595" t="inlineStr">
        <is>
          <t>РКС</t>
        </is>
      </c>
      <c r="F1595" t="inlineStr">
        <is>
          <t>для территории Российской Федерации, относящейся к районам Крайнего Севера</t>
        </is>
      </c>
      <c r="G1595" t="n">
        <v>0</v>
      </c>
      <c r="H1595" t="n">
        <v>0</v>
      </c>
      <c r="I1595" t="inlineStr"/>
      <c r="J1595" t="n">
        <v>2</v>
      </c>
      <c r="K1595" t="n">
        <v>0</v>
      </c>
      <c r="L1595" t="inlineStr"/>
      <c r="M1595" t="inlineStr"/>
      <c r="N1595" t="n">
        <v>0</v>
      </c>
      <c r="P1595" t="inlineStr"/>
    </row>
    <row r="1596">
      <c r="A1596" t="n">
        <v>70</v>
      </c>
      <c r="B1596" t="n">
        <v>1</v>
      </c>
      <c r="D1596" t="n">
        <v>7</v>
      </c>
      <c r="E1596" t="inlineStr">
        <is>
          <t>СЛЖ</t>
        </is>
      </c>
      <c r="F159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1596" t="n">
        <v>0</v>
      </c>
      <c r="H1596" t="n">
        <v>0</v>
      </c>
      <c r="I159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1596" t="n">
        <v>0</v>
      </c>
      <c r="K1596" t="n">
        <v>0</v>
      </c>
      <c r="L1596" t="inlineStr"/>
      <c r="M1596" t="inlineStr"/>
      <c r="N1596" t="n">
        <v>0</v>
      </c>
      <c r="P1596" t="inlineStr">
        <is>
          <t>Сложные объекты</t>
        </is>
      </c>
    </row>
    <row r="1597">
      <c r="A1597" t="n">
        <v>70</v>
      </c>
      <c r="B1597" t="n">
        <v>1</v>
      </c>
      <c r="D1597" t="n">
        <v>8</v>
      </c>
      <c r="E1597" t="inlineStr">
        <is>
          <t>СТНДРТ</t>
        </is>
      </c>
      <c r="F159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1597" t="n">
        <v>1</v>
      </c>
      <c r="H1597" t="n">
        <v>0</v>
      </c>
      <c r="I1597" t="inlineStr"/>
      <c r="J1597" t="n">
        <v>5</v>
      </c>
      <c r="K1597" t="n">
        <v>0</v>
      </c>
      <c r="L1597" t="inlineStr"/>
      <c r="M1597" t="inlineStr"/>
      <c r="N1597" t="n">
        <v>0</v>
      </c>
      <c r="P1597" t="inlineStr"/>
    </row>
    <row r="1598">
      <c r="A1598" t="n">
        <v>70</v>
      </c>
      <c r="B1598" t="n">
        <v>1</v>
      </c>
      <c r="D1598" t="n">
        <v>9</v>
      </c>
      <c r="E1598" t="inlineStr">
        <is>
          <t>АЭС_ПНР</t>
        </is>
      </c>
      <c r="F159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1598" t="n">
        <v>0</v>
      </c>
      <c r="H1598" t="n">
        <v>0</v>
      </c>
      <c r="I1598" t="inlineStr"/>
      <c r="J1598" t="n">
        <v>5</v>
      </c>
      <c r="K1598" t="n">
        <v>0</v>
      </c>
      <c r="L1598" t="inlineStr"/>
      <c r="M1598" t="inlineStr"/>
      <c r="N1598" t="n">
        <v>0</v>
      </c>
      <c r="P1598" t="inlineStr">
        <is>
          <t>АЭС</t>
        </is>
      </c>
    </row>
    <row r="1599">
      <c r="A1599" t="n">
        <v>70</v>
      </c>
      <c r="B1599" t="n">
        <v>1</v>
      </c>
      <c r="D1599" t="n">
        <v>10</v>
      </c>
      <c r="E1599" t="inlineStr">
        <is>
          <t>АЭС_ПНР_ТЕХ</t>
        </is>
      </c>
      <c r="F159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1599" t="n">
        <v>0</v>
      </c>
      <c r="H1599" t="n">
        <v>0</v>
      </c>
      <c r="I159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1599" t="n">
        <v>5</v>
      </c>
      <c r="K1599" t="n">
        <v>0</v>
      </c>
      <c r="L1599" t="inlineStr"/>
      <c r="M1599" t="inlineStr"/>
      <c r="N1599" t="n">
        <v>0</v>
      </c>
      <c r="P1599" t="inlineStr">
        <is>
          <t>АЭС, ПНР технологического оборудования АЭС.</t>
        </is>
      </c>
    </row>
    <row r="1600">
      <c r="A1600" t="n">
        <v>70</v>
      </c>
      <c r="B1600" t="n">
        <v>1</v>
      </c>
      <c r="D1600" t="n">
        <v>11</v>
      </c>
      <c r="E1600" t="inlineStr">
        <is>
          <t>ОПТ/В</t>
        </is>
      </c>
      <c r="F160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1600" t="n">
        <v>0</v>
      </c>
      <c r="H1600" t="n">
        <v>0</v>
      </c>
      <c r="I160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1600" t="n">
        <v>0</v>
      </c>
      <c r="K1600" t="n">
        <v>0</v>
      </c>
      <c r="L1600" t="inlineStr"/>
      <c r="M1600" t="inlineStr"/>
      <c r="N1600" t="n">
        <v>0</v>
      </c>
      <c r="P1600" t="inlineStr">
        <is>
          <t>Прокладка междугородных в/опт. кабелей</t>
        </is>
      </c>
    </row>
    <row r="1601">
      <c r="A1601" t="n">
        <v>70</v>
      </c>
      <c r="B1601" t="n">
        <v>1</v>
      </c>
      <c r="D1601" t="n">
        <v>12</v>
      </c>
      <c r="E1601" t="inlineStr">
        <is>
          <t>АВИ</t>
        </is>
      </c>
      <c r="F1601" t="inlineStr">
        <is>
          <t>(вкл)   -  При работах по ДИСПЕТЧЕРИЗАЦИИ управления движением АВИАТРАНСПОРТОМ {вкл}  (монтажные работы )</t>
        </is>
      </c>
      <c r="G1601" t="n">
        <v>0</v>
      </c>
      <c r="H1601" t="n">
        <v>0</v>
      </c>
      <c r="I160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1601" t="n">
        <v>0</v>
      </c>
      <c r="K1601" t="n">
        <v>0</v>
      </c>
      <c r="L1601" t="inlineStr"/>
      <c r="M1601" t="inlineStr"/>
      <c r="N1601" t="n">
        <v>0</v>
      </c>
      <c r="P1601" t="inlineStr">
        <is>
          <t>Диспетчеризация авиатранспорта</t>
        </is>
      </c>
    </row>
    <row r="1602">
      <c r="A1602" t="n">
        <v>70</v>
      </c>
      <c r="B1602" t="n">
        <v>1</v>
      </c>
      <c r="D1602" t="n">
        <v>13</v>
      </c>
      <c r="E1602" t="inlineStr">
        <is>
          <t>ЗАКР</t>
        </is>
      </c>
      <c r="F160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1602" t="n">
        <v>0</v>
      </c>
      <c r="H1602" t="n">
        <v>0</v>
      </c>
      <c r="I160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1602" t="n">
        <v>0</v>
      </c>
      <c r="K1602" t="n">
        <v>0</v>
      </c>
      <c r="L1602" t="inlineStr"/>
      <c r="M1602" t="inlineStr"/>
      <c r="N1602" t="n">
        <v>0</v>
      </c>
      <c r="P1602" t="inlineStr">
        <is>
          <t>Производство работ закрытым способом (обслуживающие процессы)</t>
        </is>
      </c>
    </row>
    <row r="1603">
      <c r="A1603" t="n">
        <v>70</v>
      </c>
      <c r="B1603" t="n">
        <v>1</v>
      </c>
      <c r="D1603" t="n">
        <v>14</v>
      </c>
      <c r="E1603" t="inlineStr">
        <is>
          <t>ГОР</t>
        </is>
      </c>
      <c r="F160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1603" t="n">
        <v>0</v>
      </c>
      <c r="H1603" t="n">
        <v>0</v>
      </c>
      <c r="I1603" t="inlineStr"/>
      <c r="J1603" t="n">
        <v>0</v>
      </c>
      <c r="K1603" t="n">
        <v>0</v>
      </c>
      <c r="L1603" t="inlineStr"/>
      <c r="M1603" t="inlineStr"/>
      <c r="N1603" t="n">
        <v>0</v>
      </c>
      <c r="P1603" t="inlineStr">
        <is>
          <t>Выполнение работ на горнорудных объектах</t>
        </is>
      </c>
    </row>
    <row r="1604">
      <c r="A1604" t="n">
        <v>70</v>
      </c>
      <c r="B1604" t="n">
        <v>1</v>
      </c>
      <c r="D1604" t="n">
        <v>15</v>
      </c>
      <c r="E1604" t="inlineStr">
        <is>
          <t>ОБ_ПР</t>
        </is>
      </c>
      <c r="F1604" t="inlineStr">
        <is>
          <t>Объект производственного назначения</t>
        </is>
      </c>
      <c r="G1604" t="n">
        <v>0</v>
      </c>
      <c r="H1604" t="n">
        <v>0</v>
      </c>
      <c r="I1604" t="inlineStr"/>
      <c r="J1604" t="n">
        <v>3</v>
      </c>
      <c r="K1604" t="n">
        <v>0</v>
      </c>
      <c r="L1604" t="inlineStr"/>
      <c r="M1604" t="inlineStr"/>
      <c r="N1604" t="n">
        <v>0</v>
      </c>
      <c r="P1604" t="inlineStr"/>
    </row>
    <row r="1605">
      <c r="A1605" t="n">
        <v>70</v>
      </c>
      <c r="B1605" t="n">
        <v>1</v>
      </c>
      <c r="D1605" t="n">
        <v>16</v>
      </c>
      <c r="E1605" t="inlineStr">
        <is>
          <t>ОБ_НПР</t>
        </is>
      </c>
      <c r="F1605" t="inlineStr">
        <is>
          <t>Объект непроизводственного назначения</t>
        </is>
      </c>
      <c r="G1605" t="n">
        <v>1</v>
      </c>
      <c r="H1605" t="n">
        <v>0</v>
      </c>
      <c r="I1605" t="inlineStr"/>
      <c r="J1605" t="n">
        <v>3</v>
      </c>
      <c r="K1605" t="n">
        <v>0</v>
      </c>
      <c r="L1605" t="inlineStr"/>
      <c r="M1605" t="inlineStr"/>
      <c r="N1605" t="n">
        <v>0</v>
      </c>
      <c r="P1605" t="inlineStr"/>
    </row>
    <row r="1606">
      <c r="A1606" t="n">
        <v>70</v>
      </c>
      <c r="B1606" t="n">
        <v>1</v>
      </c>
      <c r="D1606" t="n">
        <v>1</v>
      </c>
      <c r="E1606" t="inlineStr">
        <is>
          <t>К_НР_РЕМ</t>
        </is>
      </c>
      <c r="F1606" t="inlineStr">
        <is>
          <t>при ремонте жилых и общественных зданий если  ( если {РЕМ_ЖИЛ}= [вкл.]</t>
        </is>
      </c>
      <c r="G1606" t="n">
        <v>0.9</v>
      </c>
      <c r="H1606" t="n">
        <v>1</v>
      </c>
      <c r="I160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1606" t="n">
        <v>0</v>
      </c>
      <c r="K1606" t="n">
        <v>0</v>
      </c>
      <c r="L1606" t="inlineStr"/>
      <c r="M1606" t="inlineStr"/>
      <c r="N1606" t="n">
        <v>0</v>
      </c>
      <c r="P1606" t="inlineStr">
        <is>
          <t>п.25</t>
        </is>
      </c>
    </row>
    <row r="1607">
      <c r="A1607" t="n">
        <v>70</v>
      </c>
      <c r="B1607" t="n">
        <v>1</v>
      </c>
      <c r="D1607" t="n">
        <v>2</v>
      </c>
      <c r="E1607" t="inlineStr">
        <is>
          <t>К_СП_РЕМ</t>
        </is>
      </c>
      <c r="F160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1607" t="n">
        <v>0.85</v>
      </c>
      <c r="H1607" t="n">
        <v>1</v>
      </c>
      <c r="I160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1607" t="n">
        <v>0</v>
      </c>
      <c r="K1607" t="n">
        <v>0</v>
      </c>
      <c r="L1607" t="inlineStr"/>
      <c r="M1607" t="inlineStr"/>
      <c r="N1607" t="n">
        <v>0</v>
      </c>
      <c r="P1607" t="inlineStr">
        <is>
          <t>п.16</t>
        </is>
      </c>
    </row>
    <row r="1608">
      <c r="A1608" t="n">
        <v>70</v>
      </c>
      <c r="B1608" t="n">
        <v>1</v>
      </c>
      <c r="D1608" t="n">
        <v>3</v>
      </c>
      <c r="E1608" t="inlineStr">
        <is>
          <t>К_НР_СЛЖ</t>
        </is>
      </c>
      <c r="F160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1608" t="n">
        <v>1.03</v>
      </c>
      <c r="H1608" t="n">
        <v>0</v>
      </c>
      <c r="I1608" t="inlineStr"/>
      <c r="J1608" t="n">
        <v>0</v>
      </c>
      <c r="K1608" t="n">
        <v>0</v>
      </c>
      <c r="L1608" t="inlineStr"/>
      <c r="M1608" t="inlineStr"/>
      <c r="N1608" t="n">
        <v>0</v>
      </c>
      <c r="P1608" t="inlineStr">
        <is>
          <t>п.27 СЛОЖН</t>
        </is>
      </c>
    </row>
    <row r="1609">
      <c r="A1609" t="n">
        <v>70</v>
      </c>
      <c r="B1609" t="n">
        <v>1</v>
      </c>
      <c r="D1609" t="n">
        <v>4</v>
      </c>
      <c r="E1609" t="inlineStr">
        <is>
          <t>К_НР_АЭС</t>
        </is>
      </c>
      <c r="F160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1609" t="n">
        <v>1.15</v>
      </c>
      <c r="H1609" t="n">
        <v>0</v>
      </c>
      <c r="I1609" t="inlineStr"/>
      <c r="J1609" t="n">
        <v>0</v>
      </c>
      <c r="K1609" t="n">
        <v>0</v>
      </c>
      <c r="L1609" t="inlineStr"/>
      <c r="M1609" t="inlineStr"/>
      <c r="N1609" t="n">
        <v>0</v>
      </c>
      <c r="P1609" t="inlineStr">
        <is>
          <t>п.27 АЭС</t>
        </is>
      </c>
    </row>
    <row r="1610">
      <c r="A1610" t="n">
        <v>70</v>
      </c>
      <c r="B1610" t="n">
        <v>1</v>
      </c>
      <c r="D1610" t="n">
        <v>5</v>
      </c>
      <c r="E1610" t="inlineStr">
        <is>
          <t>Р_ОКР</t>
        </is>
      </c>
      <c r="F1610" t="inlineStr">
        <is>
          <t>Разрядность округления результата расчета НР и СП  (с 05.04.2020 - до семи знаков после запятой)</t>
        </is>
      </c>
      <c r="G1610" t="n">
        <v>7</v>
      </c>
      <c r="H1610" t="n">
        <v>0</v>
      </c>
      <c r="I1610" t="inlineStr"/>
      <c r="J1610" t="n">
        <v>0</v>
      </c>
      <c r="K1610" t="n">
        <v>0</v>
      </c>
      <c r="L1610" t="inlineStr"/>
      <c r="M1610" t="inlineStr"/>
      <c r="N1610" t="n">
        <v>0</v>
      </c>
      <c r="P1610" t="inlineStr"/>
    </row>
    <row r="1611">
      <c r="A1611" t="n">
        <v>70</v>
      </c>
      <c r="B1611" t="n">
        <v>1</v>
      </c>
      <c r="D1611" t="n">
        <v>6</v>
      </c>
      <c r="E1611" t="inlineStr">
        <is>
          <t>Лист_НРиСП</t>
        </is>
      </c>
      <c r="F1611" t="inlineStr"/>
      <c r="G1611" t="n">
        <v>2</v>
      </c>
      <c r="H1611" t="n">
        <v>0</v>
      </c>
      <c r="I1611" t="inlineStr"/>
      <c r="J1611" t="n">
        <v>0</v>
      </c>
      <c r="K1611" t="n">
        <v>0</v>
      </c>
      <c r="L1611" t="inlineStr"/>
      <c r="M1611" t="inlineStr"/>
      <c r="N1611" t="n">
        <v>0</v>
      </c>
      <c r="P1611" t="inlineStr"/>
    </row>
    <row r="1612"/>
    <row r="1613">
      <c r="A1613" t="n">
        <v>-1</v>
      </c>
    </row>
    <row r="1614"/>
    <row r="1615">
      <c r="A1615" s="403" t="n">
        <v>75</v>
      </c>
      <c r="B1615" s="403" t="inlineStr">
        <is>
          <t>Уровень цен</t>
        </is>
      </c>
      <c r="C1615" s="403" t="n">
        <v>2025</v>
      </c>
      <c r="D1615" s="403" t="n">
        <v>0</v>
      </c>
      <c r="E1615" s="403" t="n">
        <v>6</v>
      </c>
      <c r="F1615" s="403" t="n"/>
      <c r="G1615" s="403" t="n">
        <v>0</v>
      </c>
      <c r="H1615" s="403" t="n">
        <v>1</v>
      </c>
      <c r="I1615" s="403" t="n">
        <v>0</v>
      </c>
      <c r="J1615" s="403" t="n">
        <v>3</v>
      </c>
      <c r="K1615" s="403" t="n">
        <v>0</v>
      </c>
      <c r="L1615" s="403" t="n">
        <v>0</v>
      </c>
      <c r="M1615" s="403" t="n">
        <v>0</v>
      </c>
      <c r="N1615" s="403" t="n">
        <v>78869116</v>
      </c>
      <c r="O1615" s="403" t="n">
        <v>1</v>
      </c>
    </row>
    <row r="1616">
      <c r="A1616" s="405" t="n">
        <v>1</v>
      </c>
      <c r="B1616" s="405" t="inlineStr">
        <is>
          <t>Сборник индексов</t>
        </is>
      </c>
      <c r="C1616" s="405" t="inlineStr">
        <is>
          <t>ТСНБ-2001 Московской области (редакция 2014 г)</t>
        </is>
      </c>
      <c r="D1616" s="405" t="n">
        <v>2025</v>
      </c>
      <c r="E1616" s="405" t="n">
        <v>6</v>
      </c>
      <c r="F1616" s="405" t="n">
        <v>1</v>
      </c>
      <c r="G1616" s="405" t="n">
        <v>1</v>
      </c>
      <c r="H1616" s="405" t="n">
        <v>0</v>
      </c>
      <c r="I1616" s="405" t="n">
        <v>2</v>
      </c>
      <c r="J1616" s="405" t="n">
        <v>1</v>
      </c>
      <c r="K1616" s="405" t="n">
        <v>1</v>
      </c>
      <c r="L1616" s="405" t="n">
        <v>1</v>
      </c>
      <c r="M1616" s="405" t="n">
        <v>1</v>
      </c>
      <c r="N1616" s="405" t="n">
        <v>1</v>
      </c>
      <c r="O1616" s="405" t="n">
        <v>1</v>
      </c>
      <c r="P1616" s="405" t="n">
        <v>1</v>
      </c>
      <c r="Q1616" s="405" t="n">
        <v>1</v>
      </c>
      <c r="R1616" s="405" t="inlineStr"/>
      <c r="S1616" s="405" t="inlineStr"/>
      <c r="T1616" s="405" t="inlineStr"/>
      <c r="U1616" s="405" t="inlineStr"/>
      <c r="V1616" s="405" t="inlineStr"/>
      <c r="W1616" s="405" t="inlineStr"/>
      <c r="X1616" s="405" t="inlineStr"/>
      <c r="Y1616" s="405" t="inlineStr"/>
      <c r="Z1616" s="405" t="inlineStr"/>
      <c r="AA1616" s="405" t="inlineStr"/>
      <c r="AB1616" s="405" t="n"/>
      <c r="AC1616" s="405" t="n"/>
      <c r="AD1616" s="405" t="n"/>
      <c r="AE1616" s="405" t="n"/>
      <c r="AF1616" s="405" t="n"/>
      <c r="AG1616" s="405" t="n"/>
      <c r="AH1616" s="405" t="n"/>
      <c r="AI1616" s="405" t="n"/>
      <c r="AJ1616" s="405" t="n"/>
      <c r="AK1616" s="405" t="n"/>
      <c r="AL1616" s="405" t="n"/>
      <c r="AM1616" s="405" t="n"/>
      <c r="AN1616" s="405" t="n">
        <v>78869117</v>
      </c>
      <c r="AO1616" s="405" t="n"/>
      <c r="AP1616" s="405" t="n"/>
      <c r="AQ1616" s="405" t="n"/>
      <c r="AR1616" s="405" t="n"/>
      <c r="AS1616" s="405" t="n"/>
      <c r="AT1616" s="405" t="n"/>
      <c r="AU1616" s="405" t="n"/>
      <c r="AV1616" s="405" t="n"/>
      <c r="AW1616" s="405" t="n"/>
      <c r="AX1616" s="405" t="n"/>
    </row>
    <row r="1617">
      <c r="A1617" s="405" t="n">
        <v>2</v>
      </c>
      <c r="B1617" s="405" t="inlineStr">
        <is>
          <t>Вид цен</t>
        </is>
      </c>
      <c r="C1617" s="405" t="inlineStr"/>
      <c r="D1617" s="405" t="n">
        <v>0</v>
      </c>
      <c r="E1617" s="405" t="n">
        <v>0</v>
      </c>
      <c r="F1617" s="405" t="n">
        <v>-1</v>
      </c>
      <c r="G1617" s="405" t="n"/>
      <c r="H1617" s="405" t="n"/>
      <c r="I1617" s="405" t="n"/>
      <c r="J1617" s="405" t="n"/>
      <c r="K1617" s="405" t="n"/>
      <c r="L1617" s="405" t="n"/>
      <c r="M1617" s="405" t="n"/>
      <c r="N1617" s="405" t="n"/>
      <c r="O1617" s="405" t="n"/>
      <c r="P1617" s="405" t="n"/>
      <c r="Q1617" s="405" t="n"/>
      <c r="R1617" s="405" t="n"/>
      <c r="S1617" s="405" t="n"/>
      <c r="T1617" s="405" t="n"/>
      <c r="U1617" s="405" t="n"/>
      <c r="V1617" s="405" t="n"/>
      <c r="W1617" s="405" t="n"/>
      <c r="X1617" s="405" t="n"/>
      <c r="Y1617" s="405" t="n"/>
      <c r="Z1617" s="405" t="n"/>
      <c r="AA1617" s="405" t="n"/>
      <c r="AB1617" s="405" t="n"/>
      <c r="AC1617" s="405" t="n"/>
      <c r="AD1617" s="405" t="n"/>
      <c r="AE1617" s="405" t="n"/>
      <c r="AF1617" s="405" t="n"/>
      <c r="AG1617" s="405" t="n"/>
      <c r="AH1617" s="405" t="n"/>
      <c r="AI1617" s="405" t="n"/>
      <c r="AJ1617" s="405" t="n"/>
      <c r="AK1617" s="405" t="n"/>
      <c r="AL1617" s="405" t="n"/>
      <c r="AM1617" s="405" t="n"/>
      <c r="AN1617" s="405" t="n">
        <v>78869118</v>
      </c>
    </row>
    <row r="1618">
      <c r="A1618" s="405" t="n">
        <v>1</v>
      </c>
      <c r="B1618" s="405" t="inlineStr">
        <is>
          <t>Сборник индексов</t>
        </is>
      </c>
      <c r="C1618" s="405" t="inlineStr">
        <is>
          <t>МО эксплуатация дорог</t>
        </is>
      </c>
      <c r="D1618" s="405" t="n">
        <v>2025</v>
      </c>
      <c r="E1618" s="405" t="n">
        <v>9</v>
      </c>
      <c r="F1618" s="405" t="n">
        <v>1</v>
      </c>
      <c r="G1618" s="405" t="n">
        <v>1</v>
      </c>
      <c r="H1618" s="405" t="n">
        <v>0</v>
      </c>
      <c r="I1618" s="405" t="n">
        <v>2</v>
      </c>
      <c r="J1618" s="405" t="n">
        <v>1</v>
      </c>
      <c r="K1618" s="405" t="n">
        <v>1</v>
      </c>
      <c r="L1618" s="405" t="n">
        <v>1</v>
      </c>
      <c r="M1618" s="405" t="n">
        <v>1</v>
      </c>
      <c r="N1618" s="405" t="n">
        <v>1</v>
      </c>
      <c r="O1618" s="405" t="n">
        <v>1</v>
      </c>
      <c r="P1618" s="405" t="n">
        <v>1</v>
      </c>
      <c r="Q1618" s="405" t="n">
        <v>1</v>
      </c>
      <c r="R1618" s="405" t="inlineStr"/>
      <c r="S1618" s="405" t="inlineStr"/>
      <c r="T1618" s="405" t="inlineStr"/>
      <c r="U1618" s="405" t="inlineStr"/>
      <c r="V1618" s="405" t="inlineStr"/>
      <c r="W1618" s="405" t="inlineStr"/>
      <c r="X1618" s="405" t="inlineStr"/>
      <c r="Y1618" s="405" t="inlineStr"/>
      <c r="Z1618" s="405" t="inlineStr"/>
      <c r="AA1618" s="405" t="inlineStr"/>
      <c r="AB1618" s="405" t="n"/>
      <c r="AC1618" s="405" t="n"/>
      <c r="AD1618" s="405" t="n"/>
      <c r="AE1618" s="405" t="n"/>
      <c r="AF1618" s="405" t="n"/>
      <c r="AG1618" s="405" t="n"/>
      <c r="AH1618" s="405" t="n"/>
      <c r="AI1618" s="405" t="n"/>
      <c r="AJ1618" s="405" t="n"/>
      <c r="AK1618" s="405" t="n"/>
      <c r="AL1618" s="405" t="n"/>
      <c r="AM1618" s="405" t="n"/>
      <c r="AN1618" s="405" t="n">
        <v>78869119</v>
      </c>
      <c r="AO1618" s="405" t="n"/>
      <c r="AP1618" s="405" t="n"/>
      <c r="AQ1618" s="405" t="n"/>
      <c r="AR1618" s="405" t="n"/>
      <c r="AS1618" s="405" t="n"/>
      <c r="AT1618" s="405" t="n"/>
      <c r="AU1618" s="405" t="n"/>
      <c r="AV1618" s="405" t="n"/>
      <c r="AW1618" s="405" t="n"/>
      <c r="AX1618" s="405" t="n"/>
    </row>
    <row r="1619"/>
    <row r="1620"/>
    <row r="1621"/>
    <row r="1622">
      <c r="A1622" t="n">
        <v>65</v>
      </c>
      <c r="C1622" t="n">
        <v>1</v>
      </c>
      <c r="D1622" t="n">
        <v>0</v>
      </c>
      <c r="E1622" t="n">
        <v>245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197" min="1" max="1"/>
    <col width="13" customWidth="1" style="197" min="2" max="2"/>
    <col width="13" customWidth="1" style="197" min="3" max="3"/>
    <col width="13" customWidth="1" style="197" min="4" max="4"/>
    <col width="13" customWidth="1" style="197" min="5" max="5"/>
    <col width="13" customWidth="1" style="197" min="6" max="6"/>
    <col width="13" customWidth="1" style="197" min="7" max="7"/>
    <col width="13" customWidth="1" style="197" min="8" max="8"/>
    <col width="13" customWidth="1" style="197" min="9" max="9"/>
    <col width="13" customWidth="1" style="197" min="10" max="10"/>
    <col width="13" customWidth="1" style="197" min="11" max="11"/>
    <col width="13" customWidth="1" style="197" min="12" max="12"/>
    <col width="13" customWidth="1" style="197" min="13" max="13"/>
    <col width="13" customWidth="1" style="197" min="14" max="14"/>
    <col width="13" customWidth="1" style="197" min="15" max="15"/>
    <col width="13" customWidth="1" style="197" min="16" max="16"/>
    <col width="13" customWidth="1" style="197" min="17" max="17"/>
    <col width="13" customWidth="1" style="197" min="18" max="18"/>
    <col width="13" customWidth="1" style="197" min="19" max="19"/>
    <col width="13" customWidth="1" style="197" min="20" max="20"/>
    <col width="13" customWidth="1" style="197" min="21" max="21"/>
    <col width="13" customWidth="1" style="197" min="22" max="22"/>
    <col width="13" customWidth="1" style="197" min="23" max="23"/>
    <col width="13" customWidth="1" style="197" min="24" max="24"/>
    <col width="13" customWidth="1" style="197" min="25" max="25"/>
    <col width="13" customWidth="1" style="197" min="26" max="26"/>
    <col width="13" customWidth="1" style="197" min="27" max="27"/>
    <col width="13" customWidth="1" style="197" min="28" max="28"/>
    <col width="13" customWidth="1" style="197" min="29" max="29"/>
    <col width="13" customWidth="1" style="197" min="30" max="30"/>
    <col width="13" customWidth="1" style="197" min="31" max="31"/>
    <col width="13" customWidth="1" style="197" min="32" max="32"/>
    <col width="13" customWidth="1" style="197" min="33" max="33"/>
    <col width="13" customWidth="1" style="197" min="34" max="34"/>
    <col width="13" customWidth="1" style="197" min="35" max="35"/>
    <col width="13" customWidth="1" style="197" min="36" max="36"/>
    <col width="13" customWidth="1" style="197" min="37" max="37"/>
    <col width="13" customWidth="1" style="197" min="38" max="38"/>
    <col width="13" customWidth="1" style="197" min="39" max="39"/>
    <col width="13" customWidth="1" style="197" min="40" max="40"/>
    <col width="13" customWidth="1" style="197" min="41" max="41"/>
    <col width="13" customWidth="1" style="197" min="42" max="42"/>
    <col width="13" customWidth="1" style="197" min="43" max="43"/>
    <col width="13" customWidth="1" style="197" min="44" max="44"/>
    <col width="13" customWidth="1" style="197" min="45" max="45"/>
    <col width="13" customWidth="1" style="197" min="46" max="46"/>
    <col width="13" customWidth="1" style="197" min="47" max="47"/>
    <col width="13" customWidth="1" style="197" min="48" max="48"/>
    <col width="13" customWidth="1" style="197" min="49" max="49"/>
    <col width="13" customWidth="1" style="197" min="50" max="50"/>
    <col width="13" customWidth="1" style="197" min="51" max="51"/>
    <col width="13" customWidth="1" style="197" min="52" max="52"/>
    <col width="13" customWidth="1" style="197" min="53" max="53"/>
    <col width="13" customWidth="1" style="197" min="54" max="54"/>
    <col width="13" customWidth="1" style="197" min="55" max="55"/>
    <col width="13" customWidth="1" style="197" min="56" max="56"/>
    <col width="13" customWidth="1" style="197" min="57" max="57"/>
    <col width="13" customWidth="1" style="197" min="58" max="58"/>
    <col width="13" customWidth="1" style="197" min="59" max="59"/>
    <col width="13" customWidth="1" style="197" min="60" max="60"/>
    <col width="13" customWidth="1" style="197" min="61" max="61"/>
    <col width="13" customWidth="1" style="197" min="62" max="62"/>
    <col width="13" customWidth="1" style="197" min="63" max="63"/>
    <col width="13" customWidth="1" style="197" min="64" max="64"/>
    <col width="13" customWidth="1" style="197" min="65" max="65"/>
    <col width="13" customWidth="1" style="197" min="66" max="66"/>
    <col width="13" customWidth="1" style="197" min="67" max="67"/>
    <col width="13" customWidth="1" style="197" min="68" max="68"/>
    <col width="13" customWidth="1" style="197" min="69" max="69"/>
    <col width="13" customWidth="1" style="197" min="70" max="70"/>
    <col width="13" customWidth="1" style="197" min="71" max="71"/>
    <col width="13" customWidth="1" style="197" min="72" max="72"/>
    <col width="13" customWidth="1" style="197" min="73" max="73"/>
    <col width="13" customWidth="1" style="197" min="74" max="74"/>
    <col width="13" customWidth="1" style="197" min="75" max="75"/>
    <col width="13" customWidth="1" style="197" min="76" max="76"/>
    <col width="13" customWidth="1" style="197" min="77" max="77"/>
    <col width="13" customWidth="1" style="197" min="78" max="78"/>
    <col width="13" customWidth="1" style="197" min="79" max="79"/>
    <col width="13" customWidth="1" style="197" min="80" max="80"/>
    <col width="13" customWidth="1" style="197" min="81" max="81"/>
    <col width="13" customWidth="1" style="197" min="82" max="82"/>
    <col width="13" customWidth="1" style="197" min="83" max="83"/>
    <col width="13" customWidth="1" style="197" min="84" max="84"/>
    <col width="13" customWidth="1" style="197" min="85" max="85"/>
    <col width="13" customWidth="1" style="197" min="86" max="86"/>
    <col width="13" customWidth="1" style="197" min="87" max="87"/>
    <col width="13" customWidth="1" style="197" min="88" max="88"/>
    <col width="13" customWidth="1" style="197" min="89" max="89"/>
    <col width="13" customWidth="1" style="197" min="90" max="90"/>
    <col width="13" customWidth="1" style="197" min="91" max="91"/>
    <col width="13" customWidth="1" style="197" min="92" max="92"/>
    <col width="13" customWidth="1" style="197" min="93" max="93"/>
    <col width="13" customWidth="1" style="197" min="94" max="94"/>
    <col width="13" customWidth="1" style="197" min="95" max="95"/>
    <col width="13" customWidth="1" style="197" min="96" max="96"/>
    <col width="13" customWidth="1" style="197" min="97" max="97"/>
    <col width="13" customWidth="1" style="197" min="98" max="98"/>
    <col width="13" customWidth="1" style="197" min="99" max="99"/>
    <col width="13" customWidth="1" style="197" min="100" max="100"/>
    <col width="13" customWidth="1" style="197" min="101" max="101"/>
    <col width="13" customWidth="1" style="197" min="102" max="102"/>
    <col width="13" customWidth="1" style="197" min="103" max="103"/>
    <col width="13" customWidth="1" style="197" min="104" max="104"/>
    <col width="13" customWidth="1" style="197" min="105" max="105"/>
    <col width="13" customWidth="1" style="197" min="106" max="106"/>
    <col width="13" customWidth="1" style="197" min="107" max="107"/>
    <col width="13" customWidth="1" style="197" min="108" max="108"/>
    <col width="13" customWidth="1" style="197" min="109" max="109"/>
    <col width="13" customWidth="1" style="197" min="110" max="110"/>
    <col width="13" customWidth="1" style="197" min="111" max="111"/>
    <col width="13" customWidth="1" style="197" min="112" max="112"/>
    <col width="13" customWidth="1" style="197" min="113" max="113"/>
    <col width="13" customWidth="1" style="197" min="114" max="114"/>
    <col width="13" customWidth="1" style="197" min="115" max="115"/>
    <col width="13" customWidth="1" style="197" min="116" max="116"/>
    <col width="13" customWidth="1" style="197" min="117" max="117"/>
    <col width="13" customWidth="1" style="197" min="118" max="118"/>
    <col width="13" customWidth="1" style="197" min="119" max="119"/>
    <col width="13" customWidth="1" style="197" min="120" max="120"/>
    <col width="13" customWidth="1" style="197" min="121" max="121"/>
    <col width="13" customWidth="1" style="197" min="122" max="122"/>
    <col width="13" customWidth="1" style="197" min="123" max="123"/>
    <col width="13" customWidth="1" style="197" min="124" max="124"/>
    <col width="13" customWidth="1" style="197" min="125" max="125"/>
    <col width="13" customWidth="1" style="197" min="126" max="126"/>
    <col width="13" customWidth="1" style="197" min="127" max="127"/>
    <col width="13" customWidth="1" style="197" min="128" max="128"/>
    <col width="13" customWidth="1" style="197" min="129" max="129"/>
    <col width="13" customWidth="1" style="197" min="130" max="130"/>
    <col width="13" customWidth="1" style="197" min="131" max="131"/>
    <col width="13" customWidth="1" style="197" min="132" max="132"/>
    <col width="13" customWidth="1" style="197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401" t="n">
        <v>1</v>
      </c>
      <c r="B12" s="401" t="n">
        <v>54</v>
      </c>
      <c r="C12" s="401" t="n">
        <v>0</v>
      </c>
      <c r="D12" s="401" t="n"/>
      <c r="E12" s="401" t="n">
        <v>0</v>
      </c>
      <c r="F12" s="401" t="inlineStr">
        <is>
          <t>Новый объект</t>
        </is>
      </c>
      <c r="G12" s="401" t="inlineStr">
        <is>
          <t>Текущий ремонт МКД по адресу: М.О., Щелково за октябрь</t>
        </is>
      </c>
      <c r="H12" s="401" t="inlineStr"/>
      <c r="I12" s="401" t="n">
        <v>0</v>
      </c>
      <c r="J12" s="401" t="inlineStr"/>
      <c r="K12" s="401" t="n">
        <v>0</v>
      </c>
      <c r="L12" s="401" t="n">
        <v>0</v>
      </c>
      <c r="M12" s="401" t="n">
        <v>11</v>
      </c>
      <c r="N12" s="401" t="n"/>
      <c r="O12" s="401" t="n">
        <v>0</v>
      </c>
      <c r="P12" s="401" t="n">
        <v>0</v>
      </c>
      <c r="Q12" s="401" t="n">
        <v>0</v>
      </c>
      <c r="R12" s="401" t="n">
        <v>0</v>
      </c>
      <c r="S12" s="401" t="n"/>
      <c r="T12" s="401" t="n">
        <v>4</v>
      </c>
      <c r="U12" s="401" t="inlineStr"/>
      <c r="V12" s="401" t="n">
        <v>0</v>
      </c>
      <c r="W12" s="401" t="inlineStr"/>
      <c r="X12" s="401" t="inlineStr"/>
      <c r="Y12" s="401" t="inlineStr"/>
      <c r="Z12" s="401" t="inlineStr"/>
      <c r="AA12" s="401" t="inlineStr"/>
      <c r="AB12" s="401" t="inlineStr"/>
      <c r="AC12" s="401" t="inlineStr"/>
      <c r="AD12" s="401" t="inlineStr"/>
      <c r="AE12" s="401" t="inlineStr"/>
      <c r="AF12" s="401" t="inlineStr"/>
      <c r="AG12" s="401" t="inlineStr"/>
      <c r="AH12" s="401" t="inlineStr"/>
      <c r="AI12" s="401" t="inlineStr"/>
      <c r="AJ12" s="401" t="inlineStr"/>
      <c r="AK12" s="401" t="n"/>
      <c r="AL12" s="401" t="inlineStr"/>
      <c r="AM12" s="401" t="inlineStr"/>
      <c r="AN12" s="401" t="inlineStr"/>
      <c r="AO12" s="401" t="n"/>
      <c r="AP12" s="401" t="inlineStr"/>
      <c r="AQ12" s="401" t="inlineStr"/>
      <c r="AR12" s="401" t="inlineStr"/>
      <c r="AS12" s="401" t="n"/>
      <c r="AT12" s="401" t="n"/>
      <c r="AU12" s="401" t="n"/>
      <c r="AV12" s="401" t="n"/>
      <c r="AW12" s="401" t="n"/>
      <c r="AX12" s="401" t="inlineStr"/>
      <c r="AY12" s="401" t="inlineStr"/>
      <c r="AZ12" s="401" t="inlineStr"/>
      <c r="BA12" s="401" t="n"/>
      <c r="BB12" s="401" t="n">
        <v>0</v>
      </c>
      <c r="BC12" s="401" t="n"/>
      <c r="BD12" s="401" t="n"/>
      <c r="BE12" s="401" t="n"/>
      <c r="BF12" s="401" t="n"/>
      <c r="BG12" s="401" t="n"/>
      <c r="BH12" s="401" t="inlineStr">
        <is>
          <t>Сметные нормы списания</t>
        </is>
      </c>
      <c r="BI12" s="401" t="inlineStr">
        <is>
          <t>Коды ценников</t>
        </is>
      </c>
      <c r="BJ12" s="401" t="n">
        <v>1</v>
      </c>
      <c r="BK12" s="401" t="n">
        <v>1</v>
      </c>
      <c r="BL12" s="401" t="n">
        <v>0</v>
      </c>
      <c r="BM12" s="401" t="n">
        <v>0</v>
      </c>
      <c r="BN12" s="401" t="n">
        <v>1</v>
      </c>
      <c r="BO12" s="401" t="n">
        <v>0</v>
      </c>
      <c r="BP12" s="401" t="n">
        <v>2</v>
      </c>
      <c r="BQ12" s="401" t="n">
        <v>2</v>
      </c>
      <c r="BR12" s="401" t="n">
        <v>1</v>
      </c>
      <c r="BS12" s="401" t="n">
        <v>1</v>
      </c>
      <c r="BT12" s="401" t="n">
        <v>0</v>
      </c>
      <c r="BU12" s="401" t="n">
        <v>0</v>
      </c>
      <c r="BV12" s="401" t="n">
        <v>1</v>
      </c>
      <c r="BW12" s="401" t="n">
        <v>0</v>
      </c>
      <c r="BX12" s="401" t="n">
        <v>0</v>
      </c>
      <c r="BY12" s="401" t="inlineStr">
        <is>
          <t>ТСНБ-2001 МО 421пр построчно</t>
        </is>
      </c>
      <c r="BZ12" s="401" t="inlineStr">
        <is>
          <t>Версия 1.7.6 ГСН (ГЭСН, ФЕР) и ТЕР (Методики НР (812/пр, 636/пр, 611/пр) и СП (774/пр и 317/пр) для версии 11.14.0.0</t>
        </is>
      </c>
      <c r="CA12" s="401" t="inlineStr">
        <is>
          <t>ТСНБ-2001 Московской области (редакция 2014 г версия 15.0)</t>
        </is>
      </c>
      <c r="CB12" s="401" t="inlineStr">
        <is>
          <t>ТСНБ-2001 Московской области (редакция 2014 г версия 15.0)</t>
        </is>
      </c>
      <c r="CC12" s="401" t="inlineStr">
        <is>
          <t>ТСНБ-2001 Московской области (редакция 2014 г версия 15.0)</t>
        </is>
      </c>
      <c r="CD12" s="401" t="inlineStr">
        <is>
          <t>ТСНБ-2001 Московской области (редакция 2014 г версия 15.0)</t>
        </is>
      </c>
      <c r="CE12" s="401" t="inlineStr">
        <is>
          <t>Поправки для НБ 2014 года от 15.06.2021 г. Строительство</t>
        </is>
      </c>
      <c r="CF12" s="401" t="n">
        <v>0</v>
      </c>
      <c r="CG12" s="401" t="n">
        <v>0</v>
      </c>
      <c r="CH12" s="401" t="n">
        <v>402989064</v>
      </c>
      <c r="CI12" s="401" t="inlineStr"/>
      <c r="CJ12" s="401" t="inlineStr"/>
      <c r="CK12" s="401" t="n">
        <v>1</v>
      </c>
      <c r="CL12" s="401" t="n"/>
      <c r="CM12" s="401" t="n"/>
      <c r="CN12" s="401" t="n"/>
      <c r="CO12" s="401" t="n"/>
      <c r="CP12" s="401" t="n"/>
      <c r="CQ12" s="401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401" t="inlineStr">
        <is>
          <t>ТЕР</t>
        </is>
      </c>
      <c r="CS12" s="401" t="n">
        <v>42794</v>
      </c>
      <c r="CT12" s="401" t="n">
        <v>421</v>
      </c>
      <c r="CU12" s="401" t="n"/>
      <c r="CV12" s="401" t="n"/>
      <c r="CW12" s="401" t="n"/>
      <c r="CX12" s="401" t="n"/>
      <c r="CY12" s="401" t="n">
        <v>0</v>
      </c>
      <c r="CZ12" s="401" t="inlineStr"/>
      <c r="DA12" s="401" t="inlineStr"/>
      <c r="DB12" s="401" t="n"/>
      <c r="DC12" s="401" t="n"/>
      <c r="DD12" s="401" t="n"/>
      <c r="DE12" s="401" t="n"/>
      <c r="DF12" s="401" t="n"/>
      <c r="DG12" s="401" t="n"/>
      <c r="DH12" s="401" t="n"/>
      <c r="DI12" s="401" t="n"/>
      <c r="DJ12" s="401" t="n"/>
      <c r="DK12" s="401" t="n"/>
      <c r="DL12" s="401" t="n"/>
      <c r="DM12" s="401" t="n"/>
      <c r="DN12" s="401" t="n"/>
      <c r="DO12" s="401" t="n"/>
      <c r="DP12" s="401" t="n"/>
      <c r="DQ12" s="401" t="n"/>
      <c r="DR12" s="401" t="n"/>
      <c r="DS12" s="401" t="n"/>
      <c r="DT12" s="401" t="n"/>
      <c r="DU12" s="401" t="n"/>
      <c r="DV12" s="401" t="n"/>
      <c r="DW12" s="401" t="n"/>
      <c r="DX12" s="401" t="n"/>
      <c r="DY12" s="401" t="n"/>
      <c r="DZ12" s="401" t="n"/>
      <c r="EA12" s="401" t="n"/>
      <c r="EB12" s="401" t="n"/>
      <c r="EC12" s="401" t="n">
        <v>0</v>
      </c>
    </row>
    <row r="13"/>
    <row r="14">
      <c r="A14" s="401" t="n">
        <v>22</v>
      </c>
      <c r="B14" s="401" t="n">
        <v>1</v>
      </c>
      <c r="C14" s="401" t="n">
        <v>0</v>
      </c>
      <c r="D14" s="401" t="n">
        <v>78869116</v>
      </c>
      <c r="E14" s="401" t="n">
        <v>0</v>
      </c>
      <c r="F14" s="401" t="n">
        <v>2</v>
      </c>
      <c r="G14" s="401" t="n">
        <v>1</v>
      </c>
      <c r="H14" s="401" t="n"/>
      <c r="I14" s="401" t="n"/>
      <c r="J14" s="401" t="n"/>
      <c r="K14" s="401" t="n"/>
      <c r="L14" s="401" t="n"/>
      <c r="M14" s="401" t="n"/>
      <c r="N14" s="401" t="n"/>
      <c r="O14" s="401" t="n"/>
    </row>
    <row r="15"/>
    <row r="16">
      <c r="A16" s="406" t="n">
        <v>3</v>
      </c>
      <c r="B16" s="406" t="n">
        <v>14</v>
      </c>
      <c r="C16" s="406" t="inlineStr">
        <is>
          <t>Новая локальная смета</t>
        </is>
      </c>
      <c r="D16" s="406" t="inlineStr">
        <is>
          <t>Молодежная 8</t>
        </is>
      </c>
      <c r="E16" s="407">
        <f>ROUND((Source!F638)/1000,2)</f>
        <v/>
      </c>
      <c r="F16" s="407">
        <f>ROUND((Source!F639)/1000,2)</f>
        <v/>
      </c>
      <c r="G16" s="407">
        <f>ROUND((Source!F630)/1000,2)</f>
        <v/>
      </c>
      <c r="H16" s="407">
        <f>ROUND((Source!F640)/1000+(Source!F641)/1000,2)</f>
        <v/>
      </c>
      <c r="I16" s="407">
        <f>E16+F16+G16+H16</f>
        <v/>
      </c>
      <c r="J16" s="407">
        <f>ROUND((Source!F636+Source!F635)/1000,2)</f>
        <v/>
      </c>
      <c r="K16" s="407" t="n">
        <v>34.96</v>
      </c>
      <c r="L16" s="407" t="n">
        <v>0</v>
      </c>
      <c r="M16" s="407" t="n">
        <v>0</v>
      </c>
      <c r="N16" s="407">
        <f>I16+L16+M16</f>
        <v/>
      </c>
      <c r="AI16" s="406" t="n">
        <v>0</v>
      </c>
      <c r="AJ16" s="406" t="n">
        <v>0</v>
      </c>
      <c r="AK16" s="406" t="inlineStr"/>
      <c r="AL16" s="406" t="inlineStr"/>
      <c r="AM16" s="406" t="inlineStr"/>
      <c r="AN16" s="406" t="n">
        <v>0</v>
      </c>
      <c r="AO16" s="406" t="inlineStr"/>
      <c r="AP16" s="406" t="inlineStr"/>
      <c r="AT16" s="407" t="n">
        <v>31301</v>
      </c>
      <c r="AU16" s="407" t="n">
        <v>3663</v>
      </c>
      <c r="AV16" s="407" t="n">
        <v>0</v>
      </c>
      <c r="AW16" s="407" t="n">
        <v>0</v>
      </c>
      <c r="AX16" s="407" t="n">
        <v>0</v>
      </c>
      <c r="AY16" s="407" t="n">
        <v>1311</v>
      </c>
      <c r="AZ16" s="407" t="n">
        <v>261</v>
      </c>
      <c r="BA16" s="407" t="n">
        <v>26327</v>
      </c>
      <c r="BB16" s="407" t="n">
        <v>77664</v>
      </c>
      <c r="BC16" s="407" t="n">
        <v>0</v>
      </c>
      <c r="BD16" s="407" t="n">
        <v>0</v>
      </c>
      <c r="BE16" s="407" t="n">
        <v>0</v>
      </c>
      <c r="BF16" s="407" t="n">
        <v>52.936</v>
      </c>
      <c r="BG16" s="407" t="n">
        <v>0.3787</v>
      </c>
      <c r="BH16" s="407" t="n">
        <v>0</v>
      </c>
      <c r="BI16" s="407" t="n">
        <v>29758</v>
      </c>
      <c r="BJ16" s="407" t="n">
        <v>16605</v>
      </c>
      <c r="BK16" s="407" t="n">
        <v>77664</v>
      </c>
    </row>
    <row r="17"/>
    <row r="18">
      <c r="A18" t="n">
        <v>51</v>
      </c>
      <c r="E18" t="n">
        <v>77.66</v>
      </c>
      <c r="F18" t="n">
        <v>0</v>
      </c>
      <c r="G18" t="n">
        <v>0</v>
      </c>
      <c r="H18" t="n">
        <v>0</v>
      </c>
      <c r="I18" t="n">
        <v>77.66</v>
      </c>
      <c r="J18" t="n">
        <v>26.59</v>
      </c>
      <c r="K18" t="n">
        <v>34.96</v>
      </c>
      <c r="L18" t="n">
        <v>0</v>
      </c>
      <c r="M18" t="n">
        <v>0</v>
      </c>
      <c r="N18" t="n">
        <v>77.66</v>
      </c>
    </row>
    <row r="19"/>
    <row r="20">
      <c r="A20" s="404" t="n">
        <v>50</v>
      </c>
      <c r="B20" s="404" t="n">
        <v>0</v>
      </c>
      <c r="C20" s="404" t="n">
        <v>0</v>
      </c>
      <c r="D20" s="404" t="n">
        <v>1</v>
      </c>
      <c r="E20" s="404" t="n">
        <v>201</v>
      </c>
      <c r="F20" s="404" t="n">
        <v>31301</v>
      </c>
      <c r="G20" s="404" t="inlineStr">
        <is>
          <t>ПЗ</t>
        </is>
      </c>
      <c r="H20" s="404" t="inlineStr">
        <is>
          <t>Прямые затраты</t>
        </is>
      </c>
      <c r="I20" s="404" t="n"/>
      <c r="J20" s="404" t="n"/>
      <c r="K20" s="404" t="n">
        <v>201</v>
      </c>
      <c r="L20" s="404" t="n">
        <v>1</v>
      </c>
      <c r="M20" s="404" t="n">
        <v>3</v>
      </c>
      <c r="N20" s="404" t="inlineStr"/>
      <c r="O20" s="404" t="n">
        <v>2</v>
      </c>
      <c r="P20" s="404" t="n"/>
    </row>
    <row r="21">
      <c r="A21" s="404" t="n">
        <v>50</v>
      </c>
      <c r="B21" s="404" t="n">
        <v>0</v>
      </c>
      <c r="C21" s="404" t="n">
        <v>0</v>
      </c>
      <c r="D21" s="404" t="n">
        <v>1</v>
      </c>
      <c r="E21" s="404" t="n">
        <v>202</v>
      </c>
      <c r="F21" s="404" t="n">
        <v>3663</v>
      </c>
      <c r="G21" s="404" t="inlineStr">
        <is>
          <t>СтМатОб</t>
        </is>
      </c>
      <c r="H21" s="404" t="inlineStr">
        <is>
          <t>Стоимость материальных ресурсов (всего)</t>
        </is>
      </c>
      <c r="I21" s="404" t="n"/>
      <c r="J21" s="404" t="n"/>
      <c r="K21" s="404" t="n">
        <v>202</v>
      </c>
      <c r="L21" s="404" t="n">
        <v>2</v>
      </c>
      <c r="M21" s="404" t="n">
        <v>3</v>
      </c>
      <c r="N21" s="404" t="inlineStr"/>
      <c r="O21" s="404" t="n">
        <v>2</v>
      </c>
      <c r="P21" s="404" t="n"/>
    </row>
    <row r="22">
      <c r="A22" s="404" t="n">
        <v>50</v>
      </c>
      <c r="B22" s="404" t="n">
        <v>0</v>
      </c>
      <c r="C22" s="404" t="n">
        <v>0</v>
      </c>
      <c r="D22" s="404" t="n">
        <v>1</v>
      </c>
      <c r="E22" s="404" t="n">
        <v>222</v>
      </c>
      <c r="F22" s="404" t="n">
        <v>0</v>
      </c>
      <c r="G22" s="404" t="inlineStr">
        <is>
          <t>СтМатОбЗак</t>
        </is>
      </c>
      <c r="H22" s="404" t="inlineStr">
        <is>
          <t>Стоимость материалов и оборудования заказчика</t>
        </is>
      </c>
      <c r="I22" s="404" t="n"/>
      <c r="J22" s="404" t="n"/>
      <c r="K22" s="404" t="n">
        <v>222</v>
      </c>
      <c r="L22" s="404" t="n">
        <v>3</v>
      </c>
      <c r="M22" s="404" t="n">
        <v>3</v>
      </c>
      <c r="N22" s="404" t="inlineStr"/>
      <c r="O22" s="404" t="n">
        <v>2</v>
      </c>
      <c r="P22" s="404" t="n"/>
    </row>
    <row r="23">
      <c r="A23" s="404" t="n">
        <v>50</v>
      </c>
      <c r="B23" s="404" t="n">
        <v>0</v>
      </c>
      <c r="C23" s="404" t="n">
        <v>0</v>
      </c>
      <c r="D23" s="404" t="n">
        <v>1</v>
      </c>
      <c r="E23" s="404" t="n">
        <v>225</v>
      </c>
      <c r="F23" s="404" t="n">
        <v>3663</v>
      </c>
      <c r="G23" s="404" t="inlineStr">
        <is>
          <t>СтМатОбПод</t>
        </is>
      </c>
      <c r="H23" s="404" t="inlineStr">
        <is>
          <t>Стоимость материалов и оборудования подрядчика</t>
        </is>
      </c>
      <c r="I23" s="404" t="n"/>
      <c r="J23" s="404" t="n"/>
      <c r="K23" s="404" t="n">
        <v>225</v>
      </c>
      <c r="L23" s="404" t="n">
        <v>4</v>
      </c>
      <c r="M23" s="404" t="n">
        <v>3</v>
      </c>
      <c r="N23" s="404" t="inlineStr"/>
      <c r="O23" s="404" t="n">
        <v>2</v>
      </c>
      <c r="P23" s="404" t="n"/>
    </row>
    <row r="24">
      <c r="A24" s="404" t="n">
        <v>50</v>
      </c>
      <c r="B24" s="404" t="n">
        <v>0</v>
      </c>
      <c r="C24" s="404" t="n">
        <v>0</v>
      </c>
      <c r="D24" s="404" t="n">
        <v>1</v>
      </c>
      <c r="E24" s="404" t="n">
        <v>226</v>
      </c>
      <c r="F24" s="404" t="n">
        <v>3663</v>
      </c>
      <c r="G24" s="404" t="inlineStr">
        <is>
          <t>СтМат</t>
        </is>
      </c>
      <c r="H24" s="404" t="inlineStr">
        <is>
          <t>Стоимость материалов (всего)</t>
        </is>
      </c>
      <c r="I24" s="404" t="n"/>
      <c r="J24" s="404" t="n"/>
      <c r="K24" s="404" t="n">
        <v>226</v>
      </c>
      <c r="L24" s="404" t="n">
        <v>5</v>
      </c>
      <c r="M24" s="404" t="n">
        <v>3</v>
      </c>
      <c r="N24" s="404" t="inlineStr"/>
      <c r="O24" s="404" t="n">
        <v>2</v>
      </c>
      <c r="P24" s="404" t="n"/>
    </row>
    <row r="25">
      <c r="A25" s="404" t="n">
        <v>50</v>
      </c>
      <c r="B25" s="404" t="n">
        <v>0</v>
      </c>
      <c r="C25" s="404" t="n">
        <v>0</v>
      </c>
      <c r="D25" s="404" t="n">
        <v>1</v>
      </c>
      <c r="E25" s="404" t="n">
        <v>227</v>
      </c>
      <c r="F25" s="404" t="n">
        <v>0</v>
      </c>
      <c r="G25" s="404" t="inlineStr">
        <is>
          <t>СтМатЗак</t>
        </is>
      </c>
      <c r="H25" s="404" t="inlineStr">
        <is>
          <t>Стоимость материалов заказчика</t>
        </is>
      </c>
      <c r="I25" s="404" t="n"/>
      <c r="J25" s="404" t="n"/>
      <c r="K25" s="404" t="n">
        <v>227</v>
      </c>
      <c r="L25" s="404" t="n">
        <v>6</v>
      </c>
      <c r="M25" s="404" t="n">
        <v>3</v>
      </c>
      <c r="N25" s="404" t="inlineStr"/>
      <c r="O25" s="404" t="n">
        <v>2</v>
      </c>
      <c r="P25" s="404" t="n"/>
    </row>
    <row r="26">
      <c r="A26" s="404" t="n">
        <v>50</v>
      </c>
      <c r="B26" s="404" t="n">
        <v>0</v>
      </c>
      <c r="C26" s="404" t="n">
        <v>0</v>
      </c>
      <c r="D26" s="404" t="n">
        <v>1</v>
      </c>
      <c r="E26" s="404" t="n">
        <v>228</v>
      </c>
      <c r="F26" s="404" t="n">
        <v>3663</v>
      </c>
      <c r="G26" s="404" t="inlineStr">
        <is>
          <t>СтМатПод</t>
        </is>
      </c>
      <c r="H26" s="404" t="inlineStr">
        <is>
          <t>Стоимость материалов подрядчика</t>
        </is>
      </c>
      <c r="I26" s="404" t="n"/>
      <c r="J26" s="404" t="n"/>
      <c r="K26" s="404" t="n">
        <v>228</v>
      </c>
      <c r="L26" s="404" t="n">
        <v>7</v>
      </c>
      <c r="M26" s="404" t="n">
        <v>3</v>
      </c>
      <c r="N26" s="404" t="inlineStr"/>
      <c r="O26" s="404" t="n">
        <v>2</v>
      </c>
      <c r="P26" s="404" t="n"/>
    </row>
    <row r="27">
      <c r="A27" s="404" t="n">
        <v>50</v>
      </c>
      <c r="B27" s="404" t="n">
        <v>0</v>
      </c>
      <c r="C27" s="404" t="n">
        <v>0</v>
      </c>
      <c r="D27" s="404" t="n">
        <v>1</v>
      </c>
      <c r="E27" s="404" t="n">
        <v>216</v>
      </c>
      <c r="F27" s="404" t="n">
        <v>0</v>
      </c>
      <c r="G27" s="404" t="inlineStr">
        <is>
          <t>Оборуд</t>
        </is>
      </c>
      <c r="H27" s="404" t="inlineStr">
        <is>
          <t>Стоимость оборудования (всего)</t>
        </is>
      </c>
      <c r="I27" s="404" t="n"/>
      <c r="J27" s="404" t="n"/>
      <c r="K27" s="404" t="n">
        <v>216</v>
      </c>
      <c r="L27" s="404" t="n">
        <v>8</v>
      </c>
      <c r="M27" s="404" t="n">
        <v>3</v>
      </c>
      <c r="N27" s="404" t="inlineStr"/>
      <c r="O27" s="404" t="n">
        <v>2</v>
      </c>
      <c r="P27" s="404" t="n"/>
    </row>
    <row r="28">
      <c r="A28" s="404" t="n">
        <v>50</v>
      </c>
      <c r="B28" s="404" t="n">
        <v>0</v>
      </c>
      <c r="C28" s="404" t="n">
        <v>0</v>
      </c>
      <c r="D28" s="404" t="n">
        <v>1</v>
      </c>
      <c r="E28" s="404" t="n">
        <v>223</v>
      </c>
      <c r="F28" s="404" t="n">
        <v>0</v>
      </c>
      <c r="G28" s="404" t="inlineStr">
        <is>
          <t>ОборудЗак</t>
        </is>
      </c>
      <c r="H28" s="404" t="inlineStr">
        <is>
          <t>Стоимость оборудования заказчика</t>
        </is>
      </c>
      <c r="I28" s="404" t="n"/>
      <c r="J28" s="404" t="n"/>
      <c r="K28" s="404" t="n">
        <v>223</v>
      </c>
      <c r="L28" s="404" t="n">
        <v>9</v>
      </c>
      <c r="M28" s="404" t="n">
        <v>3</v>
      </c>
      <c r="N28" s="404" t="inlineStr"/>
      <c r="O28" s="404" t="n">
        <v>2</v>
      </c>
      <c r="P28" s="404" t="n"/>
    </row>
    <row r="29">
      <c r="A29" s="404" t="n">
        <v>50</v>
      </c>
      <c r="B29" s="404" t="n">
        <v>0</v>
      </c>
      <c r="C29" s="404" t="n">
        <v>0</v>
      </c>
      <c r="D29" s="404" t="n">
        <v>1</v>
      </c>
      <c r="E29" s="404" t="n">
        <v>229</v>
      </c>
      <c r="F29" s="404" t="n">
        <v>0</v>
      </c>
      <c r="G29" s="404" t="inlineStr">
        <is>
          <t>ОборудПод</t>
        </is>
      </c>
      <c r="H29" s="404" t="inlineStr">
        <is>
          <t>Стоимость оборудования подрядчика</t>
        </is>
      </c>
      <c r="I29" s="404" t="n"/>
      <c r="J29" s="404" t="n"/>
      <c r="K29" s="404" t="n">
        <v>229</v>
      </c>
      <c r="L29" s="404" t="n">
        <v>10</v>
      </c>
      <c r="M29" s="404" t="n">
        <v>3</v>
      </c>
      <c r="N29" s="404" t="inlineStr"/>
      <c r="O29" s="404" t="n">
        <v>2</v>
      </c>
      <c r="P29" s="404" t="n"/>
    </row>
    <row r="30">
      <c r="A30" s="404" t="n">
        <v>50</v>
      </c>
      <c r="B30" s="404" t="n">
        <v>0</v>
      </c>
      <c r="C30" s="404" t="n">
        <v>0</v>
      </c>
      <c r="D30" s="404" t="n">
        <v>1</v>
      </c>
      <c r="E30" s="404" t="n">
        <v>203</v>
      </c>
      <c r="F30" s="404" t="n">
        <v>1311</v>
      </c>
      <c r="G30" s="404" t="inlineStr">
        <is>
          <t>ЭММ</t>
        </is>
      </c>
      <c r="H30" s="404" t="inlineStr">
        <is>
          <t>Эксплуатация машин</t>
        </is>
      </c>
      <c r="I30" s="404" t="n"/>
      <c r="J30" s="404" t="n"/>
      <c r="K30" s="404" t="n">
        <v>203</v>
      </c>
      <c r="L30" s="404" t="n">
        <v>11</v>
      </c>
      <c r="M30" s="404" t="n">
        <v>3</v>
      </c>
      <c r="N30" s="404" t="inlineStr"/>
      <c r="O30" s="404" t="n">
        <v>2</v>
      </c>
      <c r="P30" s="404" t="n"/>
    </row>
    <row r="31">
      <c r="A31" s="404" t="n">
        <v>50</v>
      </c>
      <c r="B31" s="404" t="n">
        <v>0</v>
      </c>
      <c r="C31" s="404" t="n">
        <v>0</v>
      </c>
      <c r="D31" s="404" t="n">
        <v>1</v>
      </c>
      <c r="E31" s="404" t="n">
        <v>231</v>
      </c>
      <c r="F31" s="404" t="n">
        <v>0</v>
      </c>
      <c r="G31" s="404" t="inlineStr">
        <is>
          <t>ЭММсНРиСП</t>
        </is>
      </c>
      <c r="H31" s="404" t="inlineStr">
        <is>
          <t>Эксплуатация машин по ТСН-2001.16</t>
        </is>
      </c>
      <c r="I31" s="404" t="n"/>
      <c r="J31" s="404" t="n"/>
      <c r="K31" s="404" t="n">
        <v>231</v>
      </c>
      <c r="L31" s="404" t="n">
        <v>12</v>
      </c>
      <c r="M31" s="404" t="n">
        <v>3</v>
      </c>
      <c r="N31" s="404" t="inlineStr"/>
      <c r="O31" s="404" t="n">
        <v>2</v>
      </c>
      <c r="P31" s="404" t="n"/>
    </row>
    <row r="32">
      <c r="A32" s="404" t="n">
        <v>50</v>
      </c>
      <c r="B32" s="404" t="n">
        <v>0</v>
      </c>
      <c r="C32" s="404" t="n">
        <v>0</v>
      </c>
      <c r="D32" s="404" t="n">
        <v>1</v>
      </c>
      <c r="E32" s="404" t="n">
        <v>204</v>
      </c>
      <c r="F32" s="404" t="n">
        <v>261</v>
      </c>
      <c r="G32" s="404" t="inlineStr">
        <is>
          <t>ЗПМ</t>
        </is>
      </c>
      <c r="H32" s="404" t="inlineStr">
        <is>
          <t>ЗП машинистов</t>
        </is>
      </c>
      <c r="I32" s="404" t="n"/>
      <c r="J32" s="404" t="n"/>
      <c r="K32" s="404" t="n">
        <v>204</v>
      </c>
      <c r="L32" s="404" t="n">
        <v>13</v>
      </c>
      <c r="M32" s="404" t="n">
        <v>3</v>
      </c>
      <c r="N32" s="404" t="inlineStr"/>
      <c r="O32" s="404" t="n">
        <v>2</v>
      </c>
      <c r="P32" s="404" t="n"/>
    </row>
    <row r="33">
      <c r="A33" s="404" t="n">
        <v>50</v>
      </c>
      <c r="B33" s="404" t="n">
        <v>0</v>
      </c>
      <c r="C33" s="404" t="n">
        <v>0</v>
      </c>
      <c r="D33" s="404" t="n">
        <v>1</v>
      </c>
      <c r="E33" s="404" t="n">
        <v>205</v>
      </c>
      <c r="F33" s="404" t="n">
        <v>26327</v>
      </c>
      <c r="G33" s="404" t="inlineStr">
        <is>
          <t>ОЗП</t>
        </is>
      </c>
      <c r="H33" s="404" t="inlineStr">
        <is>
          <t>Основная ЗП рабочих</t>
        </is>
      </c>
      <c r="I33" s="404" t="n"/>
      <c r="J33" s="404" t="n"/>
      <c r="K33" s="404" t="n">
        <v>205</v>
      </c>
      <c r="L33" s="404" t="n">
        <v>14</v>
      </c>
      <c r="M33" s="404" t="n">
        <v>3</v>
      </c>
      <c r="N33" s="404" t="inlineStr"/>
      <c r="O33" s="404" t="n">
        <v>2</v>
      </c>
      <c r="P33" s="404" t="n"/>
    </row>
    <row r="34">
      <c r="A34" s="404" t="n">
        <v>50</v>
      </c>
      <c r="B34" s="404" t="n">
        <v>0</v>
      </c>
      <c r="C34" s="404" t="n">
        <v>0</v>
      </c>
      <c r="D34" s="404" t="n">
        <v>1</v>
      </c>
      <c r="E34" s="404" t="n">
        <v>232</v>
      </c>
      <c r="F34" s="404" t="n">
        <v>0</v>
      </c>
      <c r="G34" s="404" t="inlineStr">
        <is>
          <t>ОЗПсНРиСП</t>
        </is>
      </c>
      <c r="H34" s="404" t="inlineStr">
        <is>
          <t>Основная ЗП рабочих по ТСН-2001.16</t>
        </is>
      </c>
      <c r="I34" s="404" t="n"/>
      <c r="J34" s="404" t="n"/>
      <c r="K34" s="404" t="n">
        <v>232</v>
      </c>
      <c r="L34" s="404" t="n">
        <v>15</v>
      </c>
      <c r="M34" s="404" t="n">
        <v>3</v>
      </c>
      <c r="N34" s="404" t="inlineStr"/>
      <c r="O34" s="404" t="n">
        <v>2</v>
      </c>
      <c r="P34" s="404" t="n"/>
    </row>
    <row r="35">
      <c r="A35" s="404" t="n">
        <v>50</v>
      </c>
      <c r="B35" s="404" t="n">
        <v>0</v>
      </c>
      <c r="C35" s="404" t="n">
        <v>0</v>
      </c>
      <c r="D35" s="404" t="n">
        <v>1</v>
      </c>
      <c r="E35" s="404" t="n">
        <v>214</v>
      </c>
      <c r="F35" s="404" t="n">
        <v>77664</v>
      </c>
      <c r="G35" s="404" t="inlineStr">
        <is>
          <t>Строит</t>
        </is>
      </c>
      <c r="H35" s="404" t="inlineStr">
        <is>
          <t>Строительные работы с НР и СП</t>
        </is>
      </c>
      <c r="I35" s="404" t="n"/>
      <c r="J35" s="404" t="n"/>
      <c r="K35" s="404" t="n">
        <v>214</v>
      </c>
      <c r="L35" s="404" t="n">
        <v>16</v>
      </c>
      <c r="M35" s="404" t="n">
        <v>3</v>
      </c>
      <c r="N35" s="404" t="inlineStr"/>
      <c r="O35" s="404" t="n">
        <v>2</v>
      </c>
      <c r="P35" s="404" t="n"/>
    </row>
    <row r="36">
      <c r="A36" s="404" t="n">
        <v>50</v>
      </c>
      <c r="B36" s="404" t="n">
        <v>0</v>
      </c>
      <c r="C36" s="404" t="n">
        <v>0</v>
      </c>
      <c r="D36" s="404" t="n">
        <v>1</v>
      </c>
      <c r="E36" s="404" t="n">
        <v>215</v>
      </c>
      <c r="F36" s="404" t="n">
        <v>0</v>
      </c>
      <c r="G36" s="404" t="inlineStr">
        <is>
          <t>Монтаж</t>
        </is>
      </c>
      <c r="H36" s="404" t="inlineStr">
        <is>
          <t>Монтажные работы с НР и СП</t>
        </is>
      </c>
      <c r="I36" s="404" t="n"/>
      <c r="J36" s="404" t="n"/>
      <c r="K36" s="404" t="n">
        <v>215</v>
      </c>
      <c r="L36" s="404" t="n">
        <v>17</v>
      </c>
      <c r="M36" s="404" t="n">
        <v>3</v>
      </c>
      <c r="N36" s="404" t="inlineStr"/>
      <c r="O36" s="404" t="n">
        <v>2</v>
      </c>
      <c r="P36" s="404" t="n"/>
    </row>
    <row r="37">
      <c r="A37" s="404" t="n">
        <v>50</v>
      </c>
      <c r="B37" s="404" t="n">
        <v>0</v>
      </c>
      <c r="C37" s="404" t="n">
        <v>0</v>
      </c>
      <c r="D37" s="404" t="n">
        <v>1</v>
      </c>
      <c r="E37" s="404" t="n">
        <v>217</v>
      </c>
      <c r="F37" s="404" t="n">
        <v>0</v>
      </c>
      <c r="G37" s="404" t="inlineStr">
        <is>
          <t>Прочие</t>
        </is>
      </c>
      <c r="H37" s="404" t="inlineStr">
        <is>
          <t>Прочие работы с НР и СП</t>
        </is>
      </c>
      <c r="I37" s="404" t="n"/>
      <c r="J37" s="404" t="n"/>
      <c r="K37" s="404" t="n">
        <v>217</v>
      </c>
      <c r="L37" s="404" t="n">
        <v>18</v>
      </c>
      <c r="M37" s="404" t="n">
        <v>3</v>
      </c>
      <c r="N37" s="404" t="inlineStr"/>
      <c r="O37" s="404" t="n">
        <v>2</v>
      </c>
      <c r="P37" s="404" t="n"/>
    </row>
    <row r="38">
      <c r="A38" s="404" t="n">
        <v>50</v>
      </c>
      <c r="B38" s="404" t="n">
        <v>0</v>
      </c>
      <c r="C38" s="404" t="n">
        <v>0</v>
      </c>
      <c r="D38" s="404" t="n">
        <v>1</v>
      </c>
      <c r="E38" s="404" t="n">
        <v>230</v>
      </c>
      <c r="F38" s="404" t="n">
        <v>0</v>
      </c>
      <c r="G38" s="404" t="inlineStr">
        <is>
          <t>ПрочиеЗатр</t>
        </is>
      </c>
      <c r="H38" s="404" t="inlineStr">
        <is>
          <t>Прочие затраты по ТСН-2001.16</t>
        </is>
      </c>
      <c r="I38" s="404" t="n"/>
      <c r="J38" s="404" t="n"/>
      <c r="K38" s="404" t="n">
        <v>230</v>
      </c>
      <c r="L38" s="404" t="n">
        <v>19</v>
      </c>
      <c r="M38" s="404" t="n">
        <v>3</v>
      </c>
      <c r="N38" s="404" t="inlineStr"/>
      <c r="O38" s="404" t="n">
        <v>2</v>
      </c>
      <c r="P38" s="404" t="n"/>
    </row>
    <row r="39">
      <c r="A39" s="404" t="n">
        <v>50</v>
      </c>
      <c r="B39" s="404" t="n">
        <v>0</v>
      </c>
      <c r="C39" s="404" t="n">
        <v>0</v>
      </c>
      <c r="D39" s="404" t="n">
        <v>1</v>
      </c>
      <c r="E39" s="404" t="n">
        <v>206</v>
      </c>
      <c r="F39" s="404" t="n">
        <v>0</v>
      </c>
      <c r="G39" s="404" t="inlineStr">
        <is>
          <t>ВозврМат</t>
        </is>
      </c>
      <c r="H39" s="404" t="inlineStr">
        <is>
          <t>Возврат материалов</t>
        </is>
      </c>
      <c r="I39" s="404" t="n"/>
      <c r="J39" s="404" t="n"/>
      <c r="K39" s="404" t="n">
        <v>206</v>
      </c>
      <c r="L39" s="404" t="n">
        <v>20</v>
      </c>
      <c r="M39" s="404" t="n">
        <v>3</v>
      </c>
      <c r="N39" s="404" t="inlineStr"/>
      <c r="O39" s="404" t="n">
        <v>2</v>
      </c>
      <c r="P39" s="404" t="n"/>
    </row>
    <row r="40">
      <c r="A40" s="404" t="n">
        <v>50</v>
      </c>
      <c r="B40" s="404" t="n">
        <v>0</v>
      </c>
      <c r="C40" s="404" t="n">
        <v>0</v>
      </c>
      <c r="D40" s="404" t="n">
        <v>1</v>
      </c>
      <c r="E40" s="404" t="n">
        <v>207</v>
      </c>
      <c r="F40" s="404" t="n">
        <v>52.936</v>
      </c>
      <c r="G40" s="404" t="inlineStr">
        <is>
          <t>ТрудСтр</t>
        </is>
      </c>
      <c r="H40" s="404" t="inlineStr">
        <is>
          <t>Трудозатраты строителей</t>
        </is>
      </c>
      <c r="I40" s="404" t="n"/>
      <c r="J40" s="404" t="n"/>
      <c r="K40" s="404" t="n">
        <v>207</v>
      </c>
      <c r="L40" s="404" t="n">
        <v>21</v>
      </c>
      <c r="M40" s="404" t="n">
        <v>3</v>
      </c>
      <c r="N40" s="404" t="inlineStr"/>
      <c r="O40" s="404" t="n">
        <v>-1</v>
      </c>
      <c r="P40" s="404" t="n"/>
    </row>
    <row r="41">
      <c r="A41" s="404" t="n">
        <v>50</v>
      </c>
      <c r="B41" s="404" t="n">
        <v>0</v>
      </c>
      <c r="C41" s="404" t="n">
        <v>0</v>
      </c>
      <c r="D41" s="404" t="n">
        <v>1</v>
      </c>
      <c r="E41" s="404" t="n">
        <v>208</v>
      </c>
      <c r="F41" s="404" t="n">
        <v>0.3787</v>
      </c>
      <c r="G41" s="404" t="inlineStr">
        <is>
          <t>ТрудМаш</t>
        </is>
      </c>
      <c r="H41" s="404" t="inlineStr">
        <is>
          <t>Трудозатраты машинистов</t>
        </is>
      </c>
      <c r="I41" s="404" t="n"/>
      <c r="J41" s="404" t="n"/>
      <c r="K41" s="404" t="n">
        <v>208</v>
      </c>
      <c r="L41" s="404" t="n">
        <v>22</v>
      </c>
      <c r="M41" s="404" t="n">
        <v>3</v>
      </c>
      <c r="N41" s="404" t="inlineStr"/>
      <c r="O41" s="404" t="n">
        <v>-1</v>
      </c>
      <c r="P41" s="404" t="n"/>
    </row>
    <row r="42">
      <c r="A42" s="404" t="n">
        <v>50</v>
      </c>
      <c r="B42" s="404" t="n">
        <v>0</v>
      </c>
      <c r="C42" s="404" t="n">
        <v>0</v>
      </c>
      <c r="D42" s="404" t="n">
        <v>1</v>
      </c>
      <c r="E42" s="404" t="n">
        <v>209</v>
      </c>
      <c r="F42" s="404" t="n">
        <v>0</v>
      </c>
      <c r="G42" s="404" t="inlineStr">
        <is>
          <t>ТранспМат</t>
        </is>
      </c>
      <c r="H42" s="404" t="inlineStr">
        <is>
          <t>Транспорт материалов</t>
        </is>
      </c>
      <c r="I42" s="404" t="n"/>
      <c r="J42" s="404" t="n"/>
      <c r="K42" s="404" t="n">
        <v>209</v>
      </c>
      <c r="L42" s="404" t="n">
        <v>23</v>
      </c>
      <c r="M42" s="404" t="n">
        <v>3</v>
      </c>
      <c r="N42" s="404" t="inlineStr"/>
      <c r="O42" s="404" t="n">
        <v>2</v>
      </c>
      <c r="P42" s="404" t="n"/>
    </row>
    <row r="43">
      <c r="A43" s="404" t="n">
        <v>50</v>
      </c>
      <c r="B43" s="404" t="n">
        <v>0</v>
      </c>
      <c r="C43" s="404" t="n">
        <v>0</v>
      </c>
      <c r="D43" s="404" t="n">
        <v>1</v>
      </c>
      <c r="E43" s="404" t="n">
        <v>233</v>
      </c>
      <c r="F43" s="404" t="n">
        <v>0</v>
      </c>
      <c r="G43" s="404" t="inlineStr">
        <is>
          <t>Перевозка</t>
        </is>
      </c>
      <c r="H43" s="404" t="inlineStr">
        <is>
          <t>Перевозка грузов</t>
        </is>
      </c>
      <c r="I43" s="404" t="n"/>
      <c r="J43" s="404" t="n"/>
      <c r="K43" s="404" t="n">
        <v>233</v>
      </c>
      <c r="L43" s="404" t="n">
        <v>24</v>
      </c>
      <c r="M43" s="404" t="n">
        <v>3</v>
      </c>
      <c r="N43" s="404" t="inlineStr"/>
      <c r="O43" s="404" t="n">
        <v>2</v>
      </c>
      <c r="P43" s="404" t="n"/>
    </row>
    <row r="44">
      <c r="A44" s="404" t="n">
        <v>50</v>
      </c>
      <c r="B44" s="404" t="n">
        <v>0</v>
      </c>
      <c r="C44" s="404" t="n">
        <v>0</v>
      </c>
      <c r="D44" s="404" t="n">
        <v>1</v>
      </c>
      <c r="E44" s="404" t="n">
        <v>210</v>
      </c>
      <c r="F44" s="404" t="n">
        <v>29758</v>
      </c>
      <c r="G44" s="404" t="inlineStr">
        <is>
          <t>НР</t>
        </is>
      </c>
      <c r="H44" s="404" t="inlineStr">
        <is>
          <t>Накладные расходы</t>
        </is>
      </c>
      <c r="I44" s="404" t="n"/>
      <c r="J44" s="404" t="n"/>
      <c r="K44" s="404" t="n">
        <v>210</v>
      </c>
      <c r="L44" s="404" t="n">
        <v>25</v>
      </c>
      <c r="M44" s="404" t="n">
        <v>3</v>
      </c>
      <c r="N44" s="404" t="inlineStr"/>
      <c r="O44" s="404" t="n">
        <v>2</v>
      </c>
      <c r="P44" s="404" t="n"/>
    </row>
    <row r="45">
      <c r="A45" s="404" t="n">
        <v>50</v>
      </c>
      <c r="B45" s="404" t="n">
        <v>0</v>
      </c>
      <c r="C45" s="404" t="n">
        <v>0</v>
      </c>
      <c r="D45" s="404" t="n">
        <v>1</v>
      </c>
      <c r="E45" s="404" t="n">
        <v>211</v>
      </c>
      <c r="F45" s="404" t="n">
        <v>16605</v>
      </c>
      <c r="G45" s="404" t="inlineStr">
        <is>
          <t>СмПриб</t>
        </is>
      </c>
      <c r="H45" s="404" t="inlineStr">
        <is>
          <t>Сметная прибыль</t>
        </is>
      </c>
      <c r="I45" s="404" t="n"/>
      <c r="J45" s="404" t="n"/>
      <c r="K45" s="404" t="n">
        <v>211</v>
      </c>
      <c r="L45" s="404" t="n">
        <v>26</v>
      </c>
      <c r="M45" s="404" t="n">
        <v>3</v>
      </c>
      <c r="N45" s="404" t="inlineStr"/>
      <c r="O45" s="404" t="n">
        <v>2</v>
      </c>
      <c r="P45" s="404" t="n"/>
    </row>
    <row r="46">
      <c r="A46" s="404" t="n">
        <v>50</v>
      </c>
      <c r="B46" s="404" t="n">
        <v>0</v>
      </c>
      <c r="C46" s="404" t="n">
        <v>0</v>
      </c>
      <c r="D46" s="404" t="n">
        <v>1</v>
      </c>
      <c r="E46" s="404" t="n">
        <v>224</v>
      </c>
      <c r="F46" s="404" t="n">
        <v>77664</v>
      </c>
      <c r="G46" s="404" t="inlineStr">
        <is>
          <t>Всего</t>
        </is>
      </c>
      <c r="H46" s="404" t="inlineStr">
        <is>
          <t>Всего с НР и СП</t>
        </is>
      </c>
      <c r="I46" s="404" t="n"/>
      <c r="J46" s="404" t="n"/>
      <c r="K46" s="404" t="n">
        <v>224</v>
      </c>
      <c r="L46" s="404" t="n">
        <v>27</v>
      </c>
      <c r="M46" s="404" t="n">
        <v>3</v>
      </c>
      <c r="N46" s="404" t="inlineStr"/>
      <c r="O46" s="404" t="n">
        <v>2</v>
      </c>
      <c r="P46" s="404" t="n"/>
    </row>
    <row r="47">
      <c r="A47" s="404" t="n">
        <v>50</v>
      </c>
      <c r="B47" s="404" t="n">
        <v>1</v>
      </c>
      <c r="C47" s="404" t="n">
        <v>0</v>
      </c>
      <c r="D47" s="404" t="n">
        <v>2</v>
      </c>
      <c r="E47" s="404" t="n">
        <v>0</v>
      </c>
      <c r="F47" s="404" t="n">
        <v>77664</v>
      </c>
      <c r="G47" s="404" t="inlineStr">
        <is>
          <t>и1</t>
        </is>
      </c>
      <c r="H47" s="404" t="inlineStr">
        <is>
          <t>Итого</t>
        </is>
      </c>
      <c r="I47" s="404" t="n"/>
      <c r="J47" s="404" t="n"/>
      <c r="K47" s="404" t="n">
        <v>212</v>
      </c>
      <c r="L47" s="404" t="n">
        <v>28</v>
      </c>
      <c r="M47" s="404" t="n">
        <v>0</v>
      </c>
      <c r="N47" s="404" t="inlineStr"/>
      <c r="O47" s="404" t="n">
        <v>2</v>
      </c>
      <c r="P47" s="404" t="n"/>
    </row>
    <row r="48">
      <c r="A48" s="404" t="n">
        <v>50</v>
      </c>
      <c r="B48" s="404" t="n">
        <v>1</v>
      </c>
      <c r="C48" s="404" t="n">
        <v>0</v>
      </c>
      <c r="D48" s="404" t="n">
        <v>2</v>
      </c>
      <c r="E48" s="404" t="n">
        <v>0</v>
      </c>
      <c r="F48" s="404" t="n">
        <v>17086</v>
      </c>
      <c r="G48" s="404" t="inlineStr">
        <is>
          <t>и2</t>
        </is>
      </c>
      <c r="H48" s="404" t="inlineStr">
        <is>
          <t>НДС 22%</t>
        </is>
      </c>
      <c r="I48" s="404" t="n"/>
      <c r="J48" s="404" t="n"/>
      <c r="K48" s="404" t="n">
        <v>212</v>
      </c>
      <c r="L48" s="404" t="n">
        <v>29</v>
      </c>
      <c r="M48" s="404" t="n">
        <v>0</v>
      </c>
      <c r="N48" s="404" t="inlineStr"/>
      <c r="O48" s="404" t="n">
        <v>2</v>
      </c>
      <c r="P48" s="404" t="n"/>
    </row>
    <row r="49">
      <c r="A49" s="404" t="n">
        <v>50</v>
      </c>
      <c r="B49" s="404" t="n">
        <v>1</v>
      </c>
      <c r="C49" s="404" t="n">
        <v>0</v>
      </c>
      <c r="D49" s="404" t="n">
        <v>2</v>
      </c>
      <c r="E49" s="404" t="n">
        <v>213</v>
      </c>
      <c r="F49" s="404" t="n">
        <v>94750</v>
      </c>
      <c r="G49" s="404" t="inlineStr">
        <is>
          <t>и3</t>
        </is>
      </c>
      <c r="H49" s="404" t="inlineStr">
        <is>
          <t>Всего</t>
        </is>
      </c>
      <c r="I49" s="404" t="n"/>
      <c r="J49" s="404" t="n"/>
      <c r="K49" s="404" t="n">
        <v>212</v>
      </c>
      <c r="L49" s="404" t="n">
        <v>30</v>
      </c>
      <c r="M49" s="404" t="n">
        <v>0</v>
      </c>
      <c r="N49" s="404" t="inlineStr"/>
      <c r="O49" s="404" t="n">
        <v>2</v>
      </c>
      <c r="P49" s="404" t="n"/>
    </row>
    <row r="50"/>
    <row r="51">
      <c r="A51" t="n">
        <v>-1</v>
      </c>
    </row>
    <row r="52"/>
    <row r="53"/>
    <row r="54">
      <c r="A54" s="403" t="n">
        <v>75</v>
      </c>
      <c r="B54" s="403" t="inlineStr">
        <is>
          <t>Уровень цен</t>
        </is>
      </c>
      <c r="C54" s="403" t="n">
        <v>2025</v>
      </c>
      <c r="D54" s="403" t="n">
        <v>0</v>
      </c>
      <c r="E54" s="403" t="n">
        <v>6</v>
      </c>
      <c r="F54" s="403" t="n"/>
      <c r="G54" s="403" t="n">
        <v>0</v>
      </c>
      <c r="H54" s="403" t="n">
        <v>1</v>
      </c>
      <c r="I54" s="403" t="n">
        <v>0</v>
      </c>
      <c r="J54" s="403" t="n">
        <v>3</v>
      </c>
      <c r="K54" s="403" t="n">
        <v>0</v>
      </c>
      <c r="L54" s="403" t="n">
        <v>0</v>
      </c>
      <c r="M54" s="403" t="n">
        <v>0</v>
      </c>
      <c r="N54" s="403" t="n">
        <v>78869116</v>
      </c>
      <c r="O54" s="403" t="n">
        <v>1</v>
      </c>
    </row>
    <row r="55">
      <c r="A55" s="405" t="n">
        <v>1</v>
      </c>
      <c r="B55" s="405" t="inlineStr">
        <is>
          <t>Сборник индексов</t>
        </is>
      </c>
      <c r="C55" s="405" t="inlineStr">
        <is>
          <t>ТСНБ-2001 Московской области (редакция 2014 г)</t>
        </is>
      </c>
      <c r="D55" s="405" t="n">
        <v>2025</v>
      </c>
      <c r="E55" s="405" t="n">
        <v>6</v>
      </c>
      <c r="F55" s="405" t="n">
        <v>1</v>
      </c>
      <c r="G55" s="405" t="n">
        <v>1</v>
      </c>
      <c r="H55" s="405" t="n">
        <v>0</v>
      </c>
      <c r="I55" s="405" t="n">
        <v>2</v>
      </c>
      <c r="J55" s="405" t="n">
        <v>1</v>
      </c>
      <c r="K55" s="405" t="n">
        <v>1</v>
      </c>
      <c r="L55" s="405" t="n">
        <v>1</v>
      </c>
      <c r="M55" s="405" t="n">
        <v>1</v>
      </c>
      <c r="N55" s="405" t="n">
        <v>1</v>
      </c>
      <c r="O55" s="405" t="n">
        <v>1</v>
      </c>
      <c r="P55" s="405" t="n">
        <v>1</v>
      </c>
      <c r="Q55" s="405" t="n">
        <v>1</v>
      </c>
      <c r="R55" s="405" t="inlineStr"/>
      <c r="S55" s="405" t="inlineStr"/>
      <c r="T55" s="405" t="inlineStr"/>
      <c r="U55" s="405" t="inlineStr"/>
      <c r="V55" s="405" t="inlineStr"/>
      <c r="W55" s="405" t="inlineStr"/>
      <c r="X55" s="405" t="inlineStr"/>
      <c r="Y55" s="405" t="inlineStr"/>
      <c r="Z55" s="405" t="inlineStr"/>
      <c r="AA55" s="405" t="inlineStr"/>
      <c r="AB55" s="405" t="n"/>
      <c r="AC55" s="405" t="n"/>
      <c r="AD55" s="405" t="n"/>
      <c r="AE55" s="405" t="n"/>
      <c r="AF55" s="405" t="n"/>
      <c r="AG55" s="405" t="n"/>
      <c r="AH55" s="405" t="n"/>
      <c r="AI55" s="405" t="n"/>
      <c r="AJ55" s="405" t="n"/>
      <c r="AK55" s="405" t="n"/>
      <c r="AL55" s="405" t="n"/>
      <c r="AM55" s="405" t="n"/>
      <c r="AN55" s="405" t="n">
        <v>78869117</v>
      </c>
      <c r="AO55" s="405" t="n"/>
      <c r="AP55" s="405" t="n"/>
      <c r="AQ55" s="405" t="n"/>
      <c r="AR55" s="405" t="n"/>
      <c r="AS55" s="405" t="n"/>
      <c r="AT55" s="405" t="n"/>
      <c r="AU55" s="405" t="n"/>
      <c r="AV55" s="405" t="n"/>
      <c r="AW55" s="405" t="n"/>
      <c r="AX55" s="405" t="n"/>
    </row>
    <row r="56">
      <c r="A56" s="405" t="n">
        <v>2</v>
      </c>
      <c r="B56" s="405" t="inlineStr">
        <is>
          <t>Вид цен</t>
        </is>
      </c>
      <c r="C56" s="405" t="inlineStr"/>
      <c r="D56" s="405" t="n">
        <v>0</v>
      </c>
      <c r="E56" s="405" t="n">
        <v>0</v>
      </c>
      <c r="F56" s="405" t="n">
        <v>-1</v>
      </c>
      <c r="G56" s="405" t="n"/>
      <c r="H56" s="405" t="n"/>
      <c r="I56" s="405" t="n"/>
      <c r="J56" s="405" t="n"/>
      <c r="K56" s="405" t="n"/>
      <c r="L56" s="405" t="n"/>
      <c r="M56" s="405" t="n"/>
      <c r="N56" s="405" t="n"/>
      <c r="O56" s="405" t="n"/>
      <c r="P56" s="405" t="n"/>
      <c r="Q56" s="405" t="n"/>
      <c r="R56" s="405" t="n"/>
      <c r="S56" s="405" t="n"/>
      <c r="T56" s="405" t="n"/>
      <c r="U56" s="405" t="n"/>
      <c r="V56" s="405" t="n"/>
      <c r="W56" s="405" t="n"/>
      <c r="X56" s="405" t="n"/>
      <c r="Y56" s="405" t="n"/>
      <c r="Z56" s="405" t="n"/>
      <c r="AA56" s="405" t="n"/>
      <c r="AB56" s="405" t="n"/>
      <c r="AC56" s="405" t="n"/>
      <c r="AD56" s="405" t="n"/>
      <c r="AE56" s="405" t="n"/>
      <c r="AF56" s="405" t="n"/>
      <c r="AG56" s="405" t="n"/>
      <c r="AH56" s="405" t="n"/>
      <c r="AI56" s="405" t="n"/>
      <c r="AJ56" s="405" t="n"/>
      <c r="AK56" s="405" t="n"/>
      <c r="AL56" s="405" t="n"/>
      <c r="AM56" s="405" t="n"/>
      <c r="AN56" s="405" t="n">
        <v>78869118</v>
      </c>
    </row>
    <row r="57">
      <c r="A57" s="405" t="n">
        <v>1</v>
      </c>
      <c r="B57" s="405" t="inlineStr">
        <is>
          <t>Сборник индексов</t>
        </is>
      </c>
      <c r="C57" s="405" t="inlineStr">
        <is>
          <t>МО эксплуатация дорог</t>
        </is>
      </c>
      <c r="D57" s="405" t="n">
        <v>2025</v>
      </c>
      <c r="E57" s="405" t="n">
        <v>9</v>
      </c>
      <c r="F57" s="405" t="n">
        <v>1</v>
      </c>
      <c r="G57" s="405" t="n">
        <v>1</v>
      </c>
      <c r="H57" s="405" t="n">
        <v>0</v>
      </c>
      <c r="I57" s="405" t="n">
        <v>2</v>
      </c>
      <c r="J57" s="405" t="n">
        <v>1</v>
      </c>
      <c r="K57" s="405" t="n">
        <v>1</v>
      </c>
      <c r="L57" s="405" t="n">
        <v>1</v>
      </c>
      <c r="M57" s="405" t="n">
        <v>1</v>
      </c>
      <c r="N57" s="405" t="n">
        <v>1</v>
      </c>
      <c r="O57" s="405" t="n">
        <v>1</v>
      </c>
      <c r="P57" s="405" t="n">
        <v>1</v>
      </c>
      <c r="Q57" s="405" t="n">
        <v>1</v>
      </c>
      <c r="R57" s="405" t="inlineStr"/>
      <c r="S57" s="405" t="inlineStr"/>
      <c r="T57" s="405" t="inlineStr"/>
      <c r="U57" s="405" t="inlineStr"/>
      <c r="V57" s="405" t="inlineStr"/>
      <c r="W57" s="405" t="inlineStr"/>
      <c r="X57" s="405" t="inlineStr"/>
      <c r="Y57" s="405" t="inlineStr"/>
      <c r="Z57" s="405" t="inlineStr"/>
      <c r="AA57" s="405" t="inlineStr"/>
      <c r="AB57" s="405" t="n"/>
      <c r="AC57" s="405" t="n"/>
      <c r="AD57" s="405" t="n"/>
      <c r="AE57" s="405" t="n"/>
      <c r="AF57" s="405" t="n"/>
      <c r="AG57" s="405" t="n"/>
      <c r="AH57" s="405" t="n"/>
      <c r="AI57" s="405" t="n"/>
      <c r="AJ57" s="405" t="n"/>
      <c r="AK57" s="405" t="n"/>
      <c r="AL57" s="405" t="n"/>
      <c r="AM57" s="405" t="n"/>
      <c r="AN57" s="405" t="n">
        <v>78869119</v>
      </c>
      <c r="AO57" s="405" t="n"/>
      <c r="AP57" s="405" t="n"/>
      <c r="AQ57" s="405" t="n"/>
      <c r="AR57" s="405" t="n"/>
      <c r="AS57" s="405" t="n"/>
      <c r="AT57" s="405" t="n"/>
      <c r="AU57" s="405" t="n"/>
      <c r="AV57" s="405" t="n"/>
      <c r="AW57" s="405" t="n"/>
      <c r="AX57" s="405" t="n"/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DO726"/>
  <sheetViews>
    <sheetView workbookViewId="0">
      <selection activeCell="A1" sqref="A1"/>
    </sheetView>
  </sheetViews>
  <sheetFormatPr baseColWidth="8" defaultRowHeight="15"/>
  <cols>
    <col width="9.140625" customWidth="1" style="197" min="1" max="1"/>
    <col width="13" customWidth="1" style="197" min="2" max="2"/>
    <col width="13" customWidth="1" style="197" min="3" max="3"/>
    <col width="13" customWidth="1" style="197" min="4" max="4"/>
    <col width="13" customWidth="1" style="197" min="5" max="5"/>
    <col width="13" customWidth="1" style="197" min="6" max="6"/>
    <col width="13" customWidth="1" style="197" min="7" max="7"/>
    <col width="13" customWidth="1" style="197" min="8" max="8"/>
    <col width="13" customWidth="1" style="197" min="9" max="9"/>
    <col width="13" customWidth="1" style="197" min="10" max="10"/>
    <col width="13" customWidth="1" style="197" min="11" max="11"/>
    <col width="13" customWidth="1" style="197" min="12" max="12"/>
    <col width="13" customWidth="1" style="197" min="13" max="13"/>
    <col width="13" customWidth="1" style="197" min="14" max="14"/>
    <col width="13" customWidth="1" style="197" min="15" max="15"/>
    <col width="13" customWidth="1" style="197" min="16" max="16"/>
    <col width="13" customWidth="1" style="197" min="17" max="17"/>
    <col width="13" customWidth="1" style="197" min="18" max="18"/>
    <col width="13" customWidth="1" style="197" min="19" max="19"/>
    <col width="13" customWidth="1" style="197" min="20" max="20"/>
    <col width="13" customWidth="1" style="197" min="21" max="21"/>
    <col width="13" customWidth="1" style="197" min="22" max="22"/>
    <col width="13" customWidth="1" style="197" min="23" max="23"/>
    <col width="13" customWidth="1" style="197" min="24" max="24"/>
    <col width="13" customWidth="1" style="197" min="25" max="25"/>
    <col width="13" customWidth="1" style="197" min="26" max="26"/>
    <col width="13" customWidth="1" style="197" min="27" max="27"/>
    <col width="13" customWidth="1" style="197" min="28" max="28"/>
    <col width="13" customWidth="1" style="197" min="29" max="29"/>
    <col width="13" customWidth="1" style="197" min="30" max="30"/>
    <col width="13" customWidth="1" style="197" min="31" max="31"/>
    <col width="13" customWidth="1" style="197" min="32" max="32"/>
    <col width="13" customWidth="1" style="197" min="33" max="33"/>
    <col width="13" customWidth="1" style="197" min="34" max="34"/>
    <col width="13" customWidth="1" style="197" min="35" max="35"/>
    <col width="13" customWidth="1" style="197" min="36" max="36"/>
    <col width="13" customWidth="1" style="197" min="37" max="37"/>
    <col width="13" customWidth="1" style="197" min="38" max="38"/>
    <col width="13" customWidth="1" style="197" min="39" max="39"/>
    <col width="13" customWidth="1" style="197" min="40" max="40"/>
    <col width="13" customWidth="1" style="197" min="41" max="41"/>
    <col width="13" customWidth="1" style="197" min="42" max="42"/>
    <col width="13" customWidth="1" style="197" min="43" max="43"/>
    <col width="13" customWidth="1" style="197" min="44" max="44"/>
    <col width="13" customWidth="1" style="197" min="45" max="45"/>
    <col width="13" customWidth="1" style="197" min="46" max="46"/>
    <col width="13" customWidth="1" style="197" min="47" max="47"/>
    <col width="13" customWidth="1" style="197" min="48" max="48"/>
    <col width="13" customWidth="1" style="197" min="49" max="49"/>
    <col width="13" customWidth="1" style="197" min="50" max="50"/>
    <col width="13" customWidth="1" style="197" min="51" max="51"/>
    <col width="13" customWidth="1" style="197" min="52" max="52"/>
    <col width="13" customWidth="1" style="197" min="53" max="53"/>
    <col width="13" customWidth="1" style="197" min="54" max="54"/>
    <col width="13" customWidth="1" style="197" min="55" max="55"/>
    <col width="13" customWidth="1" style="197" min="56" max="56"/>
    <col width="13" customWidth="1" style="197" min="57" max="57"/>
    <col width="13" customWidth="1" style="197" min="58" max="58"/>
    <col width="13" customWidth="1" style="197" min="59" max="59"/>
    <col width="13" customWidth="1" style="197" min="60" max="60"/>
    <col width="13" customWidth="1" style="197" min="61" max="61"/>
    <col width="13" customWidth="1" style="197" min="62" max="62"/>
    <col width="13" customWidth="1" style="197" min="63" max="63"/>
    <col width="13" customWidth="1" style="197" min="64" max="64"/>
    <col width="13" customWidth="1" style="197" min="65" max="65"/>
    <col width="13" customWidth="1" style="197" min="66" max="66"/>
    <col width="13" customWidth="1" style="197" min="67" max="67"/>
    <col width="13" customWidth="1" style="197" min="68" max="68"/>
    <col width="13" customWidth="1" style="197" min="69" max="69"/>
    <col width="13" customWidth="1" style="197" min="70" max="70"/>
    <col width="13" customWidth="1" style="197" min="71" max="71"/>
    <col width="13" customWidth="1" style="197" min="72" max="72"/>
    <col width="13" customWidth="1" style="197" min="73" max="73"/>
    <col width="13" customWidth="1" style="197" min="74" max="74"/>
    <col width="13" customWidth="1" style="197" min="75" max="75"/>
    <col width="13" customWidth="1" style="197" min="76" max="76"/>
    <col width="13" customWidth="1" style="197" min="77" max="77"/>
    <col width="13" customWidth="1" style="197" min="78" max="78"/>
    <col width="13" customWidth="1" style="197" min="79" max="79"/>
    <col width="13" customWidth="1" style="197" min="80" max="80"/>
    <col width="13" customWidth="1" style="197" min="81" max="81"/>
    <col width="13" customWidth="1" style="197" min="82" max="82"/>
    <col width="13" customWidth="1" style="197" min="83" max="83"/>
    <col width="13" customWidth="1" style="197" min="84" max="84"/>
    <col width="13" customWidth="1" style="197" min="85" max="85"/>
    <col width="13" customWidth="1" style="197" min="86" max="86"/>
    <col width="13" customWidth="1" style="197" min="87" max="87"/>
    <col width="13" customWidth="1" style="197" min="88" max="88"/>
    <col width="13" customWidth="1" style="197" min="89" max="89"/>
    <col width="13" customWidth="1" style="197" min="90" max="90"/>
    <col width="13" customWidth="1" style="197" min="91" max="91"/>
    <col width="13" customWidth="1" style="197" min="92" max="92"/>
    <col width="13" customWidth="1" style="197" min="93" max="93"/>
    <col width="13" customWidth="1" style="197" min="94" max="94"/>
    <col width="13" customWidth="1" style="197" min="95" max="95"/>
    <col width="13" customWidth="1" style="197" min="96" max="96"/>
    <col width="13" customWidth="1" style="197" min="97" max="97"/>
    <col width="13" customWidth="1" style="197" min="98" max="98"/>
    <col width="13" customWidth="1" style="197" min="99" max="99"/>
    <col width="13" customWidth="1" style="197" min="100" max="100"/>
    <col width="13" customWidth="1" style="197" min="101" max="101"/>
    <col width="13" customWidth="1" style="197" min="102" max="102"/>
    <col width="13" customWidth="1" style="197" min="103" max="103"/>
    <col width="13" customWidth="1" style="197" min="104" max="104"/>
    <col width="13" customWidth="1" style="197" min="105" max="105"/>
    <col width="13" customWidth="1" style="197" min="106" max="106"/>
    <col width="13" customWidth="1" style="197" min="107" max="107"/>
    <col width="13" customWidth="1" style="197" min="108" max="108"/>
    <col width="13" customWidth="1" style="197" min="109" max="109"/>
    <col width="13" customWidth="1" style="197" min="110" max="110"/>
    <col width="13" customWidth="1" style="197" min="111" max="111"/>
    <col width="13" customWidth="1" style="197" min="112" max="112"/>
    <col width="13" customWidth="1" style="197" min="113" max="113"/>
    <col width="13" customWidth="1" style="197" min="114" max="114"/>
    <col width="13" customWidth="1" style="197" min="115" max="115"/>
    <col width="13" customWidth="1" style="197" min="116" max="116"/>
    <col width="13" customWidth="1" style="197" min="117" max="117"/>
    <col width="13" customWidth="1" style="197" min="118" max="118"/>
    <col width="13" customWidth="1" style="197" min="119" max="119"/>
  </cols>
  <sheetData>
    <row r="1">
      <c r="A1">
        <f>ROW(Source!A24)</f>
        <v/>
      </c>
      <c r="B1" t="n">
        <v>78869116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1933892413</v>
      </c>
      <c r="Y1">
        <f>AT1</f>
        <v/>
      </c>
      <c r="AA1" t="n">
        <v>0</v>
      </c>
      <c r="AB1" t="n">
        <v>0</v>
      </c>
      <c r="AC1" t="n">
        <v>0</v>
      </c>
      <c r="AD1" t="n">
        <v>8.17</v>
      </c>
      <c r="AE1" t="n">
        <v>0</v>
      </c>
      <c r="AF1" t="n">
        <v>0</v>
      </c>
      <c r="AG1" t="n">
        <v>0</v>
      </c>
      <c r="AH1" t="n">
        <v>8.17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1</v>
      </c>
      <c r="AQ1" t="n">
        <v>0</v>
      </c>
      <c r="AR1" t="n">
        <v>0</v>
      </c>
      <c r="AS1" t="inlineStr"/>
      <c r="AT1" t="n">
        <v>32.2</v>
      </c>
      <c r="AU1" t="inlineStr"/>
      <c r="AV1" t="n">
        <v>1</v>
      </c>
      <c r="AW1" t="n">
        <v>2</v>
      </c>
      <c r="AX1" t="n">
        <v>78869145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ROW(Source!A24)</f>
        <v/>
      </c>
      <c r="B2" t="n">
        <v>78869116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W2" t="n">
        <v>0</v>
      </c>
      <c r="X2" t="n">
        <v>1230759911</v>
      </c>
      <c r="Y2">
        <f>AT2</f>
        <v/>
      </c>
      <c r="AA2" t="n">
        <v>0</v>
      </c>
      <c r="AB2" t="n">
        <v>2177.51</v>
      </c>
      <c r="AC2" t="n">
        <v>606.1</v>
      </c>
      <c r="AD2" t="n">
        <v>0</v>
      </c>
      <c r="AE2" t="n">
        <v>0</v>
      </c>
      <c r="AF2" t="n">
        <v>87.17</v>
      </c>
      <c r="AG2" t="n">
        <v>11.6</v>
      </c>
      <c r="AH2" t="n">
        <v>0</v>
      </c>
      <c r="AI2" t="n">
        <v>1</v>
      </c>
      <c r="AJ2" t="n">
        <v>24.98</v>
      </c>
      <c r="AK2" t="n">
        <v>52.25</v>
      </c>
      <c r="AL2" t="n">
        <v>1</v>
      </c>
      <c r="AM2" t="n">
        <v>2</v>
      </c>
      <c r="AN2" t="n">
        <v>0</v>
      </c>
      <c r="AO2" t="n">
        <v>1</v>
      </c>
      <c r="AP2" t="n">
        <v>1</v>
      </c>
      <c r="AQ2" t="n">
        <v>0</v>
      </c>
      <c r="AR2" t="n">
        <v>0</v>
      </c>
      <c r="AS2" t="inlineStr"/>
      <c r="AT2" t="n">
        <v>0.01</v>
      </c>
      <c r="AU2" t="inlineStr"/>
      <c r="AV2" t="n">
        <v>0</v>
      </c>
      <c r="AW2" t="n">
        <v>2</v>
      </c>
      <c r="AX2" t="n">
        <v>78869146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V2" t="n">
        <v>0</v>
      </c>
      <c r="CW2">
        <f>ROUND(Y2*Source!I24*DO2,7)</f>
        <v/>
      </c>
      <c r="CX2">
        <f>ROUND(Y2*Source!I24,7)</f>
        <v/>
      </c>
      <c r="CY2">
        <f>AB2</f>
        <v/>
      </c>
      <c r="CZ2">
        <f>AF2</f>
        <v/>
      </c>
      <c r="DA2">
        <f>AJ2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ROUND(ROUND(AF2*AJ2,0)*CX2,0)</f>
        <v/>
      </c>
      <c r="DH2">
        <f>ROUND(ROUND(AG2*AK2,0)*CX2,0)</f>
        <v/>
      </c>
      <c r="DI2">
        <f>ROUND(ROUND(AH2,0)*CX2,0)</f>
        <v/>
      </c>
      <c r="DJ2">
        <f>DG2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ROW(Source!A24)</f>
        <v/>
      </c>
      <c r="B3" t="n">
        <v>78869116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W3" t="n">
        <v>0</v>
      </c>
      <c r="X3" t="n">
        <v>-1947909329</v>
      </c>
      <c r="Y3">
        <f>AT3</f>
        <v/>
      </c>
      <c r="AA3" t="n">
        <v>341.04</v>
      </c>
      <c r="AB3" t="n">
        <v>0</v>
      </c>
      <c r="AC3" t="n">
        <v>0</v>
      </c>
      <c r="AD3" t="n">
        <v>0</v>
      </c>
      <c r="AE3" t="n">
        <v>23.09</v>
      </c>
      <c r="AF3" t="n">
        <v>0</v>
      </c>
      <c r="AG3" t="n">
        <v>0</v>
      </c>
      <c r="AH3" t="n">
        <v>0</v>
      </c>
      <c r="AI3" t="n">
        <v>14.77</v>
      </c>
      <c r="AJ3" t="n">
        <v>1</v>
      </c>
      <c r="AK3" t="n">
        <v>1</v>
      </c>
      <c r="AL3" t="n">
        <v>1</v>
      </c>
      <c r="AM3" t="n">
        <v>2</v>
      </c>
      <c r="AN3" t="n">
        <v>0</v>
      </c>
      <c r="AO3" t="n">
        <v>1</v>
      </c>
      <c r="AP3" t="n">
        <v>1</v>
      </c>
      <c r="AQ3" t="n">
        <v>0</v>
      </c>
      <c r="AR3" t="n">
        <v>0</v>
      </c>
      <c r="AS3" t="inlineStr"/>
      <c r="AT3" t="n">
        <v>2</v>
      </c>
      <c r="AU3" t="inlineStr"/>
      <c r="AV3" t="n">
        <v>0</v>
      </c>
      <c r="AW3" t="n">
        <v>2</v>
      </c>
      <c r="AX3" t="n">
        <v>78869147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ROUND(Y3*Source!I24,7)</f>
        <v/>
      </c>
      <c r="CY3">
        <f>AA3</f>
        <v/>
      </c>
      <c r="CZ3">
        <f>AE3</f>
        <v/>
      </c>
      <c r="DA3">
        <f>AI3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ROUND(ROUND(AE3*AI3,0)*CX3,0)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DF3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ROW(Source!A24)</f>
        <v/>
      </c>
      <c r="B4" t="n">
        <v>78869116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W4" t="n">
        <v>0</v>
      </c>
      <c r="X4" t="n">
        <v>-1701539228</v>
      </c>
      <c r="Y4">
        <f>AT4</f>
        <v/>
      </c>
      <c r="AA4" t="n">
        <v>145037.4</v>
      </c>
      <c r="AB4" t="n">
        <v>0</v>
      </c>
      <c r="AC4" t="n">
        <v>0</v>
      </c>
      <c r="AD4" t="n">
        <v>0</v>
      </c>
      <c r="AE4" t="n">
        <v>14830</v>
      </c>
      <c r="AF4" t="n">
        <v>0</v>
      </c>
      <c r="AG4" t="n">
        <v>0</v>
      </c>
      <c r="AH4" t="n">
        <v>0</v>
      </c>
      <c r="AI4" t="n">
        <v>9.779999999999999</v>
      </c>
      <c r="AJ4" t="n">
        <v>1</v>
      </c>
      <c r="AK4" t="n">
        <v>1</v>
      </c>
      <c r="AL4" t="n">
        <v>1</v>
      </c>
      <c r="AM4" t="n">
        <v>2</v>
      </c>
      <c r="AN4" t="n">
        <v>0</v>
      </c>
      <c r="AO4" t="n">
        <v>1</v>
      </c>
      <c r="AP4" t="n">
        <v>1</v>
      </c>
      <c r="AQ4" t="n">
        <v>0</v>
      </c>
      <c r="AR4" t="n">
        <v>0</v>
      </c>
      <c r="AS4" t="inlineStr"/>
      <c r="AT4" t="n">
        <v>0.005</v>
      </c>
      <c r="AU4" t="inlineStr"/>
      <c r="AV4" t="n">
        <v>0</v>
      </c>
      <c r="AW4" t="n">
        <v>2</v>
      </c>
      <c r="AX4" t="n">
        <v>78869148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 t="n">
        <v>0</v>
      </c>
      <c r="CX4">
        <f>ROUND(Y4*Source!I24,7)</f>
        <v/>
      </c>
      <c r="CY4">
        <f>AA4</f>
        <v/>
      </c>
      <c r="CZ4">
        <f>AE4</f>
        <v/>
      </c>
      <c r="DA4">
        <f>AI4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ROUND(ROUND(AE4*AI4,0)*CX4,0)</f>
        <v/>
      </c>
      <c r="DG4">
        <f>ROUND(ROUND(AF4,0)*CX4,0)</f>
        <v/>
      </c>
      <c r="DH4">
        <f>ROUND(ROUND(AG4,0)*CX4,0)</f>
        <v/>
      </c>
      <c r="DI4">
        <f>ROUND(ROUND(AH4,0)*CX4,0)</f>
        <v/>
      </c>
      <c r="DJ4">
        <f>DF4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ROW(Source!A24)</f>
        <v/>
      </c>
      <c r="B5" t="n">
        <v>78869116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W5" t="n">
        <v>0</v>
      </c>
      <c r="X5" t="n">
        <v>619799737</v>
      </c>
      <c r="Y5">
        <f>AT5</f>
        <v/>
      </c>
      <c r="AA5" t="n">
        <v>31.28</v>
      </c>
      <c r="AB5" t="n">
        <v>0</v>
      </c>
      <c r="AC5" t="n">
        <v>0</v>
      </c>
      <c r="AD5" t="n">
        <v>0</v>
      </c>
      <c r="AE5" t="n">
        <v>2.44</v>
      </c>
      <c r="AF5" t="n">
        <v>0</v>
      </c>
      <c r="AG5" t="n">
        <v>0</v>
      </c>
      <c r="AH5" t="n">
        <v>0</v>
      </c>
      <c r="AI5" t="n">
        <v>12.82</v>
      </c>
      <c r="AJ5" t="n">
        <v>1</v>
      </c>
      <c r="AK5" t="n">
        <v>1</v>
      </c>
      <c r="AL5" t="n">
        <v>1</v>
      </c>
      <c r="AM5" t="n">
        <v>2</v>
      </c>
      <c r="AN5" t="n">
        <v>0</v>
      </c>
      <c r="AO5" t="n">
        <v>1</v>
      </c>
      <c r="AP5" t="n">
        <v>1</v>
      </c>
      <c r="AQ5" t="n">
        <v>0</v>
      </c>
      <c r="AR5" t="n">
        <v>0</v>
      </c>
      <c r="AS5" t="inlineStr"/>
      <c r="AT5" t="n">
        <v>7.8</v>
      </c>
      <c r="AU5" t="inlineStr"/>
      <c r="AV5" t="n">
        <v>0</v>
      </c>
      <c r="AW5" t="n">
        <v>2</v>
      </c>
      <c r="AX5" t="n">
        <v>78869149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 t="n">
        <v>0</v>
      </c>
      <c r="CX5">
        <f>ROUND(Y5*Source!I24,7)</f>
        <v/>
      </c>
      <c r="CY5">
        <f>AA5</f>
        <v/>
      </c>
      <c r="CZ5">
        <f>AE5</f>
        <v/>
      </c>
      <c r="DA5">
        <f>AI5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ROUND(ROUND(AE5*AI5,0)*CX5,0)</f>
        <v/>
      </c>
      <c r="DG5">
        <f>ROUND(ROUND(AF5,0)*CX5,0)</f>
        <v/>
      </c>
      <c r="DH5">
        <f>ROUND(ROUND(AG5,0)*CX5,0)</f>
        <v/>
      </c>
      <c r="DI5">
        <f>ROUND(ROUND(AH5,0)*CX5,0)</f>
        <v/>
      </c>
      <c r="DJ5">
        <f>DF5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78869116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W6" t="n">
        <v>0</v>
      </c>
      <c r="X6" t="n">
        <v>-931037793</v>
      </c>
      <c r="Y6">
        <f>AT6</f>
        <v/>
      </c>
      <c r="AA6" t="n">
        <v>0</v>
      </c>
      <c r="AB6" t="n">
        <v>0</v>
      </c>
      <c r="AC6" t="n">
        <v>0</v>
      </c>
      <c r="AD6" t="n">
        <v>8.529999999999999</v>
      </c>
      <c r="AE6" t="n">
        <v>0</v>
      </c>
      <c r="AF6" t="n">
        <v>0</v>
      </c>
      <c r="AG6" t="n">
        <v>0</v>
      </c>
      <c r="AH6" t="n">
        <v>8.529999999999999</v>
      </c>
      <c r="AI6" t="n">
        <v>1</v>
      </c>
      <c r="AJ6" t="n">
        <v>1</v>
      </c>
      <c r="AK6" t="n">
        <v>1</v>
      </c>
      <c r="AL6" t="n">
        <v>1</v>
      </c>
      <c r="AM6" t="n">
        <v>-2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13.9</v>
      </c>
      <c r="AU6" t="inlineStr"/>
      <c r="AV6" t="n">
        <v>1</v>
      </c>
      <c r="AW6" t="n">
        <v>2</v>
      </c>
      <c r="AX6" t="n">
        <v>78869264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U6">
        <f>ROUND(AT6*Source!I25*AH6*AL6,0)</f>
        <v/>
      </c>
      <c r="CV6">
        <f>ROUND(Y6*Source!I25,7)</f>
        <v/>
      </c>
      <c r="CW6" t="n">
        <v>0</v>
      </c>
      <c r="CX6">
        <f>ROUND(Y6*Source!I25,7)</f>
        <v/>
      </c>
      <c r="CY6">
        <f>AD6</f>
        <v/>
      </c>
      <c r="CZ6">
        <f>AH6</f>
        <v/>
      </c>
      <c r="DA6">
        <f>AL6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ROUND(ROUND(AF6,0)*CX6,0)</f>
        <v/>
      </c>
      <c r="DH6">
        <f>ROUND(ROUND(AG6,0)*CX6,0)</f>
        <v/>
      </c>
      <c r="DI6">
        <f>ROUND(ROUND(AH6,0)*CX6,0)</f>
        <v/>
      </c>
      <c r="DJ6">
        <f>DI6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78869116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W7" t="n">
        <v>0</v>
      </c>
      <c r="X7" t="n">
        <v>-1187244712</v>
      </c>
      <c r="Y7">
        <f>AT7</f>
        <v/>
      </c>
      <c r="AA7" t="n">
        <v>352.73</v>
      </c>
      <c r="AB7" t="n">
        <v>0</v>
      </c>
      <c r="AC7" t="n">
        <v>0</v>
      </c>
      <c r="AD7" t="n">
        <v>0</v>
      </c>
      <c r="AE7" t="n">
        <v>85.2</v>
      </c>
      <c r="AF7" t="n">
        <v>0</v>
      </c>
      <c r="AG7" t="n">
        <v>0</v>
      </c>
      <c r="AH7" t="n">
        <v>0</v>
      </c>
      <c r="AI7" t="n">
        <v>4.14</v>
      </c>
      <c r="AJ7" t="n">
        <v>1</v>
      </c>
      <c r="AK7" t="n">
        <v>1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10</v>
      </c>
      <c r="AU7" t="inlineStr"/>
      <c r="AV7" t="n">
        <v>0</v>
      </c>
      <c r="AW7" t="n">
        <v>2</v>
      </c>
      <c r="AX7" t="n">
        <v>78869265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 t="n">
        <v>0</v>
      </c>
      <c r="CX7">
        <f>ROUND(Y7*Source!I25,7)</f>
        <v/>
      </c>
      <c r="CY7">
        <f>AA7</f>
        <v/>
      </c>
      <c r="CZ7">
        <f>AE7</f>
        <v/>
      </c>
      <c r="DA7">
        <f>AI7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ROUND(ROUND(AE7*AI7,0)*CX7,0)</f>
        <v/>
      </c>
      <c r="DG7">
        <f>ROUND(ROUND(AF7,0)*CX7,0)</f>
        <v/>
      </c>
      <c r="DH7">
        <f>ROUND(ROUND(AG7,0)*CX7,0)</f>
        <v/>
      </c>
      <c r="DI7">
        <f>ROUND(ROUND(AH7,0)*CX7,0)</f>
        <v/>
      </c>
      <c r="DJ7">
        <f>DF7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78869116</v>
      </c>
      <c r="C8" t="n">
        <v>78869260</v>
      </c>
      <c r="D8" t="n">
        <v>29169828</v>
      </c>
      <c r="E8" t="n">
        <v>1</v>
      </c>
      <c r="F8" t="n">
        <v>1</v>
      </c>
      <c r="G8" t="n">
        <v>1</v>
      </c>
      <c r="H8" t="n">
        <v>3</v>
      </c>
      <c r="I8" t="inlineStr">
        <is>
          <t>509-6744</t>
        </is>
      </c>
      <c r="J8" t="inlineStr">
        <is>
          <t>ТССЦ Московской обл., 509-6744, приказ Минстроя России №675/пр от 28.02.2017 № 258/пр</t>
        </is>
      </c>
      <c r="K8" t="inlineStr">
        <is>
          <t>Лампы люминесцентные компактные энергосберегающие с цоколем Е27 мощностью 55 Вт</t>
        </is>
      </c>
      <c r="L8" t="n">
        <v>1354</v>
      </c>
      <c r="N8" t="n">
        <v>1010</v>
      </c>
      <c r="O8" t="inlineStr">
        <is>
          <t>шт.</t>
        </is>
      </c>
      <c r="P8" t="inlineStr">
        <is>
          <t>шт.</t>
        </is>
      </c>
      <c r="Q8" t="n">
        <v>1</v>
      </c>
      <c r="W8" t="n">
        <v>0</v>
      </c>
      <c r="X8" t="n">
        <v>-228955380</v>
      </c>
      <c r="Y8">
        <f>AT8</f>
        <v/>
      </c>
      <c r="AA8" t="n">
        <v>237.77</v>
      </c>
      <c r="AB8" t="n">
        <v>0</v>
      </c>
      <c r="AC8" t="n">
        <v>0</v>
      </c>
      <c r="AD8" t="n">
        <v>0</v>
      </c>
      <c r="AE8" t="n">
        <v>140.69</v>
      </c>
      <c r="AF8" t="n">
        <v>0</v>
      </c>
      <c r="AG8" t="n">
        <v>0</v>
      </c>
      <c r="AH8" t="n">
        <v>0</v>
      </c>
      <c r="AI8" t="n">
        <v>1.69</v>
      </c>
      <c r="AJ8" t="n">
        <v>1</v>
      </c>
      <c r="AK8" t="n">
        <v>1</v>
      </c>
      <c r="AL8" t="n">
        <v>1</v>
      </c>
      <c r="AM8" t="n">
        <v>0</v>
      </c>
      <c r="AN8" t="n">
        <v>0</v>
      </c>
      <c r="AO8" t="n">
        <v>0</v>
      </c>
      <c r="AP8" t="n">
        <v>1</v>
      </c>
      <c r="AQ8" t="n">
        <v>0</v>
      </c>
      <c r="AR8" t="n">
        <v>0</v>
      </c>
      <c r="AS8" t="inlineStr"/>
      <c r="AT8" t="n">
        <v>100</v>
      </c>
      <c r="AU8" t="inlineStr"/>
      <c r="AV8" t="n">
        <v>0</v>
      </c>
      <c r="AW8" t="n">
        <v>1</v>
      </c>
      <c r="AX8" t="n">
        <v>-1</v>
      </c>
      <c r="AY8" t="n">
        <v>0</v>
      </c>
      <c r="AZ8" t="n">
        <v>0</v>
      </c>
      <c r="BA8" t="inlineStr"/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ROW(Source!A27)</f>
        <v/>
      </c>
      <c r="B9" t="n">
        <v>78869116</v>
      </c>
      <c r="C9" t="n">
        <v>78869272</v>
      </c>
      <c r="D9" t="n">
        <v>18442827</v>
      </c>
      <c r="E9" t="n">
        <v>1</v>
      </c>
      <c r="F9" t="n">
        <v>1</v>
      </c>
      <c r="G9" t="n">
        <v>1</v>
      </c>
      <c r="H9" t="n">
        <v>1</v>
      </c>
      <c r="I9" t="inlineStr">
        <is>
          <t>1-1053-90</t>
        </is>
      </c>
      <c r="J9" t="inlineStr"/>
      <c r="K9" t="inlineStr">
        <is>
          <t>Рабочий строитель среднего разряда 5,3</t>
        </is>
      </c>
      <c r="L9" t="n">
        <v>1369</v>
      </c>
      <c r="N9" t="n">
        <v>1013</v>
      </c>
      <c r="O9" t="inlineStr">
        <is>
          <t>чел.-ч</t>
        </is>
      </c>
      <c r="P9" t="inlineStr">
        <is>
          <t>чел.-ч</t>
        </is>
      </c>
      <c r="Q9" t="n">
        <v>1</v>
      </c>
      <c r="W9" t="n">
        <v>0</v>
      </c>
      <c r="X9" t="n">
        <v>717490484</v>
      </c>
      <c r="Y9">
        <f>(AT9*ROUND(5,7))</f>
        <v/>
      </c>
      <c r="AA9" t="n">
        <v>0</v>
      </c>
      <c r="AB9" t="n">
        <v>0</v>
      </c>
      <c r="AC9" t="n">
        <v>0</v>
      </c>
      <c r="AD9" t="n">
        <v>11.64</v>
      </c>
      <c r="AE9" t="n">
        <v>0</v>
      </c>
      <c r="AF9" t="n">
        <v>0</v>
      </c>
      <c r="AG9" t="n">
        <v>0</v>
      </c>
      <c r="AH9" t="n">
        <v>11.64</v>
      </c>
      <c r="AI9" t="n">
        <v>1</v>
      </c>
      <c r="AJ9" t="n">
        <v>1</v>
      </c>
      <c r="AK9" t="n">
        <v>1</v>
      </c>
      <c r="AL9" t="n">
        <v>1</v>
      </c>
      <c r="AM9" t="n">
        <v>-2</v>
      </c>
      <c r="AN9" t="n">
        <v>0</v>
      </c>
      <c r="AO9" t="n">
        <v>1</v>
      </c>
      <c r="AP9" t="n">
        <v>1</v>
      </c>
      <c r="AQ9" t="n">
        <v>0</v>
      </c>
      <c r="AR9" t="n">
        <v>0</v>
      </c>
      <c r="AS9" t="inlineStr"/>
      <c r="AT9" t="n">
        <v>5.01</v>
      </c>
      <c r="AU9" t="inlineStr">
        <is>
          <t>)*5</t>
        </is>
      </c>
      <c r="AV9" t="n">
        <v>1</v>
      </c>
      <c r="AW9" t="n">
        <v>2</v>
      </c>
      <c r="AX9" t="n">
        <v>78869279</v>
      </c>
      <c r="AY9" t="n">
        <v>1</v>
      </c>
      <c r="AZ9" t="n">
        <v>2048</v>
      </c>
      <c r="BA9" t="n">
        <v>8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U9">
        <f>ROUND(AT9*Source!I27*AH9*AL9,0)</f>
        <v/>
      </c>
      <c r="CV9">
        <f>ROUND(Y9*Source!I27,7)</f>
        <v/>
      </c>
      <c r="CW9" t="n">
        <v>0</v>
      </c>
      <c r="CX9">
        <f>ROUND(Y9*Source!I27,7)</f>
        <v/>
      </c>
      <c r="CY9">
        <f>AD9</f>
        <v/>
      </c>
      <c r="CZ9">
        <f>AH9</f>
        <v/>
      </c>
      <c r="DA9">
        <f>AL9</f>
        <v/>
      </c>
      <c r="DB9">
        <f>ROUND((ROUND(AT9*CZ9,2)*ROUND(5,7)),2)</f>
        <v/>
      </c>
      <c r="DC9">
        <f>ROUND((ROUND(AT9*AG9,2)*ROUND(5,7)),2)</f>
        <v/>
      </c>
      <c r="DD9" t="inlineStr"/>
      <c r="DE9" t="inlineStr"/>
      <c r="DF9">
        <f>ROUND(ROUND(AE9,0)*CX9,0)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DI9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ROW(Source!A27)</f>
        <v/>
      </c>
      <c r="B10" t="n">
        <v>78869116</v>
      </c>
      <c r="C10" t="n">
        <v>78869272</v>
      </c>
      <c r="D10" t="n">
        <v>29172703</v>
      </c>
      <c r="E10" t="n">
        <v>1</v>
      </c>
      <c r="F10" t="n">
        <v>1</v>
      </c>
      <c r="G10" t="n">
        <v>1</v>
      </c>
      <c r="H10" t="n">
        <v>2</v>
      </c>
      <c r="I10" t="inlineStr">
        <is>
          <t>042900</t>
        </is>
      </c>
      <c r="J10" t="inlineStr">
        <is>
          <t>ТСЭМ Московской обл., 042900, приказ Минстроя России №675/пр от 28.02.2017 № 264/пр</t>
        </is>
      </c>
      <c r="K1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" t="n">
        <v>1368</v>
      </c>
      <c r="N10" t="n">
        <v>1011</v>
      </c>
      <c r="O10" t="inlineStr">
        <is>
          <t>маш.-ч</t>
        </is>
      </c>
      <c r="P10" t="inlineStr">
        <is>
          <t>маш.-ч</t>
        </is>
      </c>
      <c r="Q10" t="n">
        <v>1</v>
      </c>
      <c r="W10" t="n">
        <v>0</v>
      </c>
      <c r="X10" t="n">
        <v>1695838894</v>
      </c>
      <c r="Y10">
        <f>(AT10*ROUND(5,7))</f>
        <v/>
      </c>
      <c r="AA10" t="n">
        <v>0</v>
      </c>
      <c r="AB10" t="n">
        <v>177.13</v>
      </c>
      <c r="AC10" t="n">
        <v>0</v>
      </c>
      <c r="AD10" t="n">
        <v>0</v>
      </c>
      <c r="AE10" t="n">
        <v>0</v>
      </c>
      <c r="AF10" t="n">
        <v>29.67</v>
      </c>
      <c r="AG10" t="n">
        <v>0</v>
      </c>
      <c r="AH10" t="n">
        <v>0</v>
      </c>
      <c r="AI10" t="n">
        <v>1</v>
      </c>
      <c r="AJ10" t="n">
        <v>5.97</v>
      </c>
      <c r="AK10" t="n">
        <v>52.25</v>
      </c>
      <c r="AL10" t="n">
        <v>1</v>
      </c>
      <c r="AM10" t="n">
        <v>2</v>
      </c>
      <c r="AN10" t="n">
        <v>0</v>
      </c>
      <c r="AO10" t="n">
        <v>1</v>
      </c>
      <c r="AP10" t="n">
        <v>1</v>
      </c>
      <c r="AQ10" t="n">
        <v>0</v>
      </c>
      <c r="AR10" t="n">
        <v>0</v>
      </c>
      <c r="AS10" t="inlineStr"/>
      <c r="AT10" t="n">
        <v>1.5</v>
      </c>
      <c r="AU10" t="inlineStr">
        <is>
          <t>)*5</t>
        </is>
      </c>
      <c r="AV10" t="n">
        <v>0</v>
      </c>
      <c r="AW10" t="n">
        <v>2</v>
      </c>
      <c r="AX10" t="n">
        <v>78869280</v>
      </c>
      <c r="AY10" t="n">
        <v>1</v>
      </c>
      <c r="AZ10" t="n">
        <v>0</v>
      </c>
      <c r="BA10" t="n">
        <v>9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>
        <f>ROUND(Y10*Source!I27*DO10,7)</f>
        <v/>
      </c>
      <c r="CX10">
        <f>ROUND(Y10*Source!I27,7)</f>
        <v/>
      </c>
      <c r="CY10">
        <f>AB10</f>
        <v/>
      </c>
      <c r="CZ10">
        <f>AF10</f>
        <v/>
      </c>
      <c r="DA10">
        <f>AJ10</f>
        <v/>
      </c>
      <c r="DB10">
        <f>ROUND((ROUND(AT10*CZ10,2)*ROUND(5,7)),2)</f>
        <v/>
      </c>
      <c r="DC10">
        <f>ROUND((ROUND(AT10*AG10,2)*ROUND(5,7)),2)</f>
        <v/>
      </c>
      <c r="DD10" t="inlineStr"/>
      <c r="DE10" t="inlineStr"/>
      <c r="DF10">
        <f>ROUND(ROUND(AE10,0)*CX10,0)</f>
        <v/>
      </c>
      <c r="DG10">
        <f>ROUND(ROUND(AF10*AJ10,0)*CX10,0)</f>
        <v/>
      </c>
      <c r="DH10">
        <f>ROUND(ROUND(AG10*AK10,0)*CX10,0)</f>
        <v/>
      </c>
      <c r="DI10">
        <f>ROUND(ROUND(AH10,0)*CX10,0)</f>
        <v/>
      </c>
      <c r="DJ10">
        <f>DG10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ROW(Source!A27)</f>
        <v/>
      </c>
      <c r="B11" t="n">
        <v>78869116</v>
      </c>
      <c r="C11" t="n">
        <v>78869272</v>
      </c>
      <c r="D11" t="n">
        <v>29110398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101-0388</t>
        </is>
      </c>
      <c r="J11" t="inlineStr">
        <is>
          <t>ТССЦ Московской обл., 101-0388, приказ Минстроя России №675/пр от 28.02.2017 № 254/пр</t>
        </is>
      </c>
      <c r="K11" t="inlineStr">
        <is>
          <t>Краски масляные земляные марки МА-0115 мумия, сурик железный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W11" t="n">
        <v>0</v>
      </c>
      <c r="X11" t="n">
        <v>1625292450</v>
      </c>
      <c r="Y11">
        <f>(AT11*ROUND(5,7))</f>
        <v/>
      </c>
      <c r="AA11" t="n">
        <v>76804.47</v>
      </c>
      <c r="AB11" t="n">
        <v>0</v>
      </c>
      <c r="AC11" t="n">
        <v>0</v>
      </c>
      <c r="AD11" t="n">
        <v>0</v>
      </c>
      <c r="AE11" t="n">
        <v>15118.99</v>
      </c>
      <c r="AF11" t="n">
        <v>0</v>
      </c>
      <c r="AG11" t="n">
        <v>0</v>
      </c>
      <c r="AH11" t="n">
        <v>0</v>
      </c>
      <c r="AI11" t="n">
        <v>5.08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1</v>
      </c>
      <c r="AQ11" t="n">
        <v>0</v>
      </c>
      <c r="AR11" t="n">
        <v>0</v>
      </c>
      <c r="AS11" t="inlineStr"/>
      <c r="AT11" t="n">
        <v>5e-05</v>
      </c>
      <c r="AU11" t="inlineStr">
        <is>
          <t>)*5</t>
        </is>
      </c>
      <c r="AV11" t="n">
        <v>0</v>
      </c>
      <c r="AW11" t="n">
        <v>2</v>
      </c>
      <c r="AX11" t="n">
        <v>78869281</v>
      </c>
      <c r="AY11" t="n">
        <v>1</v>
      </c>
      <c r="AZ11" t="n">
        <v>0</v>
      </c>
      <c r="BA11" t="n">
        <v>10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ROUND(Y11*Source!I27,7)</f>
        <v/>
      </c>
      <c r="CY11">
        <f>AA11</f>
        <v/>
      </c>
      <c r="CZ11">
        <f>AE11</f>
        <v/>
      </c>
      <c r="DA11">
        <f>AI11</f>
        <v/>
      </c>
      <c r="DB11">
        <f>ROUND((ROUND(AT11*CZ11,2)*ROUND(5,7)),2)</f>
        <v/>
      </c>
      <c r="DC11">
        <f>ROUND((ROUND(AT11*AG11,2)*ROUND(5,7)),2)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ROW(Source!A27)</f>
        <v/>
      </c>
      <c r="B12" t="n">
        <v>78869116</v>
      </c>
      <c r="C12" t="n">
        <v>78869272</v>
      </c>
      <c r="D12" t="n">
        <v>29110573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101-0628</t>
        </is>
      </c>
      <c r="J12" t="inlineStr">
        <is>
          <t>ТССЦ Московской обл., 101-0628, приказ Минстроя России №675/пр от 28.02.2017 № 254/пр</t>
        </is>
      </c>
      <c r="K12" t="inlineStr">
        <is>
          <t>Олифа комбинированная, марки К-3</t>
        </is>
      </c>
      <c r="L12" t="n">
        <v>1348</v>
      </c>
      <c r="N12" t="n">
        <v>1009</v>
      </c>
      <c r="O12" t="inlineStr">
        <is>
          <t>т</t>
        </is>
      </c>
      <c r="P12" t="inlineStr">
        <is>
          <t>т</t>
        </is>
      </c>
      <c r="Q12" t="n">
        <v>1000</v>
      </c>
      <c r="W12" t="n">
        <v>0</v>
      </c>
      <c r="X12" t="n">
        <v>24062879</v>
      </c>
      <c r="Y12">
        <f>(AT12*ROUND(5,7))</f>
        <v/>
      </c>
      <c r="AA12" t="n">
        <v>87631.5</v>
      </c>
      <c r="AB12" t="n">
        <v>0</v>
      </c>
      <c r="AC12" t="n">
        <v>0</v>
      </c>
      <c r="AD12" t="n">
        <v>0</v>
      </c>
      <c r="AE12" t="n">
        <v>16950</v>
      </c>
      <c r="AF12" t="n">
        <v>0</v>
      </c>
      <c r="AG12" t="n">
        <v>0</v>
      </c>
      <c r="AH12" t="n">
        <v>0</v>
      </c>
      <c r="AI12" t="n">
        <v>5.17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1</v>
      </c>
      <c r="AQ12" t="n">
        <v>0</v>
      </c>
      <c r="AR12" t="n">
        <v>0</v>
      </c>
      <c r="AS12" t="inlineStr"/>
      <c r="AT12" t="n">
        <v>2e-05</v>
      </c>
      <c r="AU12" t="inlineStr">
        <is>
          <t>)*5</t>
        </is>
      </c>
      <c r="AV12" t="n">
        <v>0</v>
      </c>
      <c r="AW12" t="n">
        <v>2</v>
      </c>
      <c r="AX12" t="n">
        <v>78869282</v>
      </c>
      <c r="AY12" t="n">
        <v>1</v>
      </c>
      <c r="AZ12" t="n">
        <v>0</v>
      </c>
      <c r="BA12" t="n">
        <v>11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ROUND(Y12*Source!I27,7)</f>
        <v/>
      </c>
      <c r="CY12">
        <f>AA12</f>
        <v/>
      </c>
      <c r="CZ12">
        <f>AE12</f>
        <v/>
      </c>
      <c r="DA12">
        <f>AI12</f>
        <v/>
      </c>
      <c r="DB12">
        <f>ROUND((ROUND(AT12*CZ12,2)*ROUND(5,7)),2)</f>
        <v/>
      </c>
      <c r="DC12">
        <f>ROUND((ROUND(AT12*AG12,2)*ROUND(5,7)),2)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ROW(Source!A27)</f>
        <v/>
      </c>
      <c r="B13" t="n">
        <v>78869116</v>
      </c>
      <c r="C13" t="n">
        <v>78869272</v>
      </c>
      <c r="D13" t="n">
        <v>29107963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101-1669</t>
        </is>
      </c>
      <c r="J13" t="inlineStr">
        <is>
          <t>ТССЦ Московской обл., 101-1669, приказ Минстроя России №675/пр от 28.02.2017 № 254/пр</t>
        </is>
      </c>
      <c r="K13" t="inlineStr">
        <is>
          <t>Очес льняной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-2113933962</v>
      </c>
      <c r="Y13">
        <f>(AT13*ROUND(5,7))</f>
        <v/>
      </c>
      <c r="AA13" t="n">
        <v>590.67</v>
      </c>
      <c r="AB13" t="n">
        <v>0</v>
      </c>
      <c r="AC13" t="n">
        <v>0</v>
      </c>
      <c r="AD13" t="n">
        <v>0</v>
      </c>
      <c r="AE13" t="n">
        <v>37.29</v>
      </c>
      <c r="AF13" t="n">
        <v>0</v>
      </c>
      <c r="AG13" t="n">
        <v>0</v>
      </c>
      <c r="AH13" t="n">
        <v>0</v>
      </c>
      <c r="AI13" t="n">
        <v>15.84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1</v>
      </c>
      <c r="AQ13" t="n">
        <v>0</v>
      </c>
      <c r="AR13" t="n">
        <v>0</v>
      </c>
      <c r="AS13" t="inlineStr"/>
      <c r="AT13" t="n">
        <v>0.02</v>
      </c>
      <c r="AU13" t="inlineStr">
        <is>
          <t>)*5</t>
        </is>
      </c>
      <c r="AV13" t="n">
        <v>0</v>
      </c>
      <c r="AW13" t="n">
        <v>2</v>
      </c>
      <c r="AX13" t="n">
        <v>78869283</v>
      </c>
      <c r="AY13" t="n">
        <v>1</v>
      </c>
      <c r="AZ13" t="n">
        <v>0</v>
      </c>
      <c r="BA13" t="n">
        <v>12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ROUND(Y13*Source!I27,7)</f>
        <v/>
      </c>
      <c r="CY13">
        <f>AA13</f>
        <v/>
      </c>
      <c r="CZ13">
        <f>AE13</f>
        <v/>
      </c>
      <c r="DA13">
        <f>AI13</f>
        <v/>
      </c>
      <c r="DB13">
        <f>ROUND((ROUND(AT13*CZ13,2)*ROUND(5,7)),2)</f>
        <v/>
      </c>
      <c r="DC13">
        <f>ROUND((ROUND(AT13*AG13,2)*ROUND(5,7)),2)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ROW(Source!A27)</f>
        <v/>
      </c>
      <c r="B14" t="n">
        <v>78869116</v>
      </c>
      <c r="C14" t="n">
        <v>78869272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(AT14*ROUND(5,7))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1</v>
      </c>
      <c r="AQ14" t="n">
        <v>0</v>
      </c>
      <c r="AR14" t="n">
        <v>0</v>
      </c>
      <c r="AS14" t="inlineStr"/>
      <c r="AT14" t="n">
        <v>1</v>
      </c>
      <c r="AU14" t="inlineStr">
        <is>
          <t>)*5</t>
        </is>
      </c>
      <c r="AV14" t="n">
        <v>0</v>
      </c>
      <c r="AW14" t="n">
        <v>2</v>
      </c>
      <c r="AX14" t="n">
        <v>78869284</v>
      </c>
      <c r="AY14" t="n">
        <v>1</v>
      </c>
      <c r="AZ14" t="n">
        <v>0</v>
      </c>
      <c r="BA14" t="n">
        <v>13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ROUND(Y14*Source!I27,7)</f>
        <v/>
      </c>
      <c r="CY14">
        <f>AA14</f>
        <v/>
      </c>
      <c r="CZ14">
        <f>AE14</f>
        <v/>
      </c>
      <c r="DA14">
        <f>AI14</f>
        <v/>
      </c>
      <c r="DB14">
        <f>ROUND((ROUND(AT14*CZ14,2)*ROUND(5,7)),2)</f>
        <v/>
      </c>
      <c r="DC14">
        <f>ROUND((ROUND(AT14*AG14,2)*ROUND(5,7)),2)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ROW(Source!A66)</f>
        <v/>
      </c>
      <c r="B15" t="n">
        <v>78869116</v>
      </c>
      <c r="C15" t="n">
        <v>78869348</v>
      </c>
      <c r="D15" t="n">
        <v>18408291</v>
      </c>
      <c r="E15" t="n">
        <v>1</v>
      </c>
      <c r="F15" t="n">
        <v>1</v>
      </c>
      <c r="G15" t="n">
        <v>1</v>
      </c>
      <c r="H15" t="n">
        <v>1</v>
      </c>
      <c r="I15" t="inlineStr">
        <is>
          <t>1-1025-90</t>
        </is>
      </c>
      <c r="J15" t="inlineStr"/>
      <c r="K15" t="inlineStr">
        <is>
          <t>Рабочий строитель среднего разряда 2,5</t>
        </is>
      </c>
      <c r="L15" t="n">
        <v>1369</v>
      </c>
      <c r="N15" t="n">
        <v>1013</v>
      </c>
      <c r="O15" t="inlineStr">
        <is>
          <t>чел.-ч</t>
        </is>
      </c>
      <c r="P15" t="inlineStr">
        <is>
          <t>чел.-ч</t>
        </is>
      </c>
      <c r="Q15" t="n">
        <v>1</v>
      </c>
      <c r="W15" t="n">
        <v>0</v>
      </c>
      <c r="X15" t="n">
        <v>1933892413</v>
      </c>
      <c r="Y15">
        <f>AT15</f>
        <v/>
      </c>
      <c r="AA15" t="n">
        <v>0</v>
      </c>
      <c r="AB15" t="n">
        <v>0</v>
      </c>
      <c r="AC15" t="n">
        <v>0</v>
      </c>
      <c r="AD15" t="n">
        <v>8.17</v>
      </c>
      <c r="AE15" t="n">
        <v>0</v>
      </c>
      <c r="AF15" t="n">
        <v>0</v>
      </c>
      <c r="AG15" t="n">
        <v>0</v>
      </c>
      <c r="AH15" t="n">
        <v>8.17</v>
      </c>
      <c r="AI15" t="n">
        <v>1</v>
      </c>
      <c r="AJ15" t="n">
        <v>1</v>
      </c>
      <c r="AK15" t="n">
        <v>1</v>
      </c>
      <c r="AL15" t="n">
        <v>1</v>
      </c>
      <c r="AM15" t="n">
        <v>-2</v>
      </c>
      <c r="AN15" t="n">
        <v>0</v>
      </c>
      <c r="AO15" t="n">
        <v>1</v>
      </c>
      <c r="AP15" t="n">
        <v>1</v>
      </c>
      <c r="AQ15" t="n">
        <v>0</v>
      </c>
      <c r="AR15" t="n">
        <v>0</v>
      </c>
      <c r="AS15" t="inlineStr"/>
      <c r="AT15" t="n">
        <v>32.2</v>
      </c>
      <c r="AU15" t="inlineStr"/>
      <c r="AV15" t="n">
        <v>1</v>
      </c>
      <c r="AW15" t="n">
        <v>2</v>
      </c>
      <c r="AX15" t="n">
        <v>78869354</v>
      </c>
      <c r="AY15" t="n">
        <v>1</v>
      </c>
      <c r="AZ15" t="n">
        <v>0</v>
      </c>
      <c r="BA15" t="n">
        <v>14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U15">
        <f>ROUND(AT15*Source!I66*AH15*AL15,0)</f>
        <v/>
      </c>
      <c r="CV15">
        <f>ROUND(Y15*Source!I66,7)</f>
        <v/>
      </c>
      <c r="CW15" t="n">
        <v>0</v>
      </c>
      <c r="CX15">
        <f>ROUND(Y15*Source!I66,7)</f>
        <v/>
      </c>
      <c r="CY15">
        <f>AD15</f>
        <v/>
      </c>
      <c r="CZ15">
        <f>AH15</f>
        <v/>
      </c>
      <c r="DA15">
        <f>AL15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DI15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ROW(Source!A66)</f>
        <v/>
      </c>
      <c r="B16" t="n">
        <v>78869116</v>
      </c>
      <c r="C16" t="n">
        <v>78869348</v>
      </c>
      <c r="D16" t="n">
        <v>29174913</v>
      </c>
      <c r="E16" t="n">
        <v>1</v>
      </c>
      <c r="F16" t="n">
        <v>1</v>
      </c>
      <c r="G16" t="n">
        <v>1</v>
      </c>
      <c r="H16" t="n">
        <v>2</v>
      </c>
      <c r="I16" t="inlineStr">
        <is>
          <t>400001</t>
        </is>
      </c>
      <c r="J16" t="inlineStr">
        <is>
          <t>ТСЭМ Московской обл., 400001, приказ Минстроя России №675/пр от 28.02.2017 № 264/пр</t>
        </is>
      </c>
      <c r="K16" t="inlineStr">
        <is>
          <t>Автомобили бортовые, грузоподъемность до 5 т</t>
        </is>
      </c>
      <c r="L16" t="n">
        <v>1368</v>
      </c>
      <c r="N16" t="n">
        <v>1011</v>
      </c>
      <c r="O16" t="inlineStr">
        <is>
          <t>маш.-ч</t>
        </is>
      </c>
      <c r="P16" t="inlineStr">
        <is>
          <t>маш.-ч</t>
        </is>
      </c>
      <c r="Q16" t="n">
        <v>1</v>
      </c>
      <c r="W16" t="n">
        <v>0</v>
      </c>
      <c r="X16" t="n">
        <v>1230759911</v>
      </c>
      <c r="Y16">
        <f>AT16</f>
        <v/>
      </c>
      <c r="AA16" t="n">
        <v>0</v>
      </c>
      <c r="AB16" t="n">
        <v>2177.51</v>
      </c>
      <c r="AC16" t="n">
        <v>606.1</v>
      </c>
      <c r="AD16" t="n">
        <v>0</v>
      </c>
      <c r="AE16" t="n">
        <v>0</v>
      </c>
      <c r="AF16" t="n">
        <v>87.17</v>
      </c>
      <c r="AG16" t="n">
        <v>11.6</v>
      </c>
      <c r="AH16" t="n">
        <v>0</v>
      </c>
      <c r="AI16" t="n">
        <v>1</v>
      </c>
      <c r="AJ16" t="n">
        <v>24.98</v>
      </c>
      <c r="AK16" t="n">
        <v>52.25</v>
      </c>
      <c r="AL16" t="n">
        <v>1</v>
      </c>
      <c r="AM16" t="n">
        <v>2</v>
      </c>
      <c r="AN16" t="n">
        <v>0</v>
      </c>
      <c r="AO16" t="n">
        <v>1</v>
      </c>
      <c r="AP16" t="n">
        <v>1</v>
      </c>
      <c r="AQ16" t="n">
        <v>0</v>
      </c>
      <c r="AR16" t="n">
        <v>0</v>
      </c>
      <c r="AS16" t="inlineStr"/>
      <c r="AT16" t="n">
        <v>0.01</v>
      </c>
      <c r="AU16" t="inlineStr"/>
      <c r="AV16" t="n">
        <v>0</v>
      </c>
      <c r="AW16" t="n">
        <v>2</v>
      </c>
      <c r="AX16" t="n">
        <v>78869355</v>
      </c>
      <c r="AY16" t="n">
        <v>1</v>
      </c>
      <c r="AZ16" t="n">
        <v>0</v>
      </c>
      <c r="BA16" t="n">
        <v>15</v>
      </c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>
        <f>ROUND(Y16*Source!I66*DO16,7)</f>
        <v/>
      </c>
      <c r="CX16">
        <f>ROUND(Y16*Source!I66,7)</f>
        <v/>
      </c>
      <c r="CY16">
        <f>AB16</f>
        <v/>
      </c>
      <c r="CZ16">
        <f>AF16</f>
        <v/>
      </c>
      <c r="DA16">
        <f>AJ16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ROUND(ROUND(AE16,0)*CX16,0)</f>
        <v/>
      </c>
      <c r="DG16">
        <f>ROUND(ROUND(AF16*AJ16,0)*CX16,0)</f>
        <v/>
      </c>
      <c r="DH16">
        <f>ROUND(ROUND(AG16*AK16,0)*CX16,0)</f>
        <v/>
      </c>
      <c r="DI16">
        <f>ROUND(ROUND(AH16,0)*CX16,0)</f>
        <v/>
      </c>
      <c r="DJ16">
        <f>DG16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ROW(Source!A66)</f>
        <v/>
      </c>
      <c r="B17" t="n">
        <v>78869116</v>
      </c>
      <c r="C17" t="n">
        <v>78869348</v>
      </c>
      <c r="D17" t="n">
        <v>29110139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101-1703</t>
        </is>
      </c>
      <c r="J17" t="inlineStr">
        <is>
          <t>ТССЦ Московской обл., 101-1703, приказ Минстроя России №675/пр от 28.02.2017 № 254/пр</t>
        </is>
      </c>
      <c r="K17" t="inlineStr">
        <is>
          <t>Прокладки резиновые (пластина техническая прессованная)</t>
        </is>
      </c>
      <c r="L17" t="n">
        <v>1346</v>
      </c>
      <c r="N17" t="n">
        <v>1009</v>
      </c>
      <c r="O17" t="inlineStr">
        <is>
          <t>кг</t>
        </is>
      </c>
      <c r="P17" t="inlineStr">
        <is>
          <t>кг</t>
        </is>
      </c>
      <c r="Q17" t="n">
        <v>1</v>
      </c>
      <c r="W17" t="n">
        <v>0</v>
      </c>
      <c r="X17" t="n">
        <v>-1947909329</v>
      </c>
      <c r="Y17">
        <f>AT17</f>
        <v/>
      </c>
      <c r="AA17" t="n">
        <v>341.04</v>
      </c>
      <c r="AB17" t="n">
        <v>0</v>
      </c>
      <c r="AC17" t="n">
        <v>0</v>
      </c>
      <c r="AD17" t="n">
        <v>0</v>
      </c>
      <c r="AE17" t="n">
        <v>23.09</v>
      </c>
      <c r="AF17" t="n">
        <v>0</v>
      </c>
      <c r="AG17" t="n">
        <v>0</v>
      </c>
      <c r="AH17" t="n">
        <v>0</v>
      </c>
      <c r="AI17" t="n">
        <v>14.77</v>
      </c>
      <c r="AJ17" t="n">
        <v>1</v>
      </c>
      <c r="AK17" t="n">
        <v>1</v>
      </c>
      <c r="AL17" t="n">
        <v>1</v>
      </c>
      <c r="AM17" t="n">
        <v>2</v>
      </c>
      <c r="AN17" t="n">
        <v>0</v>
      </c>
      <c r="AO17" t="n">
        <v>1</v>
      </c>
      <c r="AP17" t="n">
        <v>1</v>
      </c>
      <c r="AQ17" t="n">
        <v>0</v>
      </c>
      <c r="AR17" t="n">
        <v>0</v>
      </c>
      <c r="AS17" t="inlineStr"/>
      <c r="AT17" t="n">
        <v>2</v>
      </c>
      <c r="AU17" t="inlineStr"/>
      <c r="AV17" t="n">
        <v>0</v>
      </c>
      <c r="AW17" t="n">
        <v>2</v>
      </c>
      <c r="AX17" t="n">
        <v>78869356</v>
      </c>
      <c r="AY17" t="n">
        <v>1</v>
      </c>
      <c r="AZ17" t="n">
        <v>0</v>
      </c>
      <c r="BA17" t="n">
        <v>16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V17" t="n">
        <v>0</v>
      </c>
      <c r="CW17" t="n">
        <v>0</v>
      </c>
      <c r="CX17">
        <f>ROUND(Y17*Source!I66,7)</f>
        <v/>
      </c>
      <c r="CY17">
        <f>AA17</f>
        <v/>
      </c>
      <c r="CZ17">
        <f>AE17</f>
        <v/>
      </c>
      <c r="DA17">
        <f>AI17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ROUND(ROUND(AE17*AI17,0)*CX17,0)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DF17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ROW(Source!A66)</f>
        <v/>
      </c>
      <c r="B18" t="n">
        <v>78869116</v>
      </c>
      <c r="C18" t="n">
        <v>78869348</v>
      </c>
      <c r="D18" t="n">
        <v>29114240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101-2576</t>
        </is>
      </c>
      <c r="J18" t="inlineStr">
        <is>
          <t>ТССЦ Московской обл., 101-2576, приказ Минстроя России №675/пр от 28.02.2017 № 254/пр</t>
        </is>
      </c>
      <c r="K18" t="inlineStr">
        <is>
          <t>Болты с гайками и шайбами для санитарно-технических работ диаметром 16 мм</t>
        </is>
      </c>
      <c r="L18" t="n">
        <v>1348</v>
      </c>
      <c r="N18" t="n">
        <v>1009</v>
      </c>
      <c r="O18" t="inlineStr">
        <is>
          <t>т</t>
        </is>
      </c>
      <c r="P18" t="inlineStr">
        <is>
          <t>т</t>
        </is>
      </c>
      <c r="Q18" t="n">
        <v>1000</v>
      </c>
      <c r="W18" t="n">
        <v>0</v>
      </c>
      <c r="X18" t="n">
        <v>-1701539228</v>
      </c>
      <c r="Y18">
        <f>AT18</f>
        <v/>
      </c>
      <c r="AA18" t="n">
        <v>145037.4</v>
      </c>
      <c r="AB18" t="n">
        <v>0</v>
      </c>
      <c r="AC18" t="n">
        <v>0</v>
      </c>
      <c r="AD18" t="n">
        <v>0</v>
      </c>
      <c r="AE18" t="n">
        <v>14830</v>
      </c>
      <c r="AF18" t="n">
        <v>0</v>
      </c>
      <c r="AG18" t="n">
        <v>0</v>
      </c>
      <c r="AH18" t="n">
        <v>0</v>
      </c>
      <c r="AI18" t="n">
        <v>9.779999999999999</v>
      </c>
      <c r="AJ18" t="n">
        <v>1</v>
      </c>
      <c r="AK18" t="n">
        <v>1</v>
      </c>
      <c r="AL18" t="n">
        <v>1</v>
      </c>
      <c r="AM18" t="n">
        <v>2</v>
      </c>
      <c r="AN18" t="n">
        <v>0</v>
      </c>
      <c r="AO18" t="n">
        <v>1</v>
      </c>
      <c r="AP18" t="n">
        <v>1</v>
      </c>
      <c r="AQ18" t="n">
        <v>0</v>
      </c>
      <c r="AR18" t="n">
        <v>0</v>
      </c>
      <c r="AS18" t="inlineStr"/>
      <c r="AT18" t="n">
        <v>0.005</v>
      </c>
      <c r="AU18" t="inlineStr"/>
      <c r="AV18" t="n">
        <v>0</v>
      </c>
      <c r="AW18" t="n">
        <v>2</v>
      </c>
      <c r="AX18" t="n">
        <v>78869357</v>
      </c>
      <c r="AY18" t="n">
        <v>1</v>
      </c>
      <c r="AZ18" t="n">
        <v>0</v>
      </c>
      <c r="BA18" t="n">
        <v>17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 t="n">
        <v>0</v>
      </c>
      <c r="CX18">
        <f>ROUND(Y18*Source!I66,7)</f>
        <v/>
      </c>
      <c r="CY18">
        <f>AA18</f>
        <v/>
      </c>
      <c r="CZ18">
        <f>AE18</f>
        <v/>
      </c>
      <c r="DA18">
        <f>AI18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ROUND(ROUND(AE18*AI18,0)*CX18,0)</f>
        <v/>
      </c>
      <c r="DG18">
        <f>ROUND(ROUND(AF18,0)*CX18,0)</f>
        <v/>
      </c>
      <c r="DH18">
        <f>ROUND(ROUND(AG18,0)*CX18,0)</f>
        <v/>
      </c>
      <c r="DI18">
        <f>ROUND(ROUND(AH18,0)*CX18,0)</f>
        <v/>
      </c>
      <c r="DJ18">
        <f>DF18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ROW(Source!A66)</f>
        <v/>
      </c>
      <c r="B19" t="n">
        <v>78869116</v>
      </c>
      <c r="C19" t="n">
        <v>78869348</v>
      </c>
      <c r="D19" t="n">
        <v>29150040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411-0001</t>
        </is>
      </c>
      <c r="J19" t="inlineStr">
        <is>
          <t>ТССЦ Московской обл., 411-0001, приказ Минстроя России №675/пр от 28.02.2017 № 257/пр</t>
        </is>
      </c>
      <c r="K19" t="inlineStr">
        <is>
          <t>Вода</t>
        </is>
      </c>
      <c r="L19" t="n">
        <v>1339</v>
      </c>
      <c r="N19" t="n">
        <v>1007</v>
      </c>
      <c r="O19" t="inlineStr">
        <is>
          <t>м3</t>
        </is>
      </c>
      <c r="P19" t="inlineStr">
        <is>
          <t>м3</t>
        </is>
      </c>
      <c r="Q19" t="n">
        <v>1</v>
      </c>
      <c r="W19" t="n">
        <v>0</v>
      </c>
      <c r="X19" t="n">
        <v>619799737</v>
      </c>
      <c r="Y19">
        <f>AT19</f>
        <v/>
      </c>
      <c r="AA19" t="n">
        <v>31.28</v>
      </c>
      <c r="AB19" t="n">
        <v>0</v>
      </c>
      <c r="AC19" t="n">
        <v>0</v>
      </c>
      <c r="AD19" t="n">
        <v>0</v>
      </c>
      <c r="AE19" t="n">
        <v>2.44</v>
      </c>
      <c r="AF19" t="n">
        <v>0</v>
      </c>
      <c r="AG19" t="n">
        <v>0</v>
      </c>
      <c r="AH19" t="n">
        <v>0</v>
      </c>
      <c r="AI19" t="n">
        <v>12.82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1</v>
      </c>
      <c r="AQ19" t="n">
        <v>0</v>
      </c>
      <c r="AR19" t="n">
        <v>0</v>
      </c>
      <c r="AS19" t="inlineStr"/>
      <c r="AT19" t="n">
        <v>7.8</v>
      </c>
      <c r="AU19" t="inlineStr"/>
      <c r="AV19" t="n">
        <v>0</v>
      </c>
      <c r="AW19" t="n">
        <v>2</v>
      </c>
      <c r="AX19" t="n">
        <v>78869358</v>
      </c>
      <c r="AY19" t="n">
        <v>1</v>
      </c>
      <c r="AZ19" t="n">
        <v>0</v>
      </c>
      <c r="BA19" t="n">
        <v>18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ROUND(Y19*Source!I66,7)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ROW(Source!A67)</f>
        <v/>
      </c>
      <c r="B20" t="n">
        <v>78869116</v>
      </c>
      <c r="C20" t="n">
        <v>78869359</v>
      </c>
      <c r="D20" t="n">
        <v>18407150</v>
      </c>
      <c r="E20" t="n">
        <v>1</v>
      </c>
      <c r="F20" t="n">
        <v>1</v>
      </c>
      <c r="G20" t="n">
        <v>1</v>
      </c>
      <c r="H20" t="n">
        <v>1</v>
      </c>
      <c r="I20" t="inlineStr">
        <is>
          <t>1-1030-90</t>
        </is>
      </c>
      <c r="J20" t="inlineStr"/>
      <c r="K20" t="inlineStr">
        <is>
          <t>Рабочий строитель среднего разряда 3</t>
        </is>
      </c>
      <c r="L20" t="n">
        <v>1369</v>
      </c>
      <c r="N20" t="n">
        <v>1013</v>
      </c>
      <c r="O20" t="inlineStr">
        <is>
          <t>чел.-ч</t>
        </is>
      </c>
      <c r="P20" t="inlineStr">
        <is>
          <t>чел.-ч</t>
        </is>
      </c>
      <c r="Q20" t="n">
        <v>1</v>
      </c>
      <c r="W20" t="n">
        <v>0</v>
      </c>
      <c r="X20" t="n">
        <v>-931037793</v>
      </c>
      <c r="Y20">
        <f>AT20</f>
        <v/>
      </c>
      <c r="AA20" t="n">
        <v>0</v>
      </c>
      <c r="AB20" t="n">
        <v>0</v>
      </c>
      <c r="AC20" t="n">
        <v>0</v>
      </c>
      <c r="AD20" t="n">
        <v>8.529999999999999</v>
      </c>
      <c r="AE20" t="n">
        <v>0</v>
      </c>
      <c r="AF20" t="n">
        <v>0</v>
      </c>
      <c r="AG20" t="n">
        <v>0</v>
      </c>
      <c r="AH20" t="n">
        <v>8.529999999999999</v>
      </c>
      <c r="AI20" t="n">
        <v>1</v>
      </c>
      <c r="AJ20" t="n">
        <v>1</v>
      </c>
      <c r="AK20" t="n">
        <v>1</v>
      </c>
      <c r="AL20" t="n">
        <v>1</v>
      </c>
      <c r="AM20" t="n">
        <v>-2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13.9</v>
      </c>
      <c r="AU20" t="inlineStr"/>
      <c r="AV20" t="n">
        <v>1</v>
      </c>
      <c r="AW20" t="n">
        <v>2</v>
      </c>
      <c r="AX20" t="n">
        <v>78869363</v>
      </c>
      <c r="AY20" t="n">
        <v>1</v>
      </c>
      <c r="AZ20" t="n">
        <v>0</v>
      </c>
      <c r="BA20" t="n">
        <v>19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U20">
        <f>ROUND(AT20*Source!I67*AH20*AL20,0)</f>
        <v/>
      </c>
      <c r="CV20">
        <f>ROUND(Y20*Source!I67,7)</f>
        <v/>
      </c>
      <c r="CW20" t="n">
        <v>0</v>
      </c>
      <c r="CX20">
        <f>ROUND(Y20*Source!I67,7)</f>
        <v/>
      </c>
      <c r="CY20">
        <f>AD20</f>
        <v/>
      </c>
      <c r="CZ20">
        <f>AH20</f>
        <v/>
      </c>
      <c r="DA20">
        <f>AL20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DI20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ROW(Source!A67)</f>
        <v/>
      </c>
      <c r="B21" t="n">
        <v>78869116</v>
      </c>
      <c r="C21" t="n">
        <v>78869359</v>
      </c>
      <c r="D21" t="n">
        <v>29169821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509-0696</t>
        </is>
      </c>
      <c r="J21" t="inlineStr">
        <is>
          <t>ТССЦ Московской обл., 509-0696, приказ Минстроя России №675/пр от 28.02.2017 № 258/пр</t>
        </is>
      </c>
      <c r="K21" t="inlineStr">
        <is>
          <t>Лампы люминесцентные ртутные низкого давления типа ЛБ, ЛД, ЛДЦ, ЛТВ, ЛБХ 20</t>
        </is>
      </c>
      <c r="L21" t="n">
        <v>1358</v>
      </c>
      <c r="N21" t="n">
        <v>1010</v>
      </c>
      <c r="O21" t="inlineStr">
        <is>
          <t>10 шт.</t>
        </is>
      </c>
      <c r="P21" t="inlineStr">
        <is>
          <t>10 шт.</t>
        </is>
      </c>
      <c r="Q21" t="n">
        <v>10</v>
      </c>
      <c r="W21" t="n">
        <v>0</v>
      </c>
      <c r="X21" t="n">
        <v>-1187244712</v>
      </c>
      <c r="Y21">
        <f>AT21</f>
        <v/>
      </c>
      <c r="AA21" t="n">
        <v>352.73</v>
      </c>
      <c r="AB21" t="n">
        <v>0</v>
      </c>
      <c r="AC21" t="n">
        <v>0</v>
      </c>
      <c r="AD21" t="n">
        <v>0</v>
      </c>
      <c r="AE21" t="n">
        <v>85.2</v>
      </c>
      <c r="AF21" t="n">
        <v>0</v>
      </c>
      <c r="AG21" t="n">
        <v>0</v>
      </c>
      <c r="AH21" t="n">
        <v>0</v>
      </c>
      <c r="AI21" t="n">
        <v>4.14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10</v>
      </c>
      <c r="AU21" t="inlineStr"/>
      <c r="AV21" t="n">
        <v>0</v>
      </c>
      <c r="AW21" t="n">
        <v>2</v>
      </c>
      <c r="AX21" t="n">
        <v>78869364</v>
      </c>
      <c r="AY21" t="n">
        <v>1</v>
      </c>
      <c r="AZ21" t="n">
        <v>0</v>
      </c>
      <c r="BA21" t="n">
        <v>20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ROUND(Y21*Source!I67,7)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ROW(Source!A67)</f>
        <v/>
      </c>
      <c r="B22" t="n">
        <v>78869116</v>
      </c>
      <c r="C22" t="n">
        <v>78869359</v>
      </c>
      <c r="D22" t="n">
        <v>29169828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509-6744</t>
        </is>
      </c>
      <c r="J22" t="inlineStr">
        <is>
          <t>ТССЦ Московской обл., 509-6744, приказ Минстроя России №675/пр от 28.02.2017 № 258/пр</t>
        </is>
      </c>
      <c r="K22" t="inlineStr">
        <is>
          <t>Лампы люминесцентные компактные энергосберегающие с цоколем Е27 мощностью 55 Вт</t>
        </is>
      </c>
      <c r="L22" t="n">
        <v>1354</v>
      </c>
      <c r="N22" t="n">
        <v>1010</v>
      </c>
      <c r="O22" t="inlineStr">
        <is>
          <t>шт.</t>
        </is>
      </c>
      <c r="P22" t="inlineStr">
        <is>
          <t>шт.</t>
        </is>
      </c>
      <c r="Q22" t="n">
        <v>1</v>
      </c>
      <c r="W22" t="n">
        <v>0</v>
      </c>
      <c r="X22" t="n">
        <v>-228955380</v>
      </c>
      <c r="Y22">
        <f>AT22</f>
        <v/>
      </c>
      <c r="AA22" t="n">
        <v>237.77</v>
      </c>
      <c r="AB22" t="n">
        <v>0</v>
      </c>
      <c r="AC22" t="n">
        <v>0</v>
      </c>
      <c r="AD22" t="n">
        <v>0</v>
      </c>
      <c r="AE22" t="n">
        <v>140.69</v>
      </c>
      <c r="AF22" t="n">
        <v>0</v>
      </c>
      <c r="AG22" t="n">
        <v>0</v>
      </c>
      <c r="AH22" t="n">
        <v>0</v>
      </c>
      <c r="AI22" t="n">
        <v>1.69</v>
      </c>
      <c r="AJ22" t="n">
        <v>1</v>
      </c>
      <c r="AK22" t="n">
        <v>1</v>
      </c>
      <c r="AL22" t="n">
        <v>1</v>
      </c>
      <c r="AM22" t="n">
        <v>0</v>
      </c>
      <c r="AN22" t="n">
        <v>0</v>
      </c>
      <c r="AO22" t="n">
        <v>0</v>
      </c>
      <c r="AP22" t="n">
        <v>1</v>
      </c>
      <c r="AQ22" t="n">
        <v>0</v>
      </c>
      <c r="AR22" t="n">
        <v>0</v>
      </c>
      <c r="AS22" t="inlineStr"/>
      <c r="AT22" t="n">
        <v>100</v>
      </c>
      <c r="AU22" t="inlineStr"/>
      <c r="AV22" t="n">
        <v>0</v>
      </c>
      <c r="AW22" t="n">
        <v>1</v>
      </c>
      <c r="AX22" t="n">
        <v>-1</v>
      </c>
      <c r="AY22" t="n">
        <v>0</v>
      </c>
      <c r="AZ22" t="n">
        <v>0</v>
      </c>
      <c r="BA22" t="inlineStr"/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ROUND(Y22*Source!I67,7)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ROW(Source!A69)</f>
        <v/>
      </c>
      <c r="B23" t="n">
        <v>78869116</v>
      </c>
      <c r="C23" t="n">
        <v>78869366</v>
      </c>
      <c r="D23" t="n">
        <v>18409850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1-1035-90</t>
        </is>
      </c>
      <c r="J23" t="inlineStr"/>
      <c r="K23" t="inlineStr">
        <is>
          <t>Рабочий строитель среднего разряда 3,5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855544366</v>
      </c>
      <c r="Y23">
        <f>AT23</f>
        <v/>
      </c>
      <c r="AA23" t="n">
        <v>0</v>
      </c>
      <c r="AB23" t="n">
        <v>0</v>
      </c>
      <c r="AC23" t="n">
        <v>0</v>
      </c>
      <c r="AD23" t="n">
        <v>9.07</v>
      </c>
      <c r="AE23" t="n">
        <v>0</v>
      </c>
      <c r="AF23" t="n">
        <v>0</v>
      </c>
      <c r="AG23" t="n">
        <v>0</v>
      </c>
      <c r="AH23" t="n">
        <v>9.07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81</v>
      </c>
      <c r="AU23" t="inlineStr"/>
      <c r="AV23" t="n">
        <v>1</v>
      </c>
      <c r="AW23" t="n">
        <v>2</v>
      </c>
      <c r="AX23" t="n">
        <v>78869367</v>
      </c>
      <c r="AY23" t="n">
        <v>1</v>
      </c>
      <c r="AZ23" t="n">
        <v>0</v>
      </c>
      <c r="BA23" t="n">
        <v>21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ROUND(AT23*Source!I69*AH23*AL23,0)</f>
        <v/>
      </c>
      <c r="CV23">
        <f>ROUND(Y23*Source!I69,7)</f>
        <v/>
      </c>
      <c r="CW23" t="n">
        <v>0</v>
      </c>
      <c r="CX23">
        <f>ROUND(Y23*Source!I69,7)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ROW(Source!A69)</f>
        <v/>
      </c>
      <c r="B24" t="n">
        <v>78869116</v>
      </c>
      <c r="C24" t="n">
        <v>78869366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0.05</v>
      </c>
      <c r="AU24" t="inlineStr"/>
      <c r="AV24" t="n">
        <v>0</v>
      </c>
      <c r="AW24" t="n">
        <v>2</v>
      </c>
      <c r="AX24" t="n">
        <v>78869368</v>
      </c>
      <c r="AY24" t="n">
        <v>1</v>
      </c>
      <c r="AZ24" t="n">
        <v>0</v>
      </c>
      <c r="BA24" t="n">
        <v>22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ROUND(Y24*Source!I69*DO24,7)</f>
        <v/>
      </c>
      <c r="CX24">
        <f>ROUND(Y24*Source!I69,7)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ROW(Source!A69)</f>
        <v/>
      </c>
      <c r="B25" t="n">
        <v>78869116</v>
      </c>
      <c r="C25" t="n">
        <v>78869366</v>
      </c>
      <c r="D25" t="n">
        <v>29110398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101-0388</t>
        </is>
      </c>
      <c r="J25" t="inlineStr">
        <is>
          <t>ТССЦ Московской обл., 101-0388, приказ Минстроя России №675/пр от 28.02.2017 № 254/пр</t>
        </is>
      </c>
      <c r="K25" t="inlineStr">
        <is>
          <t>Краски масляные земляные марки МА-0115 мумия, сурик железный</t>
        </is>
      </c>
      <c r="L25" t="n">
        <v>1348</v>
      </c>
      <c r="N25" t="n">
        <v>1009</v>
      </c>
      <c r="O25" t="inlineStr">
        <is>
          <t>т</t>
        </is>
      </c>
      <c r="P25" t="inlineStr">
        <is>
          <t>т</t>
        </is>
      </c>
      <c r="Q25" t="n">
        <v>1000</v>
      </c>
      <c r="W25" t="n">
        <v>0</v>
      </c>
      <c r="X25" t="n">
        <v>1625292450</v>
      </c>
      <c r="Y25">
        <f>AT25</f>
        <v/>
      </c>
      <c r="AA25" t="n">
        <v>76804.47</v>
      </c>
      <c r="AB25" t="n">
        <v>0</v>
      </c>
      <c r="AC25" t="n">
        <v>0</v>
      </c>
      <c r="AD25" t="n">
        <v>0</v>
      </c>
      <c r="AE25" t="n">
        <v>15118.99</v>
      </c>
      <c r="AF25" t="n">
        <v>0</v>
      </c>
      <c r="AG25" t="n">
        <v>0</v>
      </c>
      <c r="AH25" t="n">
        <v>0</v>
      </c>
      <c r="AI25" t="n">
        <v>5.08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0.0014</v>
      </c>
      <c r="AU25" t="inlineStr"/>
      <c r="AV25" t="n">
        <v>0</v>
      </c>
      <c r="AW25" t="n">
        <v>2</v>
      </c>
      <c r="AX25" t="n">
        <v>78869369</v>
      </c>
      <c r="AY25" t="n">
        <v>1</v>
      </c>
      <c r="AZ25" t="n">
        <v>0</v>
      </c>
      <c r="BA25" t="n">
        <v>23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ROUND(Y25*Source!I69,7)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ROW(Source!A69)</f>
        <v/>
      </c>
      <c r="B26" t="n">
        <v>78869116</v>
      </c>
      <c r="C26" t="n">
        <v>78869366</v>
      </c>
      <c r="D26" t="n">
        <v>29110573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101-0628</t>
        </is>
      </c>
      <c r="J26" t="inlineStr">
        <is>
          <t>ТССЦ Московской обл., 101-0628, приказ Минстроя России №675/пр от 28.02.2017 № 254/пр</t>
        </is>
      </c>
      <c r="K26" t="inlineStr">
        <is>
          <t>Олифа комбинированная, марки К-3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24062879</v>
      </c>
      <c r="Y26">
        <f>AT26</f>
        <v/>
      </c>
      <c r="AA26" t="n">
        <v>87631.5</v>
      </c>
      <c r="AB26" t="n">
        <v>0</v>
      </c>
      <c r="AC26" t="n">
        <v>0</v>
      </c>
      <c r="AD26" t="n">
        <v>0</v>
      </c>
      <c r="AE26" t="n">
        <v>16950</v>
      </c>
      <c r="AF26" t="n">
        <v>0</v>
      </c>
      <c r="AG26" t="n">
        <v>0</v>
      </c>
      <c r="AH26" t="n">
        <v>0</v>
      </c>
      <c r="AI26" t="n">
        <v>5.17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0.0007</v>
      </c>
      <c r="AU26" t="inlineStr"/>
      <c r="AV26" t="n">
        <v>0</v>
      </c>
      <c r="AW26" t="n">
        <v>2</v>
      </c>
      <c r="AX26" t="n">
        <v>78869370</v>
      </c>
      <c r="AY26" t="n">
        <v>1</v>
      </c>
      <c r="AZ26" t="n">
        <v>0</v>
      </c>
      <c r="BA26" t="n">
        <v>24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ROUND(Y26*Source!I69,7)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ROW(Source!A69)</f>
        <v/>
      </c>
      <c r="B27" t="n">
        <v>78869116</v>
      </c>
      <c r="C27" t="n">
        <v>78869366</v>
      </c>
      <c r="D27" t="n">
        <v>29107963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101-1669</t>
        </is>
      </c>
      <c r="J27" t="inlineStr">
        <is>
          <t>ТССЦ Московской обл., 101-1669, приказ Минстроя России №675/пр от 28.02.2017 № 254/пр</t>
        </is>
      </c>
      <c r="K27" t="inlineStr">
        <is>
          <t>Очес льняной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W27" t="n">
        <v>0</v>
      </c>
      <c r="X27" t="n">
        <v>-2113933962</v>
      </c>
      <c r="Y27">
        <f>AT27</f>
        <v/>
      </c>
      <c r="AA27" t="n">
        <v>590.67</v>
      </c>
      <c r="AB27" t="n">
        <v>0</v>
      </c>
      <c r="AC27" t="n">
        <v>0</v>
      </c>
      <c r="AD27" t="n">
        <v>0</v>
      </c>
      <c r="AE27" t="n">
        <v>37.29</v>
      </c>
      <c r="AF27" t="n">
        <v>0</v>
      </c>
      <c r="AG27" t="n">
        <v>0</v>
      </c>
      <c r="AH27" t="n">
        <v>0</v>
      </c>
      <c r="AI27" t="n">
        <v>15.84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0.7</v>
      </c>
      <c r="AU27" t="inlineStr"/>
      <c r="AV27" t="n">
        <v>0</v>
      </c>
      <c r="AW27" t="n">
        <v>2</v>
      </c>
      <c r="AX27" t="n">
        <v>78869371</v>
      </c>
      <c r="AY27" t="n">
        <v>1</v>
      </c>
      <c r="AZ27" t="n">
        <v>0</v>
      </c>
      <c r="BA27" t="n">
        <v>25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ROUND(Y27*Source!I69,7)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ROW(Source!A69)</f>
        <v/>
      </c>
      <c r="B28" t="n">
        <v>78869116</v>
      </c>
      <c r="C28" t="n">
        <v>78869366</v>
      </c>
      <c r="D28" t="n">
        <v>29143378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302-0062</t>
        </is>
      </c>
      <c r="J28" t="inlineStr">
        <is>
          <t>ТССЦ Московской обл., 302-0062, приказ Минстроя России №675/пр от 28.02.2017 № 256/пр</t>
        </is>
      </c>
      <c r="K28" t="inlineStr">
        <is>
          <t>Кран шаровый муфтовый Valtec для воды диаметром 15 мм, тип в/в</t>
        </is>
      </c>
      <c r="L28" t="n">
        <v>1354</v>
      </c>
      <c r="N28" t="n">
        <v>1010</v>
      </c>
      <c r="O28" t="inlineStr">
        <is>
          <t>шт.</t>
        </is>
      </c>
      <c r="P28" t="inlineStr">
        <is>
          <t>шт.</t>
        </is>
      </c>
      <c r="Q28" t="n">
        <v>1</v>
      </c>
      <c r="W28" t="n">
        <v>0</v>
      </c>
      <c r="X28" t="n">
        <v>-1687406522</v>
      </c>
      <c r="Y28">
        <f>AT28</f>
        <v/>
      </c>
      <c r="AA28" t="n">
        <v>384.3</v>
      </c>
      <c r="AB28" t="n">
        <v>0</v>
      </c>
      <c r="AC28" t="n">
        <v>0</v>
      </c>
      <c r="AD28" t="n">
        <v>0</v>
      </c>
      <c r="AE28" t="n">
        <v>28.53</v>
      </c>
      <c r="AF28" t="n">
        <v>0</v>
      </c>
      <c r="AG28" t="n">
        <v>0</v>
      </c>
      <c r="AH28" t="n">
        <v>0</v>
      </c>
      <c r="AI28" t="n">
        <v>13.47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ROUND(Y28*Source!I69,7)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ROUND(ROUND(AE28*AI28,0)*CX28,0)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ROW(Source!A69)</f>
        <v/>
      </c>
      <c r="B29" t="n">
        <v>78869116</v>
      </c>
      <c r="C29" t="n">
        <v>78869366</v>
      </c>
      <c r="D29" t="n">
        <v>29142465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302-1342</t>
        </is>
      </c>
      <c r="J29" t="inlineStr">
        <is>
          <t>ТССЦ Московской обл., 302-1342, приказ Минстроя России №675/пр от 28.02.2017 № 256/пр</t>
        </is>
      </c>
      <c r="K29" t="inlineStr">
        <is>
          <t>Вентили проходные муфтовые 15кч18п для воды давлением 1,6 МПа (16 кгс/см2), диаметром 20 мм</t>
        </is>
      </c>
      <c r="L29" t="n">
        <v>1354</v>
      </c>
      <c r="N29" t="n">
        <v>1010</v>
      </c>
      <c r="O29" t="inlineStr">
        <is>
          <t>шт.</t>
        </is>
      </c>
      <c r="P29" t="inlineStr">
        <is>
          <t>шт.</t>
        </is>
      </c>
      <c r="Q29" t="n">
        <v>1</v>
      </c>
      <c r="W29" t="n">
        <v>0</v>
      </c>
      <c r="X29" t="n">
        <v>-852705161</v>
      </c>
      <c r="Y29">
        <f>AT29</f>
        <v/>
      </c>
      <c r="AA29" t="n">
        <v>221.81</v>
      </c>
      <c r="AB29" t="n">
        <v>0</v>
      </c>
      <c r="AC29" t="n">
        <v>0</v>
      </c>
      <c r="AD29" t="n">
        <v>0</v>
      </c>
      <c r="AE29" t="n">
        <v>21.81</v>
      </c>
      <c r="AF29" t="n">
        <v>0</v>
      </c>
      <c r="AG29" t="n">
        <v>0</v>
      </c>
      <c r="AH29" t="n">
        <v>0</v>
      </c>
      <c r="AI29" t="n">
        <v>10.17</v>
      </c>
      <c r="AJ29" t="n">
        <v>1</v>
      </c>
      <c r="AK29" t="n">
        <v>1</v>
      </c>
      <c r="AL29" t="n">
        <v>1</v>
      </c>
      <c r="AM29" t="n">
        <v>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100</v>
      </c>
      <c r="AU29" t="inlineStr"/>
      <c r="AV29" t="n">
        <v>0</v>
      </c>
      <c r="AW29" t="n">
        <v>2</v>
      </c>
      <c r="AX29" t="n">
        <v>78869372</v>
      </c>
      <c r="AY29" t="n">
        <v>1</v>
      </c>
      <c r="AZ29" t="n">
        <v>0</v>
      </c>
      <c r="BA29" t="n">
        <v>26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V29" t="n">
        <v>0</v>
      </c>
      <c r="CW29" t="n">
        <v>0</v>
      </c>
      <c r="CX29">
        <f>ROUND(Y29*Source!I69,7)</f>
        <v/>
      </c>
      <c r="CY29">
        <f>AA29</f>
        <v/>
      </c>
      <c r="CZ29">
        <f>AE29</f>
        <v/>
      </c>
      <c r="DA29">
        <f>AI29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ROUND(ROUND(AE29*AI29,0)*CX29,0)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DF29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ROW(Source!A69)</f>
        <v/>
      </c>
      <c r="B30" t="n">
        <v>78869116</v>
      </c>
      <c r="C30" t="n">
        <v>78869366</v>
      </c>
      <c r="D30" t="n">
        <v>29164350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509-9899</t>
        </is>
      </c>
      <c r="J30" t="inlineStr">
        <is>
          <t>ТССЦ Московской обл., 509-9899, приказ Минстроя России №675/пр от 28.02.2017 № 258/пр</t>
        </is>
      </c>
      <c r="K30" t="inlineStr">
        <is>
          <t>Строительный мусор и масса возвратных материалов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W30" t="n">
        <v>0</v>
      </c>
      <c r="X30" t="n">
        <v>1839160745</v>
      </c>
      <c r="Y30">
        <f>AT30</f>
        <v/>
      </c>
      <c r="AA30" t="n">
        <v>0</v>
      </c>
      <c r="AB30" t="n">
        <v>0</v>
      </c>
      <c r="AC30" t="n">
        <v>0</v>
      </c>
      <c r="AD30" t="n">
        <v>0</v>
      </c>
      <c r="AE30" t="n">
        <v>0</v>
      </c>
      <c r="AF30" t="n">
        <v>0</v>
      </c>
      <c r="AG30" t="n">
        <v>0</v>
      </c>
      <c r="AH30" t="n">
        <v>0</v>
      </c>
      <c r="AI30" t="n">
        <v>1</v>
      </c>
      <c r="AJ30" t="n">
        <v>1</v>
      </c>
      <c r="AK30" t="n">
        <v>1</v>
      </c>
      <c r="AL30" t="n">
        <v>1</v>
      </c>
      <c r="AM30" t="n">
        <v>0</v>
      </c>
      <c r="AN30" t="n">
        <v>0</v>
      </c>
      <c r="AO30" t="n">
        <v>0</v>
      </c>
      <c r="AP30" t="n">
        <v>1</v>
      </c>
      <c r="AQ30" t="n">
        <v>0</v>
      </c>
      <c r="AR30" t="n">
        <v>0</v>
      </c>
      <c r="AS30" t="inlineStr"/>
      <c r="AT30" t="n">
        <v>0.04</v>
      </c>
      <c r="AU30" t="inlineStr"/>
      <c r="AV30" t="n">
        <v>0</v>
      </c>
      <c r="AW30" t="n">
        <v>2</v>
      </c>
      <c r="AX30" t="n">
        <v>78869373</v>
      </c>
      <c r="AY30" t="n">
        <v>1</v>
      </c>
      <c r="AZ30" t="n">
        <v>0</v>
      </c>
      <c r="BA30" t="n">
        <v>27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 t="n">
        <v>0</v>
      </c>
      <c r="CX30">
        <f>ROUND(Y30*Source!I69,7)</f>
        <v/>
      </c>
      <c r="CY30">
        <f>AA30</f>
        <v/>
      </c>
      <c r="CZ30">
        <f>AE30</f>
        <v/>
      </c>
      <c r="DA30">
        <f>AI30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ROUND(ROUND(AF30,0)*CX30,0)</f>
        <v/>
      </c>
      <c r="DH30">
        <f>ROUND(ROUND(AG30,0)*CX30,0)</f>
        <v/>
      </c>
      <c r="DI30">
        <f>ROUND(ROUND(AH30,0)*CX30,0)</f>
        <v/>
      </c>
      <c r="DJ30">
        <f>DF30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ROW(Source!A72)</f>
        <v/>
      </c>
      <c r="B31" t="n">
        <v>78869116</v>
      </c>
      <c r="C31" t="n">
        <v>78869377</v>
      </c>
      <c r="D31" t="n">
        <v>18442827</v>
      </c>
      <c r="E31" t="n">
        <v>1</v>
      </c>
      <c r="F31" t="n">
        <v>1</v>
      </c>
      <c r="G31" t="n">
        <v>1</v>
      </c>
      <c r="H31" t="n">
        <v>1</v>
      </c>
      <c r="I31" t="inlineStr">
        <is>
          <t>1-1053-90</t>
        </is>
      </c>
      <c r="J31" t="inlineStr"/>
      <c r="K31" t="inlineStr">
        <is>
          <t>Рабочий строитель среднего разряда 5,3</t>
        </is>
      </c>
      <c r="L31" t="n">
        <v>1369</v>
      </c>
      <c r="N31" t="n">
        <v>1013</v>
      </c>
      <c r="O31" t="inlineStr">
        <is>
          <t>чел.-ч</t>
        </is>
      </c>
      <c r="P31" t="inlineStr">
        <is>
          <t>чел.-ч</t>
        </is>
      </c>
      <c r="Q31" t="n">
        <v>1</v>
      </c>
      <c r="W31" t="n">
        <v>0</v>
      </c>
      <c r="X31" t="n">
        <v>717490484</v>
      </c>
      <c r="Y31">
        <f>AT31</f>
        <v/>
      </c>
      <c r="AA31" t="n">
        <v>0</v>
      </c>
      <c r="AB31" t="n">
        <v>0</v>
      </c>
      <c r="AC31" t="n">
        <v>0</v>
      </c>
      <c r="AD31" t="n">
        <v>11.64</v>
      </c>
      <c r="AE31" t="n">
        <v>0</v>
      </c>
      <c r="AF31" t="n">
        <v>0</v>
      </c>
      <c r="AG31" t="n">
        <v>0</v>
      </c>
      <c r="AH31" t="n">
        <v>11.64</v>
      </c>
      <c r="AI31" t="n">
        <v>1</v>
      </c>
      <c r="AJ31" t="n">
        <v>1</v>
      </c>
      <c r="AK31" t="n">
        <v>1</v>
      </c>
      <c r="AL31" t="n">
        <v>1</v>
      </c>
      <c r="AM31" t="n">
        <v>-2</v>
      </c>
      <c r="AN31" t="n">
        <v>0</v>
      </c>
      <c r="AO31" t="n">
        <v>1</v>
      </c>
      <c r="AP31" t="n">
        <v>0</v>
      </c>
      <c r="AQ31" t="n">
        <v>0</v>
      </c>
      <c r="AR31" t="n">
        <v>0</v>
      </c>
      <c r="AS31" t="inlineStr"/>
      <c r="AT31" t="n">
        <v>5.01</v>
      </c>
      <c r="AU31" t="inlineStr"/>
      <c r="AV31" t="n">
        <v>1</v>
      </c>
      <c r="AW31" t="n">
        <v>2</v>
      </c>
      <c r="AX31" t="n">
        <v>78869384</v>
      </c>
      <c r="AY31" t="n">
        <v>1</v>
      </c>
      <c r="AZ31" t="n">
        <v>0</v>
      </c>
      <c r="BA31" t="n">
        <v>28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U31">
        <f>ROUND(AT31*Source!I72*AH31*AL31,0)</f>
        <v/>
      </c>
      <c r="CV31">
        <f>ROUND(Y31*Source!I72,7)</f>
        <v/>
      </c>
      <c r="CW31" t="n">
        <v>0</v>
      </c>
      <c r="CX31">
        <f>ROUND(Y31*Source!I72,7)</f>
        <v/>
      </c>
      <c r="CY31">
        <f>AD31</f>
        <v/>
      </c>
      <c r="CZ31">
        <f>AH31</f>
        <v/>
      </c>
      <c r="DA31">
        <f>AL31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DI31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ROW(Source!A72)</f>
        <v/>
      </c>
      <c r="B32" t="n">
        <v>78869116</v>
      </c>
      <c r="C32" t="n">
        <v>78869377</v>
      </c>
      <c r="D32" t="n">
        <v>29172703</v>
      </c>
      <c r="E32" t="n">
        <v>1</v>
      </c>
      <c r="F32" t="n">
        <v>1</v>
      </c>
      <c r="G32" t="n">
        <v>1</v>
      </c>
      <c r="H32" t="n">
        <v>2</v>
      </c>
      <c r="I32" t="inlineStr">
        <is>
          <t>042900</t>
        </is>
      </c>
      <c r="J32" t="inlineStr">
        <is>
          <t>ТСЭМ Московской обл., 042900, приказ Минстроя России №675/пр от 28.02.2017 № 264/пр</t>
        </is>
      </c>
      <c r="K3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2" t="n">
        <v>1368</v>
      </c>
      <c r="N32" t="n">
        <v>1011</v>
      </c>
      <c r="O32" t="inlineStr">
        <is>
          <t>маш.-ч</t>
        </is>
      </c>
      <c r="P32" t="inlineStr">
        <is>
          <t>маш.-ч</t>
        </is>
      </c>
      <c r="Q32" t="n">
        <v>1</v>
      </c>
      <c r="W32" t="n">
        <v>0</v>
      </c>
      <c r="X32" t="n">
        <v>1695838894</v>
      </c>
      <c r="Y32">
        <f>AT32</f>
        <v/>
      </c>
      <c r="AA32" t="n">
        <v>0</v>
      </c>
      <c r="AB32" t="n">
        <v>177.13</v>
      </c>
      <c r="AC32" t="n">
        <v>0</v>
      </c>
      <c r="AD32" t="n">
        <v>0</v>
      </c>
      <c r="AE32" t="n">
        <v>0</v>
      </c>
      <c r="AF32" t="n">
        <v>29.67</v>
      </c>
      <c r="AG32" t="n">
        <v>0</v>
      </c>
      <c r="AH32" t="n">
        <v>0</v>
      </c>
      <c r="AI32" t="n">
        <v>1</v>
      </c>
      <c r="AJ32" t="n">
        <v>5.97</v>
      </c>
      <c r="AK32" t="n">
        <v>52.25</v>
      </c>
      <c r="AL32" t="n">
        <v>1</v>
      </c>
      <c r="AM32" t="n">
        <v>2</v>
      </c>
      <c r="AN32" t="n">
        <v>0</v>
      </c>
      <c r="AO32" t="n">
        <v>1</v>
      </c>
      <c r="AP32" t="n">
        <v>0</v>
      </c>
      <c r="AQ32" t="n">
        <v>0</v>
      </c>
      <c r="AR32" t="n">
        <v>0</v>
      </c>
      <c r="AS32" t="inlineStr"/>
      <c r="AT32" t="n">
        <v>1.5</v>
      </c>
      <c r="AU32" t="inlineStr"/>
      <c r="AV32" t="n">
        <v>0</v>
      </c>
      <c r="AW32" t="n">
        <v>2</v>
      </c>
      <c r="AX32" t="n">
        <v>78869385</v>
      </c>
      <c r="AY32" t="n">
        <v>1</v>
      </c>
      <c r="AZ32" t="n">
        <v>0</v>
      </c>
      <c r="BA32" t="n">
        <v>29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>
        <f>ROUND(Y32*Source!I72*DO32,7)</f>
        <v/>
      </c>
      <c r="CX32">
        <f>ROUND(Y32*Source!I72,7)</f>
        <v/>
      </c>
      <c r="CY32">
        <f>AB32</f>
        <v/>
      </c>
      <c r="CZ32">
        <f>AF32</f>
        <v/>
      </c>
      <c r="DA32">
        <f>AJ32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ROUND(ROUND(AE32,0)*CX32,0)</f>
        <v/>
      </c>
      <c r="DG32">
        <f>ROUND(ROUND(AF32*AJ32,0)*CX32,0)</f>
        <v/>
      </c>
      <c r="DH32">
        <f>ROUND(ROUND(AG32*AK32,0)*CX32,0)</f>
        <v/>
      </c>
      <c r="DI32">
        <f>ROUND(ROUND(AH32,0)*CX32,0)</f>
        <v/>
      </c>
      <c r="DJ32">
        <f>DG32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ROW(Source!A72)</f>
        <v/>
      </c>
      <c r="B33" t="n">
        <v>78869116</v>
      </c>
      <c r="C33" t="n">
        <v>78869377</v>
      </c>
      <c r="D33" t="n">
        <v>29110398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101-0388</t>
        </is>
      </c>
      <c r="J33" t="inlineStr">
        <is>
          <t>ТССЦ Московской обл., 101-0388, приказ Минстроя России №675/пр от 28.02.2017 № 254/пр</t>
        </is>
      </c>
      <c r="K33" t="inlineStr">
        <is>
          <t>Краски масляные земляные марки МА-0115 мумия, сурик железный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W33" t="n">
        <v>0</v>
      </c>
      <c r="X33" t="n">
        <v>1625292450</v>
      </c>
      <c r="Y33">
        <f>AT33</f>
        <v/>
      </c>
      <c r="AA33" t="n">
        <v>76804.47</v>
      </c>
      <c r="AB33" t="n">
        <v>0</v>
      </c>
      <c r="AC33" t="n">
        <v>0</v>
      </c>
      <c r="AD33" t="n">
        <v>0</v>
      </c>
      <c r="AE33" t="n">
        <v>15118.99</v>
      </c>
      <c r="AF33" t="n">
        <v>0</v>
      </c>
      <c r="AG33" t="n">
        <v>0</v>
      </c>
      <c r="AH33" t="n">
        <v>0</v>
      </c>
      <c r="AI33" t="n">
        <v>5.08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0</v>
      </c>
      <c r="AQ33" t="n">
        <v>0</v>
      </c>
      <c r="AR33" t="n">
        <v>0</v>
      </c>
      <c r="AS33" t="inlineStr"/>
      <c r="AT33" t="n">
        <v>5e-05</v>
      </c>
      <c r="AU33" t="inlineStr"/>
      <c r="AV33" t="n">
        <v>0</v>
      </c>
      <c r="AW33" t="n">
        <v>2</v>
      </c>
      <c r="AX33" t="n">
        <v>78869386</v>
      </c>
      <c r="AY33" t="n">
        <v>1</v>
      </c>
      <c r="AZ33" t="n">
        <v>0</v>
      </c>
      <c r="BA33" t="n">
        <v>30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ROUND(Y33*Source!I72,7)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ROW(Source!A72)</f>
        <v/>
      </c>
      <c r="B34" t="n">
        <v>78869116</v>
      </c>
      <c r="C34" t="n">
        <v>78869377</v>
      </c>
      <c r="D34" t="n">
        <v>29110573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101-0628</t>
        </is>
      </c>
      <c r="J34" t="inlineStr">
        <is>
          <t>ТССЦ Московской обл., 101-0628, приказ Минстроя России №675/пр от 28.02.2017 № 254/пр</t>
        </is>
      </c>
      <c r="K34" t="inlineStr">
        <is>
          <t>Олифа комбинированная, марки К-3</t>
        </is>
      </c>
      <c r="L34" t="n">
        <v>1348</v>
      </c>
      <c r="N34" t="n">
        <v>1009</v>
      </c>
      <c r="O34" t="inlineStr">
        <is>
          <t>т</t>
        </is>
      </c>
      <c r="P34" t="inlineStr">
        <is>
          <t>т</t>
        </is>
      </c>
      <c r="Q34" t="n">
        <v>1000</v>
      </c>
      <c r="W34" t="n">
        <v>0</v>
      </c>
      <c r="X34" t="n">
        <v>24062879</v>
      </c>
      <c r="Y34">
        <f>AT34</f>
        <v/>
      </c>
      <c r="AA34" t="n">
        <v>87631.5</v>
      </c>
      <c r="AB34" t="n">
        <v>0</v>
      </c>
      <c r="AC34" t="n">
        <v>0</v>
      </c>
      <c r="AD34" t="n">
        <v>0</v>
      </c>
      <c r="AE34" t="n">
        <v>16950</v>
      </c>
      <c r="AF34" t="n">
        <v>0</v>
      </c>
      <c r="AG34" t="n">
        <v>0</v>
      </c>
      <c r="AH34" t="n">
        <v>0</v>
      </c>
      <c r="AI34" t="n">
        <v>5.17</v>
      </c>
      <c r="AJ34" t="n">
        <v>1</v>
      </c>
      <c r="AK34" t="n">
        <v>1</v>
      </c>
      <c r="AL34" t="n">
        <v>1</v>
      </c>
      <c r="AM34" t="n">
        <v>2</v>
      </c>
      <c r="AN34" t="n">
        <v>0</v>
      </c>
      <c r="AO34" t="n">
        <v>1</v>
      </c>
      <c r="AP34" t="n">
        <v>0</v>
      </c>
      <c r="AQ34" t="n">
        <v>0</v>
      </c>
      <c r="AR34" t="n">
        <v>0</v>
      </c>
      <c r="AS34" t="inlineStr"/>
      <c r="AT34" t="n">
        <v>2e-05</v>
      </c>
      <c r="AU34" t="inlineStr"/>
      <c r="AV34" t="n">
        <v>0</v>
      </c>
      <c r="AW34" t="n">
        <v>2</v>
      </c>
      <c r="AX34" t="n">
        <v>78869387</v>
      </c>
      <c r="AY34" t="n">
        <v>1</v>
      </c>
      <c r="AZ34" t="n">
        <v>0</v>
      </c>
      <c r="BA34" t="n">
        <v>31</v>
      </c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ROUND(Y34*Source!I72,7)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ROUND(ROUND(AE34*AI34,0)*CX34,0)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ROW(Source!A72)</f>
        <v/>
      </c>
      <c r="B35" t="n">
        <v>78869116</v>
      </c>
      <c r="C35" t="n">
        <v>78869377</v>
      </c>
      <c r="D35" t="n">
        <v>29107963</v>
      </c>
      <c r="E35" t="n">
        <v>1</v>
      </c>
      <c r="F35" t="n">
        <v>1</v>
      </c>
      <c r="G35" t="n">
        <v>1</v>
      </c>
      <c r="H35" t="n">
        <v>3</v>
      </c>
      <c r="I35" t="inlineStr">
        <is>
          <t>101-1669</t>
        </is>
      </c>
      <c r="J35" t="inlineStr">
        <is>
          <t>ТССЦ Московской обл., 101-1669, приказ Минстроя России №675/пр от 28.02.2017 № 254/пр</t>
        </is>
      </c>
      <c r="K35" t="inlineStr">
        <is>
          <t>Очес льняной</t>
        </is>
      </c>
      <c r="L35" t="n">
        <v>1346</v>
      </c>
      <c r="N35" t="n">
        <v>1009</v>
      </c>
      <c r="O35" t="inlineStr">
        <is>
          <t>кг</t>
        </is>
      </c>
      <c r="P35" t="inlineStr">
        <is>
          <t>кг</t>
        </is>
      </c>
      <c r="Q35" t="n">
        <v>1</v>
      </c>
      <c r="W35" t="n">
        <v>0</v>
      </c>
      <c r="X35" t="n">
        <v>-2113933962</v>
      </c>
      <c r="Y35">
        <f>AT35</f>
        <v/>
      </c>
      <c r="AA35" t="n">
        <v>590.67</v>
      </c>
      <c r="AB35" t="n">
        <v>0</v>
      </c>
      <c r="AC35" t="n">
        <v>0</v>
      </c>
      <c r="AD35" t="n">
        <v>0</v>
      </c>
      <c r="AE35" t="n">
        <v>37.29</v>
      </c>
      <c r="AF35" t="n">
        <v>0</v>
      </c>
      <c r="AG35" t="n">
        <v>0</v>
      </c>
      <c r="AH35" t="n">
        <v>0</v>
      </c>
      <c r="AI35" t="n">
        <v>15.84</v>
      </c>
      <c r="AJ35" t="n">
        <v>1</v>
      </c>
      <c r="AK35" t="n">
        <v>1</v>
      </c>
      <c r="AL35" t="n">
        <v>1</v>
      </c>
      <c r="AM35" t="n">
        <v>2</v>
      </c>
      <c r="AN35" t="n">
        <v>0</v>
      </c>
      <c r="AO35" t="n">
        <v>1</v>
      </c>
      <c r="AP35" t="n">
        <v>0</v>
      </c>
      <c r="AQ35" t="n">
        <v>0</v>
      </c>
      <c r="AR35" t="n">
        <v>0</v>
      </c>
      <c r="AS35" t="inlineStr"/>
      <c r="AT35" t="n">
        <v>0.02</v>
      </c>
      <c r="AU35" t="inlineStr"/>
      <c r="AV35" t="n">
        <v>0</v>
      </c>
      <c r="AW35" t="n">
        <v>2</v>
      </c>
      <c r="AX35" t="n">
        <v>78869388</v>
      </c>
      <c r="AY35" t="n">
        <v>1</v>
      </c>
      <c r="AZ35" t="n">
        <v>0</v>
      </c>
      <c r="BA35" t="n">
        <v>32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V35" t="n">
        <v>0</v>
      </c>
      <c r="CW35" t="n">
        <v>0</v>
      </c>
      <c r="CX35">
        <f>ROUND(Y35*Source!I72,7)</f>
        <v/>
      </c>
      <c r="CY35">
        <f>AA35</f>
        <v/>
      </c>
      <c r="CZ35">
        <f>AE35</f>
        <v/>
      </c>
      <c r="DA35">
        <f>AI35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ROUND(ROUND(AE35*AI35,0)*CX35,0)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DF35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ROW(Source!A72)</f>
        <v/>
      </c>
      <c r="B36" t="n">
        <v>78869116</v>
      </c>
      <c r="C36" t="n">
        <v>78869377</v>
      </c>
      <c r="D36" t="n">
        <v>29150040</v>
      </c>
      <c r="E36" t="n">
        <v>1</v>
      </c>
      <c r="F36" t="n">
        <v>1</v>
      </c>
      <c r="G36" t="n">
        <v>1</v>
      </c>
      <c r="H36" t="n">
        <v>3</v>
      </c>
      <c r="I36" t="inlineStr">
        <is>
          <t>411-0001</t>
        </is>
      </c>
      <c r="J36" t="inlineStr">
        <is>
          <t>ТССЦ Московской обл., 411-0001, приказ Минстроя России №675/пр от 28.02.2017 № 257/пр</t>
        </is>
      </c>
      <c r="K36" t="inlineStr">
        <is>
          <t>Вода</t>
        </is>
      </c>
      <c r="L36" t="n">
        <v>1339</v>
      </c>
      <c r="N36" t="n">
        <v>1007</v>
      </c>
      <c r="O36" t="inlineStr">
        <is>
          <t>м3</t>
        </is>
      </c>
      <c r="P36" t="inlineStr">
        <is>
          <t>м3</t>
        </is>
      </c>
      <c r="Q36" t="n">
        <v>1</v>
      </c>
      <c r="W36" t="n">
        <v>0</v>
      </c>
      <c r="X36" t="n">
        <v>619799737</v>
      </c>
      <c r="Y36">
        <f>AT36</f>
        <v/>
      </c>
      <c r="AA36" t="n">
        <v>31.28</v>
      </c>
      <c r="AB36" t="n">
        <v>0</v>
      </c>
      <c r="AC36" t="n">
        <v>0</v>
      </c>
      <c r="AD36" t="n">
        <v>0</v>
      </c>
      <c r="AE36" t="n">
        <v>2.44</v>
      </c>
      <c r="AF36" t="n">
        <v>0</v>
      </c>
      <c r="AG36" t="n">
        <v>0</v>
      </c>
      <c r="AH36" t="n">
        <v>0</v>
      </c>
      <c r="AI36" t="n">
        <v>12.82</v>
      </c>
      <c r="AJ36" t="n">
        <v>1</v>
      </c>
      <c r="AK36" t="n">
        <v>1</v>
      </c>
      <c r="AL36" t="n">
        <v>1</v>
      </c>
      <c r="AM36" t="n">
        <v>2</v>
      </c>
      <c r="AN36" t="n">
        <v>0</v>
      </c>
      <c r="AO36" t="n">
        <v>1</v>
      </c>
      <c r="AP36" t="n">
        <v>0</v>
      </c>
      <c r="AQ36" t="n">
        <v>0</v>
      </c>
      <c r="AR36" t="n">
        <v>0</v>
      </c>
      <c r="AS36" t="inlineStr"/>
      <c r="AT36" t="n">
        <v>1</v>
      </c>
      <c r="AU36" t="inlineStr"/>
      <c r="AV36" t="n">
        <v>0</v>
      </c>
      <c r="AW36" t="n">
        <v>2</v>
      </c>
      <c r="AX36" t="n">
        <v>78869389</v>
      </c>
      <c r="AY36" t="n">
        <v>1</v>
      </c>
      <c r="AZ36" t="n">
        <v>0</v>
      </c>
      <c r="BA36" t="n">
        <v>33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 t="n">
        <v>0</v>
      </c>
      <c r="CX36">
        <f>ROUND(Y36*Source!I72,7)</f>
        <v/>
      </c>
      <c r="CY36">
        <f>AA36</f>
        <v/>
      </c>
      <c r="CZ36">
        <f>AE36</f>
        <v/>
      </c>
      <c r="DA36">
        <f>AI36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ROUND(ROUND(AE36*AI36,0)*CX36,0)</f>
        <v/>
      </c>
      <c r="DG36">
        <f>ROUND(ROUND(AF36,0)*CX36,0)</f>
        <v/>
      </c>
      <c r="DH36">
        <f>ROUND(ROUND(AG36,0)*CX36,0)</f>
        <v/>
      </c>
      <c r="DI36">
        <f>ROUND(ROUND(AH36,0)*CX36,0)</f>
        <v/>
      </c>
      <c r="DJ36">
        <f>DF36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ROW(Source!A73)</f>
        <v/>
      </c>
      <c r="B37" t="n">
        <v>78869116</v>
      </c>
      <c r="C37" t="n">
        <v>78869390</v>
      </c>
      <c r="D37" t="n">
        <v>18410171</v>
      </c>
      <c r="E37" t="n">
        <v>1</v>
      </c>
      <c r="F37" t="n">
        <v>1</v>
      </c>
      <c r="G37" t="n">
        <v>1</v>
      </c>
      <c r="H37" t="n">
        <v>1</v>
      </c>
      <c r="I37" t="inlineStr">
        <is>
          <t>1-1034-90</t>
        </is>
      </c>
      <c r="J37" t="inlineStr"/>
      <c r="K37" t="inlineStr">
        <is>
          <t>Рабочий строитель среднего разряда 3,4</t>
        </is>
      </c>
      <c r="L37" t="n">
        <v>1369</v>
      </c>
      <c r="N37" t="n">
        <v>1013</v>
      </c>
      <c r="O37" t="inlineStr">
        <is>
          <t>чел.-ч</t>
        </is>
      </c>
      <c r="P37" t="inlineStr">
        <is>
          <t>чел.-ч</t>
        </is>
      </c>
      <c r="Q37" t="n">
        <v>1</v>
      </c>
      <c r="W37" t="n">
        <v>0</v>
      </c>
      <c r="X37" t="n">
        <v>1151098980</v>
      </c>
      <c r="Y37">
        <f>AT37</f>
        <v/>
      </c>
      <c r="AA37" t="n">
        <v>0</v>
      </c>
      <c r="AB37" t="n">
        <v>0</v>
      </c>
      <c r="AC37" t="n">
        <v>0</v>
      </c>
      <c r="AD37" t="n">
        <v>8.970000000000001</v>
      </c>
      <c r="AE37" t="n">
        <v>0</v>
      </c>
      <c r="AF37" t="n">
        <v>0</v>
      </c>
      <c r="AG37" t="n">
        <v>0</v>
      </c>
      <c r="AH37" t="n">
        <v>8.970000000000001</v>
      </c>
      <c r="AI37" t="n">
        <v>1</v>
      </c>
      <c r="AJ37" t="n">
        <v>1</v>
      </c>
      <c r="AK37" t="n">
        <v>1</v>
      </c>
      <c r="AL37" t="n">
        <v>1</v>
      </c>
      <c r="AM37" t="n">
        <v>-2</v>
      </c>
      <c r="AN37" t="n">
        <v>0</v>
      </c>
      <c r="AO37" t="n">
        <v>1</v>
      </c>
      <c r="AP37" t="n">
        <v>0</v>
      </c>
      <c r="AQ37" t="n">
        <v>0</v>
      </c>
      <c r="AR37" t="n">
        <v>0</v>
      </c>
      <c r="AS37" t="inlineStr"/>
      <c r="AT37" t="n">
        <v>290.27</v>
      </c>
      <c r="AU37" t="inlineStr"/>
      <c r="AV37" t="n">
        <v>1</v>
      </c>
      <c r="AW37" t="n">
        <v>2</v>
      </c>
      <c r="AX37" t="n">
        <v>78869391</v>
      </c>
      <c r="AY37" t="n">
        <v>1</v>
      </c>
      <c r="AZ37" t="n">
        <v>0</v>
      </c>
      <c r="BA37" t="n">
        <v>34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U37">
        <f>ROUND(AT37*Source!I73*AH37*AL37,0)</f>
        <v/>
      </c>
      <c r="CV37">
        <f>ROUND(Y37*Source!I73,7)</f>
        <v/>
      </c>
      <c r="CW37" t="n">
        <v>0</v>
      </c>
      <c r="CX37">
        <f>ROUND(Y37*Source!I73,7)</f>
        <v/>
      </c>
      <c r="CY37">
        <f>AD37</f>
        <v/>
      </c>
      <c r="CZ37">
        <f>AH37</f>
        <v/>
      </c>
      <c r="DA37">
        <f>AL37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DI37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ROW(Source!A73)</f>
        <v/>
      </c>
      <c r="B38" t="n">
        <v>78869116</v>
      </c>
      <c r="C38" t="n">
        <v>78869390</v>
      </c>
      <c r="D38" t="n">
        <v>121548</v>
      </c>
      <c r="E38" t="n">
        <v>1</v>
      </c>
      <c r="F38" t="n">
        <v>1</v>
      </c>
      <c r="G38" t="n">
        <v>1</v>
      </c>
      <c r="H38" t="n">
        <v>1</v>
      </c>
      <c r="I38" t="inlineStr">
        <is>
          <t>2</t>
        </is>
      </c>
      <c r="J38" t="inlineStr"/>
      <c r="K38" t="inlineStr">
        <is>
          <t>Затраты труда машинистов</t>
        </is>
      </c>
      <c r="L38" t="n">
        <v>608254</v>
      </c>
      <c r="N38" t="n">
        <v>1013</v>
      </c>
      <c r="O38" t="inlineStr">
        <is>
          <t>чел.час</t>
        </is>
      </c>
      <c r="P38" t="inlineStr">
        <is>
          <t>чел.час</t>
        </is>
      </c>
      <c r="Q38" t="n">
        <v>1</v>
      </c>
      <c r="W38" t="n">
        <v>0</v>
      </c>
      <c r="X38" t="n">
        <v>-185737400</v>
      </c>
      <c r="Y38">
        <f>AT38</f>
        <v/>
      </c>
      <c r="AA38" t="n">
        <v>0</v>
      </c>
      <c r="AB38" t="n">
        <v>0</v>
      </c>
      <c r="AC38" t="n">
        <v>0</v>
      </c>
      <c r="AD38" t="n">
        <v>0</v>
      </c>
      <c r="AE38" t="n">
        <v>0</v>
      </c>
      <c r="AF38" t="n">
        <v>0</v>
      </c>
      <c r="AG38" t="n">
        <v>0</v>
      </c>
      <c r="AH38" t="n">
        <v>0</v>
      </c>
      <c r="AI38" t="n">
        <v>1</v>
      </c>
      <c r="AJ38" t="n">
        <v>1</v>
      </c>
      <c r="AK38" t="n">
        <v>1</v>
      </c>
      <c r="AL38" t="n">
        <v>1</v>
      </c>
      <c r="AM38" t="n">
        <v>-2</v>
      </c>
      <c r="AN38" t="n">
        <v>0</v>
      </c>
      <c r="AO38" t="n">
        <v>1</v>
      </c>
      <c r="AP38" t="n">
        <v>0</v>
      </c>
      <c r="AQ38" t="n">
        <v>0</v>
      </c>
      <c r="AR38" t="n">
        <v>0</v>
      </c>
      <c r="AS38" t="inlineStr"/>
      <c r="AT38" t="n">
        <v>0.72</v>
      </c>
      <c r="AU38" t="inlineStr"/>
      <c r="AV38" t="n">
        <v>2</v>
      </c>
      <c r="AW38" t="n">
        <v>2</v>
      </c>
      <c r="AX38" t="n">
        <v>78869392</v>
      </c>
      <c r="AY38" t="n">
        <v>1</v>
      </c>
      <c r="AZ38" t="n">
        <v>0</v>
      </c>
      <c r="BA38" t="n">
        <v>35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ROUND(Y38*Source!I73,7)</f>
        <v/>
      </c>
      <c r="CY38">
        <f>AD38</f>
        <v/>
      </c>
      <c r="CZ38">
        <f>AH38</f>
        <v/>
      </c>
      <c r="DA38">
        <f>AL38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DI38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ROW(Source!A73)</f>
        <v/>
      </c>
      <c r="B39" t="n">
        <v>78869116</v>
      </c>
      <c r="C39" t="n">
        <v>78869390</v>
      </c>
      <c r="D39" t="n">
        <v>29172556</v>
      </c>
      <c r="E39" t="n">
        <v>1</v>
      </c>
      <c r="F39" t="n">
        <v>1</v>
      </c>
      <c r="G39" t="n">
        <v>1</v>
      </c>
      <c r="H39" t="n">
        <v>2</v>
      </c>
      <c r="I39" t="inlineStr">
        <is>
          <t>030954</t>
        </is>
      </c>
      <c r="J39" t="inlineStr">
        <is>
          <t>ТСЭМ Московской обл., 030954, приказ Минстроя России №675/пр от 28.02.2017 № 264/пр</t>
        </is>
      </c>
      <c r="K39" t="inlineStr">
        <is>
          <t>Подъемники грузоподъемностью до 500 кг одномачтовые, высота подъема 45 м</t>
        </is>
      </c>
      <c r="L39" t="n">
        <v>1368</v>
      </c>
      <c r="N39" t="n">
        <v>1011</v>
      </c>
      <c r="O39" t="inlineStr">
        <is>
          <t>маш.-ч</t>
        </is>
      </c>
      <c r="P39" t="inlineStr">
        <is>
          <t>маш.-ч</t>
        </is>
      </c>
      <c r="Q39" t="n">
        <v>1</v>
      </c>
      <c r="W39" t="n">
        <v>0</v>
      </c>
      <c r="X39" t="n">
        <v>344519037</v>
      </c>
      <c r="Y39">
        <f>AT39</f>
        <v/>
      </c>
      <c r="AA39" t="n">
        <v>0</v>
      </c>
      <c r="AB39" t="n">
        <v>728.98</v>
      </c>
      <c r="AC39" t="n">
        <v>705.38</v>
      </c>
      <c r="AD39" t="n">
        <v>0</v>
      </c>
      <c r="AE39" t="n">
        <v>0</v>
      </c>
      <c r="AF39" t="n">
        <v>31.26</v>
      </c>
      <c r="AG39" t="n">
        <v>13.5</v>
      </c>
      <c r="AH39" t="n">
        <v>0</v>
      </c>
      <c r="AI39" t="n">
        <v>1</v>
      </c>
      <c r="AJ39" t="n">
        <v>23.32</v>
      </c>
      <c r="AK39" t="n">
        <v>52.25</v>
      </c>
      <c r="AL39" t="n">
        <v>1</v>
      </c>
      <c r="AM39" t="n">
        <v>2</v>
      </c>
      <c r="AN39" t="n">
        <v>0</v>
      </c>
      <c r="AO39" t="n">
        <v>1</v>
      </c>
      <c r="AP39" t="n">
        <v>0</v>
      </c>
      <c r="AQ39" t="n">
        <v>0</v>
      </c>
      <c r="AR39" t="n">
        <v>0</v>
      </c>
      <c r="AS39" t="inlineStr"/>
      <c r="AT39" t="n">
        <v>0.72</v>
      </c>
      <c r="AU39" t="inlineStr"/>
      <c r="AV39" t="n">
        <v>0</v>
      </c>
      <c r="AW39" t="n">
        <v>2</v>
      </c>
      <c r="AX39" t="n">
        <v>78869393</v>
      </c>
      <c r="AY39" t="n">
        <v>1</v>
      </c>
      <c r="AZ39" t="n">
        <v>0</v>
      </c>
      <c r="BA39" t="n">
        <v>36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>
        <f>ROUND(Y39*Source!I73*DO39,7)</f>
        <v/>
      </c>
      <c r="CX39">
        <f>ROUND(Y39*Source!I73,7)</f>
        <v/>
      </c>
      <c r="CY39">
        <f>AB39</f>
        <v/>
      </c>
      <c r="CZ39">
        <f>AF39</f>
        <v/>
      </c>
      <c r="DA39">
        <f>AJ39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ROUND(ROUND(AE39,0)*CX39,0)</f>
        <v/>
      </c>
      <c r="DG39">
        <f>ROUND(ROUND(AF39*AJ39,0)*CX39,0)</f>
        <v/>
      </c>
      <c r="DH39">
        <f>ROUND(ROUND(AG39*AK39,0)*CX39,0)</f>
        <v/>
      </c>
      <c r="DI39">
        <f>ROUND(ROUND(AH39,0)*CX39,0)</f>
        <v/>
      </c>
      <c r="DJ39">
        <f>DG39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ROW(Source!A73)</f>
        <v/>
      </c>
      <c r="B40" t="n">
        <v>78869116</v>
      </c>
      <c r="C40" t="n">
        <v>78869390</v>
      </c>
      <c r="D40" t="n">
        <v>29145213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402-0083</t>
        </is>
      </c>
      <c r="J40" t="inlineStr">
        <is>
          <t>ТССЦ Московской обл., 402-0083, приказ Минстроя России №675/пр от 28.02.2017 № 257/пр</t>
        </is>
      </c>
      <c r="K40" t="inlineStr">
        <is>
          <t>Раствор готовый отделочный тяжелый, цементно-известковый 1:1:6</t>
        </is>
      </c>
      <c r="L40" t="n">
        <v>1339</v>
      </c>
      <c r="N40" t="n">
        <v>1007</v>
      </c>
      <c r="O40" t="inlineStr">
        <is>
          <t>м3</t>
        </is>
      </c>
      <c r="P40" t="inlineStr">
        <is>
          <t>м3</t>
        </is>
      </c>
      <c r="Q40" t="n">
        <v>1</v>
      </c>
      <c r="W40" t="n">
        <v>0</v>
      </c>
      <c r="X40" t="n">
        <v>298602793</v>
      </c>
      <c r="Y40">
        <f>AT40</f>
        <v/>
      </c>
      <c r="AA40" t="n">
        <v>5246.23</v>
      </c>
      <c r="AB40" t="n">
        <v>0</v>
      </c>
      <c r="AC40" t="n">
        <v>0</v>
      </c>
      <c r="AD40" t="n">
        <v>0</v>
      </c>
      <c r="AE40" t="n">
        <v>517.89</v>
      </c>
      <c r="AF40" t="n">
        <v>0</v>
      </c>
      <c r="AG40" t="n">
        <v>0</v>
      </c>
      <c r="AH40" t="n">
        <v>0</v>
      </c>
      <c r="AI40" t="n">
        <v>10.13</v>
      </c>
      <c r="AJ40" t="n">
        <v>1</v>
      </c>
      <c r="AK40" t="n">
        <v>1</v>
      </c>
      <c r="AL40" t="n">
        <v>1</v>
      </c>
      <c r="AM40" t="n">
        <v>2</v>
      </c>
      <c r="AN40" t="n">
        <v>0</v>
      </c>
      <c r="AO40" t="n">
        <v>1</v>
      </c>
      <c r="AP40" t="n">
        <v>0</v>
      </c>
      <c r="AQ40" t="n">
        <v>0</v>
      </c>
      <c r="AR40" t="n">
        <v>0</v>
      </c>
      <c r="AS40" t="inlineStr"/>
      <c r="AT40" t="n">
        <v>2.31</v>
      </c>
      <c r="AU40" t="inlineStr"/>
      <c r="AV40" t="n">
        <v>0</v>
      </c>
      <c r="AW40" t="n">
        <v>2</v>
      </c>
      <c r="AX40" t="n">
        <v>78869394</v>
      </c>
      <c r="AY40" t="n">
        <v>1</v>
      </c>
      <c r="AZ40" t="n">
        <v>0</v>
      </c>
      <c r="BA40" t="n">
        <v>37</v>
      </c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ROUND(Y40*Source!I73,7)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ROUND(ROUND(AE40*AI40,0)*CX40,0)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ROW(Source!A73)</f>
        <v/>
      </c>
      <c r="B41" t="n">
        <v>78869116</v>
      </c>
      <c r="C41" t="n">
        <v>78869390</v>
      </c>
      <c r="D41" t="n">
        <v>29150040</v>
      </c>
      <c r="E41" t="n">
        <v>1</v>
      </c>
      <c r="F41" t="n">
        <v>1</v>
      </c>
      <c r="G41" t="n">
        <v>1</v>
      </c>
      <c r="H41" t="n">
        <v>3</v>
      </c>
      <c r="I41" t="inlineStr">
        <is>
          <t>411-0001</t>
        </is>
      </c>
      <c r="J41" t="inlineStr">
        <is>
          <t>ТССЦ Московской обл., 411-0001, приказ Минстроя России №675/пр от 28.02.2017 № 257/пр</t>
        </is>
      </c>
      <c r="K41" t="inlineStr">
        <is>
          <t>Вода</t>
        </is>
      </c>
      <c r="L41" t="n">
        <v>1339</v>
      </c>
      <c r="N41" t="n">
        <v>1007</v>
      </c>
      <c r="O41" t="inlineStr">
        <is>
          <t>м3</t>
        </is>
      </c>
      <c r="P41" t="inlineStr">
        <is>
          <t>м3</t>
        </is>
      </c>
      <c r="Q41" t="n">
        <v>1</v>
      </c>
      <c r="W41" t="n">
        <v>0</v>
      </c>
      <c r="X41" t="n">
        <v>619799737</v>
      </c>
      <c r="Y41">
        <f>AT41</f>
        <v/>
      </c>
      <c r="AA41" t="n">
        <v>31.28</v>
      </c>
      <c r="AB41" t="n">
        <v>0</v>
      </c>
      <c r="AC41" t="n">
        <v>0</v>
      </c>
      <c r="AD41" t="n">
        <v>0</v>
      </c>
      <c r="AE41" t="n">
        <v>2.44</v>
      </c>
      <c r="AF41" t="n">
        <v>0</v>
      </c>
      <c r="AG41" t="n">
        <v>0</v>
      </c>
      <c r="AH41" t="n">
        <v>0</v>
      </c>
      <c r="AI41" t="n">
        <v>12.82</v>
      </c>
      <c r="AJ41" t="n">
        <v>1</v>
      </c>
      <c r="AK41" t="n">
        <v>1</v>
      </c>
      <c r="AL41" t="n">
        <v>1</v>
      </c>
      <c r="AM41" t="n">
        <v>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0.35</v>
      </c>
      <c r="AU41" t="inlineStr"/>
      <c r="AV41" t="n">
        <v>0</v>
      </c>
      <c r="AW41" t="n">
        <v>2</v>
      </c>
      <c r="AX41" t="n">
        <v>78869395</v>
      </c>
      <c r="AY41" t="n">
        <v>1</v>
      </c>
      <c r="AZ41" t="n">
        <v>0</v>
      </c>
      <c r="BA41" t="n">
        <v>38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V41" t="n">
        <v>0</v>
      </c>
      <c r="CW41" t="n">
        <v>0</v>
      </c>
      <c r="CX41">
        <f>ROUND(Y41*Source!I73,7)</f>
        <v/>
      </c>
      <c r="CY41">
        <f>AA41</f>
        <v/>
      </c>
      <c r="CZ41">
        <f>AE41</f>
        <v/>
      </c>
      <c r="DA41">
        <f>AI41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ROUND(ROUND(AE41*AI41,0)*CX41,0)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DF41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ROW(Source!A73)</f>
        <v/>
      </c>
      <c r="B42" t="n">
        <v>78869116</v>
      </c>
      <c r="C42" t="n">
        <v>78869390</v>
      </c>
      <c r="D42" t="n">
        <v>29164349</v>
      </c>
      <c r="E42" t="n">
        <v>1</v>
      </c>
      <c r="F42" t="n">
        <v>1</v>
      </c>
      <c r="G42" t="n">
        <v>1</v>
      </c>
      <c r="H42" t="n">
        <v>3</v>
      </c>
      <c r="I42" t="inlineStr">
        <is>
          <t>509-9900</t>
        </is>
      </c>
      <c r="J42" t="inlineStr">
        <is>
          <t>ТССЦ Московской обл., 509-9900, приказ Минстроя России №675/пр от 28.02.2017 № 258/пр</t>
        </is>
      </c>
      <c r="K42" t="inlineStr">
        <is>
          <t>Строительный мусор</t>
        </is>
      </c>
      <c r="L42" t="n">
        <v>1348</v>
      </c>
      <c r="N42" t="n">
        <v>1009</v>
      </c>
      <c r="O42" t="inlineStr">
        <is>
          <t>т</t>
        </is>
      </c>
      <c r="P42" t="inlineStr">
        <is>
          <t>т</t>
        </is>
      </c>
      <c r="Q42" t="n">
        <v>1000</v>
      </c>
      <c r="W42" t="n">
        <v>0</v>
      </c>
      <c r="X42" t="n">
        <v>1876412176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  <c r="AS42" t="inlineStr"/>
      <c r="AT42" t="n">
        <v>3.38</v>
      </c>
      <c r="AU42" t="inlineStr"/>
      <c r="AV42" t="n">
        <v>0</v>
      </c>
      <c r="AW42" t="n">
        <v>2</v>
      </c>
      <c r="AX42" t="n">
        <v>78869396</v>
      </c>
      <c r="AY42" t="n">
        <v>1</v>
      </c>
      <c r="AZ42" t="n">
        <v>0</v>
      </c>
      <c r="BA42" t="n">
        <v>39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ROUND(Y42*Source!I73,7)</f>
        <v/>
      </c>
      <c r="CY42">
        <f>AA42</f>
        <v/>
      </c>
      <c r="CZ42">
        <f>AE42</f>
        <v/>
      </c>
      <c r="DA42">
        <f>AI42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DF42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ROW(Source!A75)</f>
        <v/>
      </c>
      <c r="B43" t="n">
        <v>78869116</v>
      </c>
      <c r="C43" t="n">
        <v>78869398</v>
      </c>
      <c r="D43" t="n">
        <v>18406785</v>
      </c>
      <c r="E43" t="n">
        <v>1</v>
      </c>
      <c r="F43" t="n">
        <v>1</v>
      </c>
      <c r="G43" t="n">
        <v>1</v>
      </c>
      <c r="H43" t="n">
        <v>1</v>
      </c>
      <c r="I43" t="inlineStr">
        <is>
          <t>1-1033-90</t>
        </is>
      </c>
      <c r="J43" t="inlineStr"/>
      <c r="K43" t="inlineStr">
        <is>
          <t>Рабочий строитель среднего разряда 3,3</t>
        </is>
      </c>
      <c r="L43" t="n">
        <v>1369</v>
      </c>
      <c r="N43" t="n">
        <v>1013</v>
      </c>
      <c r="O43" t="inlineStr">
        <is>
          <t>чел.-ч</t>
        </is>
      </c>
      <c r="P43" t="inlineStr">
        <is>
          <t>чел.-ч</t>
        </is>
      </c>
      <c r="Q43" t="n">
        <v>1</v>
      </c>
      <c r="W43" t="n">
        <v>0</v>
      </c>
      <c r="X43" t="n">
        <v>645971194</v>
      </c>
      <c r="Y43">
        <f>AT43</f>
        <v/>
      </c>
      <c r="AA43" t="n">
        <v>0</v>
      </c>
      <c r="AB43" t="n">
        <v>0</v>
      </c>
      <c r="AC43" t="n">
        <v>0</v>
      </c>
      <c r="AD43" t="n">
        <v>8.859999999999999</v>
      </c>
      <c r="AE43" t="n">
        <v>0</v>
      </c>
      <c r="AF43" t="n">
        <v>0</v>
      </c>
      <c r="AG43" t="n">
        <v>0</v>
      </c>
      <c r="AH43" t="n">
        <v>8.859999999999999</v>
      </c>
      <c r="AI43" t="n">
        <v>1</v>
      </c>
      <c r="AJ43" t="n">
        <v>1</v>
      </c>
      <c r="AK43" t="n">
        <v>1</v>
      </c>
      <c r="AL43" t="n">
        <v>1</v>
      </c>
      <c r="AM43" t="n">
        <v>-2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228.35</v>
      </c>
      <c r="AU43" t="inlineStr"/>
      <c r="AV43" t="n">
        <v>1</v>
      </c>
      <c r="AW43" t="n">
        <v>2</v>
      </c>
      <c r="AX43" t="n">
        <v>78869399</v>
      </c>
      <c r="AY43" t="n">
        <v>1</v>
      </c>
      <c r="AZ43" t="n">
        <v>0</v>
      </c>
      <c r="BA43" t="n">
        <v>40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U43">
        <f>ROUND(AT43*Source!I75*AH43*AL43,0)</f>
        <v/>
      </c>
      <c r="CV43">
        <f>ROUND(Y43*Source!I75,7)</f>
        <v/>
      </c>
      <c r="CW43" t="n">
        <v>0</v>
      </c>
      <c r="CX43">
        <f>ROUND(Y43*Source!I75,7)</f>
        <v/>
      </c>
      <c r="CY43">
        <f>AD43</f>
        <v/>
      </c>
      <c r="CZ43">
        <f>AH43</f>
        <v/>
      </c>
      <c r="DA43">
        <f>AL43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ROUND(ROUND(AF43,0)*CX43,0)</f>
        <v/>
      </c>
      <c r="DH43">
        <f>ROUND(ROUND(AG43,0)*CX43,0)</f>
        <v/>
      </c>
      <c r="DI43">
        <f>ROUND(ROUND(AH43,0)*CX43,0)</f>
        <v/>
      </c>
      <c r="DJ43">
        <f>DI43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ROW(Source!A75)</f>
        <v/>
      </c>
      <c r="B44" t="n">
        <v>78869116</v>
      </c>
      <c r="C44" t="n">
        <v>78869398</v>
      </c>
      <c r="D44" t="n">
        <v>121548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2</t>
        </is>
      </c>
      <c r="J44" t="inlineStr"/>
      <c r="K44" t="inlineStr">
        <is>
          <t>Затраты труда машинистов</t>
        </is>
      </c>
      <c r="L44" t="n">
        <v>608254</v>
      </c>
      <c r="N44" t="n">
        <v>1013</v>
      </c>
      <c r="O44" t="inlineStr">
        <is>
          <t>чел.час</t>
        </is>
      </c>
      <c r="P44" t="inlineStr">
        <is>
          <t>чел.час</t>
        </is>
      </c>
      <c r="Q44" t="n">
        <v>1</v>
      </c>
      <c r="W44" t="n">
        <v>0</v>
      </c>
      <c r="X44" t="n">
        <v>-185737400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-2</v>
      </c>
      <c r="AN44" t="n">
        <v>0</v>
      </c>
      <c r="AO44" t="n">
        <v>1</v>
      </c>
      <c r="AP44" t="n">
        <v>0</v>
      </c>
      <c r="AQ44" t="n">
        <v>0</v>
      </c>
      <c r="AR44" t="n">
        <v>0</v>
      </c>
      <c r="AS44" t="inlineStr"/>
      <c r="AT44" t="n">
        <v>0.67</v>
      </c>
      <c r="AU44" t="inlineStr"/>
      <c r="AV44" t="n">
        <v>2</v>
      </c>
      <c r="AW44" t="n">
        <v>2</v>
      </c>
      <c r="AX44" t="n">
        <v>78869400</v>
      </c>
      <c r="AY44" t="n">
        <v>1</v>
      </c>
      <c r="AZ44" t="n">
        <v>0</v>
      </c>
      <c r="BA44" t="n">
        <v>41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ROUND(Y44*Source!I75,7)</f>
        <v/>
      </c>
      <c r="CY44">
        <f>AD44</f>
        <v/>
      </c>
      <c r="CZ44">
        <f>AH44</f>
        <v/>
      </c>
      <c r="DA44">
        <f>AL44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DI44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ROW(Source!A75)</f>
        <v/>
      </c>
      <c r="B45" t="n">
        <v>78869116</v>
      </c>
      <c r="C45" t="n">
        <v>78869398</v>
      </c>
      <c r="D45" t="n">
        <v>29172556</v>
      </c>
      <c r="E45" t="n">
        <v>1</v>
      </c>
      <c r="F45" t="n">
        <v>1</v>
      </c>
      <c r="G45" t="n">
        <v>1</v>
      </c>
      <c r="H45" t="n">
        <v>2</v>
      </c>
      <c r="I45" t="inlineStr">
        <is>
          <t>030954</t>
        </is>
      </c>
      <c r="J45" t="inlineStr">
        <is>
          <t>ТСЭМ Московской обл., 030954, приказ Минстроя России №675/пр от 28.02.2017 № 264/пр</t>
        </is>
      </c>
      <c r="K45" t="inlineStr">
        <is>
          <t>Подъемники грузоподъемностью до 500 кг одномачтовые, высота подъема 45 м</t>
        </is>
      </c>
      <c r="L45" t="n">
        <v>1368</v>
      </c>
      <c r="N45" t="n">
        <v>1011</v>
      </c>
      <c r="O45" t="inlineStr">
        <is>
          <t>маш.-ч</t>
        </is>
      </c>
      <c r="P45" t="inlineStr">
        <is>
          <t>маш.-ч</t>
        </is>
      </c>
      <c r="Q45" t="n">
        <v>1</v>
      </c>
      <c r="W45" t="n">
        <v>0</v>
      </c>
      <c r="X45" t="n">
        <v>344519037</v>
      </c>
      <c r="Y45">
        <f>AT45</f>
        <v/>
      </c>
      <c r="AA45" t="n">
        <v>0</v>
      </c>
      <c r="AB45" t="n">
        <v>728.98</v>
      </c>
      <c r="AC45" t="n">
        <v>705.38</v>
      </c>
      <c r="AD45" t="n">
        <v>0</v>
      </c>
      <c r="AE45" t="n">
        <v>0</v>
      </c>
      <c r="AF45" t="n">
        <v>31.26</v>
      </c>
      <c r="AG45" t="n">
        <v>13.5</v>
      </c>
      <c r="AH45" t="n">
        <v>0</v>
      </c>
      <c r="AI45" t="n">
        <v>1</v>
      </c>
      <c r="AJ45" t="n">
        <v>23.32</v>
      </c>
      <c r="AK45" t="n">
        <v>52.25</v>
      </c>
      <c r="AL45" t="n">
        <v>1</v>
      </c>
      <c r="AM45" t="n">
        <v>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0.67</v>
      </c>
      <c r="AU45" t="inlineStr"/>
      <c r="AV45" t="n">
        <v>0</v>
      </c>
      <c r="AW45" t="n">
        <v>2</v>
      </c>
      <c r="AX45" t="n">
        <v>78869401</v>
      </c>
      <c r="AY45" t="n">
        <v>1</v>
      </c>
      <c r="AZ45" t="n">
        <v>0</v>
      </c>
      <c r="BA45" t="n">
        <v>42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V45" t="n">
        <v>0</v>
      </c>
      <c r="CW45">
        <f>ROUND(Y45*Source!I75*DO45,7)</f>
        <v/>
      </c>
      <c r="CX45">
        <f>ROUND(Y45*Source!I75,7)</f>
        <v/>
      </c>
      <c r="CY45">
        <f>AB45</f>
        <v/>
      </c>
      <c r="CZ45">
        <f>AF45</f>
        <v/>
      </c>
      <c r="DA45">
        <f>AJ45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ROUND(ROUND(AF45*AJ45,0)*CX45,0)</f>
        <v/>
      </c>
      <c r="DH45">
        <f>ROUND(ROUND(AG45*AK45,0)*CX45,0)</f>
        <v/>
      </c>
      <c r="DI45">
        <f>ROUND(ROUND(AH45,0)*CX45,0)</f>
        <v/>
      </c>
      <c r="DJ45">
        <f>DG45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ROW(Source!A75)</f>
        <v/>
      </c>
      <c r="B46" t="n">
        <v>78869116</v>
      </c>
      <c r="C46" t="n">
        <v>78869398</v>
      </c>
      <c r="D46" t="n">
        <v>29145213</v>
      </c>
      <c r="E46" t="n">
        <v>1</v>
      </c>
      <c r="F46" t="n">
        <v>1</v>
      </c>
      <c r="G46" t="n">
        <v>1</v>
      </c>
      <c r="H46" t="n">
        <v>3</v>
      </c>
      <c r="I46" t="inlineStr">
        <is>
          <t>402-0083</t>
        </is>
      </c>
      <c r="J46" t="inlineStr">
        <is>
          <t>ТССЦ Московской обл., 402-0083, приказ Минстроя России №675/пр от 28.02.2017 № 257/пр</t>
        </is>
      </c>
      <c r="K46" t="inlineStr">
        <is>
          <t>Раствор готовый отделочный тяжелый, цементно-известковый 1:1:6</t>
        </is>
      </c>
      <c r="L46" t="n">
        <v>1339</v>
      </c>
      <c r="N46" t="n">
        <v>1007</v>
      </c>
      <c r="O46" t="inlineStr">
        <is>
          <t>м3</t>
        </is>
      </c>
      <c r="P46" t="inlineStr">
        <is>
          <t>м3</t>
        </is>
      </c>
      <c r="Q46" t="n">
        <v>1</v>
      </c>
      <c r="W46" t="n">
        <v>0</v>
      </c>
      <c r="X46" t="n">
        <v>298602793</v>
      </c>
      <c r="Y46">
        <f>AT46</f>
        <v/>
      </c>
      <c r="AA46" t="n">
        <v>5246.23</v>
      </c>
      <c r="AB46" t="n">
        <v>0</v>
      </c>
      <c r="AC46" t="n">
        <v>0</v>
      </c>
      <c r="AD46" t="n">
        <v>0</v>
      </c>
      <c r="AE46" t="n">
        <v>517.89</v>
      </c>
      <c r="AF46" t="n">
        <v>0</v>
      </c>
      <c r="AG46" t="n">
        <v>0</v>
      </c>
      <c r="AH46" t="n">
        <v>0</v>
      </c>
      <c r="AI46" t="n">
        <v>10.13</v>
      </c>
      <c r="AJ46" t="n">
        <v>1</v>
      </c>
      <c r="AK46" t="n">
        <v>1</v>
      </c>
      <c r="AL46" t="n">
        <v>1</v>
      </c>
      <c r="AM46" t="n">
        <v>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2.2</v>
      </c>
      <c r="AU46" t="inlineStr"/>
      <c r="AV46" t="n">
        <v>0</v>
      </c>
      <c r="AW46" t="n">
        <v>2</v>
      </c>
      <c r="AX46" t="n">
        <v>78869402</v>
      </c>
      <c r="AY46" t="n">
        <v>1</v>
      </c>
      <c r="AZ46" t="n">
        <v>0</v>
      </c>
      <c r="BA46" t="n">
        <v>43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ROUND(Y46*Source!I75,7)</f>
        <v/>
      </c>
      <c r="CY46">
        <f>AA46</f>
        <v/>
      </c>
      <c r="CZ46">
        <f>AE46</f>
        <v/>
      </c>
      <c r="DA46">
        <f>AI46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ROUND(ROUND(AE46*AI46,0)*CX46,0)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DF46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ROW(Source!A75)</f>
        <v/>
      </c>
      <c r="B47" t="n">
        <v>78869116</v>
      </c>
      <c r="C47" t="n">
        <v>78869398</v>
      </c>
      <c r="D47" t="n">
        <v>29150040</v>
      </c>
      <c r="E47" t="n">
        <v>1</v>
      </c>
      <c r="F47" t="n">
        <v>1</v>
      </c>
      <c r="G47" t="n">
        <v>1</v>
      </c>
      <c r="H47" t="n">
        <v>3</v>
      </c>
      <c r="I47" t="inlineStr">
        <is>
          <t>411-0001</t>
        </is>
      </c>
      <c r="J47" t="inlineStr">
        <is>
          <t>ТССЦ Московской обл., 411-0001, приказ Минстроя России №675/пр от 28.02.2017 № 257/пр</t>
        </is>
      </c>
      <c r="K47" t="inlineStr">
        <is>
          <t>Вода</t>
        </is>
      </c>
      <c r="L47" t="n">
        <v>1339</v>
      </c>
      <c r="N47" t="n">
        <v>1007</v>
      </c>
      <c r="O47" t="inlineStr">
        <is>
          <t>м3</t>
        </is>
      </c>
      <c r="P47" t="inlineStr">
        <is>
          <t>м3</t>
        </is>
      </c>
      <c r="Q47" t="n">
        <v>1</v>
      </c>
      <c r="W47" t="n">
        <v>0</v>
      </c>
      <c r="X47" t="n">
        <v>619799737</v>
      </c>
      <c r="Y47">
        <f>AT47</f>
        <v/>
      </c>
      <c r="AA47" t="n">
        <v>31.28</v>
      </c>
      <c r="AB47" t="n">
        <v>0</v>
      </c>
      <c r="AC47" t="n">
        <v>0</v>
      </c>
      <c r="AD47" t="n">
        <v>0</v>
      </c>
      <c r="AE47" t="n">
        <v>2.44</v>
      </c>
      <c r="AF47" t="n">
        <v>0</v>
      </c>
      <c r="AG47" t="n">
        <v>0</v>
      </c>
      <c r="AH47" t="n">
        <v>0</v>
      </c>
      <c r="AI47" t="n">
        <v>12.82</v>
      </c>
      <c r="AJ47" t="n">
        <v>1</v>
      </c>
      <c r="AK47" t="n">
        <v>1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0.35</v>
      </c>
      <c r="AU47" t="inlineStr"/>
      <c r="AV47" t="n">
        <v>0</v>
      </c>
      <c r="AW47" t="n">
        <v>2</v>
      </c>
      <c r="AX47" t="n">
        <v>78869403</v>
      </c>
      <c r="AY47" t="n">
        <v>1</v>
      </c>
      <c r="AZ47" t="n">
        <v>0</v>
      </c>
      <c r="BA47" t="n">
        <v>44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 t="n">
        <v>0</v>
      </c>
      <c r="CX47">
        <f>ROUND(Y47*Source!I75,7)</f>
        <v/>
      </c>
      <c r="CY47">
        <f>AA47</f>
        <v/>
      </c>
      <c r="CZ47">
        <f>AE47</f>
        <v/>
      </c>
      <c r="DA47">
        <f>AI47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ROUND(ROUND(AE47*AI47,0)*CX47,0)</f>
        <v/>
      </c>
      <c r="DG47">
        <f>ROUND(ROUND(AF47,0)*CX47,0)</f>
        <v/>
      </c>
      <c r="DH47">
        <f>ROUND(ROUND(AG47,0)*CX47,0)</f>
        <v/>
      </c>
      <c r="DI47">
        <f>ROUND(ROUND(AH47,0)*CX47,0)</f>
        <v/>
      </c>
      <c r="DJ47">
        <f>DF47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ROW(Source!A75)</f>
        <v/>
      </c>
      <c r="B48" t="n">
        <v>78869116</v>
      </c>
      <c r="C48" t="n">
        <v>78869398</v>
      </c>
      <c r="D48" t="n">
        <v>29164349</v>
      </c>
      <c r="E48" t="n">
        <v>1</v>
      </c>
      <c r="F48" t="n">
        <v>1</v>
      </c>
      <c r="G48" t="n">
        <v>1</v>
      </c>
      <c r="H48" t="n">
        <v>3</v>
      </c>
      <c r="I48" t="inlineStr">
        <is>
          <t>509-9900</t>
        </is>
      </c>
      <c r="J48" t="inlineStr">
        <is>
          <t>ТССЦ Московской обл., 509-9900, приказ Минстроя России №675/пр от 28.02.2017 № 258/пр</t>
        </is>
      </c>
      <c r="K48" t="inlineStr">
        <is>
          <t>Строительный мусор</t>
        </is>
      </c>
      <c r="L48" t="n">
        <v>1348</v>
      </c>
      <c r="N48" t="n">
        <v>1009</v>
      </c>
      <c r="O48" t="inlineStr">
        <is>
          <t>т</t>
        </is>
      </c>
      <c r="P48" t="inlineStr">
        <is>
          <t>т</t>
        </is>
      </c>
      <c r="Q48" t="n">
        <v>1000</v>
      </c>
      <c r="W48" t="n">
        <v>0</v>
      </c>
      <c r="X48" t="n">
        <v>1876412176</v>
      </c>
      <c r="Y48">
        <f>AT48</f>
        <v/>
      </c>
      <c r="AA48" t="n">
        <v>0</v>
      </c>
      <c r="AB48" t="n">
        <v>0</v>
      </c>
      <c r="AC48" t="n">
        <v>0</v>
      </c>
      <c r="AD48" t="n">
        <v>0</v>
      </c>
      <c r="AE48" t="n">
        <v>0</v>
      </c>
      <c r="AF48" t="n">
        <v>0</v>
      </c>
      <c r="AG48" t="n">
        <v>0</v>
      </c>
      <c r="AH48" t="n">
        <v>0</v>
      </c>
      <c r="AI48" t="n">
        <v>1</v>
      </c>
      <c r="AJ48" t="n">
        <v>1</v>
      </c>
      <c r="AK48" t="n">
        <v>1</v>
      </c>
      <c r="AL48" t="n">
        <v>1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  <c r="AS48" t="inlineStr"/>
      <c r="AT48" t="n">
        <v>3.38</v>
      </c>
      <c r="AU48" t="inlineStr"/>
      <c r="AV48" t="n">
        <v>0</v>
      </c>
      <c r="AW48" t="n">
        <v>2</v>
      </c>
      <c r="AX48" t="n">
        <v>78869404</v>
      </c>
      <c r="AY48" t="n">
        <v>1</v>
      </c>
      <c r="AZ48" t="n">
        <v>0</v>
      </c>
      <c r="BA48" t="n">
        <v>45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 t="n">
        <v>0</v>
      </c>
      <c r="CX48">
        <f>ROUND(Y48*Source!I75,7)</f>
        <v/>
      </c>
      <c r="CY48">
        <f>AA48</f>
        <v/>
      </c>
      <c r="CZ48">
        <f>AE48</f>
        <v/>
      </c>
      <c r="DA48">
        <f>AI48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ROUND(ROUND(AF48,0)*CX48,0)</f>
        <v/>
      </c>
      <c r="DH48">
        <f>ROUND(ROUND(AG48,0)*CX48,0)</f>
        <v/>
      </c>
      <c r="DI48">
        <f>ROUND(ROUND(AH48,0)*CX48,0)</f>
        <v/>
      </c>
      <c r="DJ48">
        <f>DF48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ROW(Source!A77)</f>
        <v/>
      </c>
      <c r="B49" t="n">
        <v>78869116</v>
      </c>
      <c r="C49" t="n">
        <v>78869406</v>
      </c>
      <c r="D49" t="n">
        <v>18410572</v>
      </c>
      <c r="E49" t="n">
        <v>1</v>
      </c>
      <c r="F49" t="n">
        <v>1</v>
      </c>
      <c r="G49" t="n">
        <v>1</v>
      </c>
      <c r="H49" t="n">
        <v>1</v>
      </c>
      <c r="I49" t="inlineStr">
        <is>
          <t>1-1032-90</t>
        </is>
      </c>
      <c r="J49" t="inlineStr"/>
      <c r="K49" t="inlineStr">
        <is>
          <t>Рабочий строитель среднего разряда 3,2</t>
        </is>
      </c>
      <c r="L49" t="n">
        <v>1369</v>
      </c>
      <c r="N49" t="n">
        <v>1013</v>
      </c>
      <c r="O49" t="inlineStr">
        <is>
          <t>чел.-ч</t>
        </is>
      </c>
      <c r="P49" t="inlineStr">
        <is>
          <t>чел.-ч</t>
        </is>
      </c>
      <c r="Q49" t="n">
        <v>1</v>
      </c>
      <c r="W49" t="n">
        <v>0</v>
      </c>
      <c r="X49" t="n">
        <v>-546915240</v>
      </c>
      <c r="Y49">
        <f>AT49</f>
        <v/>
      </c>
      <c r="AA49" t="n">
        <v>0</v>
      </c>
      <c r="AB49" t="n">
        <v>0</v>
      </c>
      <c r="AC49" t="n">
        <v>0</v>
      </c>
      <c r="AD49" t="n">
        <v>8.74</v>
      </c>
      <c r="AE49" t="n">
        <v>0</v>
      </c>
      <c r="AF49" t="n">
        <v>0</v>
      </c>
      <c r="AG49" t="n">
        <v>0</v>
      </c>
      <c r="AH49" t="n">
        <v>8.74</v>
      </c>
      <c r="AI49" t="n">
        <v>1</v>
      </c>
      <c r="AJ49" t="n">
        <v>1</v>
      </c>
      <c r="AK49" t="n">
        <v>1</v>
      </c>
      <c r="AL49" t="n">
        <v>1</v>
      </c>
      <c r="AM49" t="n">
        <v>-2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43.56</v>
      </c>
      <c r="AU49" t="inlineStr"/>
      <c r="AV49" t="n">
        <v>1</v>
      </c>
      <c r="AW49" t="n">
        <v>2</v>
      </c>
      <c r="AX49" t="n">
        <v>78869407</v>
      </c>
      <c r="AY49" t="n">
        <v>1</v>
      </c>
      <c r="AZ49" t="n">
        <v>0</v>
      </c>
      <c r="BA49" t="n">
        <v>46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U49">
        <f>ROUND(AT49*Source!I77*AH49*AL49,0)</f>
        <v/>
      </c>
      <c r="CV49">
        <f>ROUND(Y49*Source!I77,7)</f>
        <v/>
      </c>
      <c r="CW49" t="n">
        <v>0</v>
      </c>
      <c r="CX49">
        <f>ROUND(Y49*Source!I77,7)</f>
        <v/>
      </c>
      <c r="CY49">
        <f>AD49</f>
        <v/>
      </c>
      <c r="CZ49">
        <f>AH49</f>
        <v/>
      </c>
      <c r="DA49">
        <f>AL49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ROUND(ROUND(AF49,0)*CX49,0)</f>
        <v/>
      </c>
      <c r="DH49">
        <f>ROUND(ROUND(AG49,0)*CX49,0)</f>
        <v/>
      </c>
      <c r="DI49">
        <f>ROUND(ROUND(AH49,0)*CX49,0)</f>
        <v/>
      </c>
      <c r="DJ49">
        <f>DI49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ROW(Source!A77)</f>
        <v/>
      </c>
      <c r="B50" t="n">
        <v>78869116</v>
      </c>
      <c r="C50" t="n">
        <v>78869406</v>
      </c>
      <c r="D50" t="n">
        <v>121548</v>
      </c>
      <c r="E50" t="n">
        <v>1</v>
      </c>
      <c r="F50" t="n">
        <v>1</v>
      </c>
      <c r="G50" t="n">
        <v>1</v>
      </c>
      <c r="H50" t="n">
        <v>1</v>
      </c>
      <c r="I50" t="inlineStr">
        <is>
          <t>2</t>
        </is>
      </c>
      <c r="J50" t="inlineStr"/>
      <c r="K50" t="inlineStr">
        <is>
          <t>Затраты труда машинистов</t>
        </is>
      </c>
      <c r="L50" t="n">
        <v>608254</v>
      </c>
      <c r="N50" t="n">
        <v>1013</v>
      </c>
      <c r="O50" t="inlineStr">
        <is>
          <t>чел.час</t>
        </is>
      </c>
      <c r="P50" t="inlineStr">
        <is>
          <t>чел.час</t>
        </is>
      </c>
      <c r="Q50" t="n">
        <v>1</v>
      </c>
      <c r="W50" t="n">
        <v>0</v>
      </c>
      <c r="X50" t="n">
        <v>-185737400</v>
      </c>
      <c r="Y50">
        <f>AT50</f>
        <v/>
      </c>
      <c r="AA50" t="n">
        <v>0</v>
      </c>
      <c r="AB50" t="n">
        <v>0</v>
      </c>
      <c r="AC50" t="n">
        <v>0</v>
      </c>
      <c r="AD50" t="n">
        <v>0</v>
      </c>
      <c r="AE50" t="n">
        <v>0</v>
      </c>
      <c r="AF50" t="n">
        <v>0</v>
      </c>
      <c r="AG50" t="n">
        <v>0</v>
      </c>
      <c r="AH50" t="n">
        <v>0</v>
      </c>
      <c r="AI50" t="n">
        <v>1</v>
      </c>
      <c r="AJ50" t="n">
        <v>1</v>
      </c>
      <c r="AK50" t="n">
        <v>1</v>
      </c>
      <c r="AL50" t="n">
        <v>1</v>
      </c>
      <c r="AM50" t="n">
        <v>-2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0.02</v>
      </c>
      <c r="AU50" t="inlineStr"/>
      <c r="AV50" t="n">
        <v>2</v>
      </c>
      <c r="AW50" t="n">
        <v>2</v>
      </c>
      <c r="AX50" t="n">
        <v>78869408</v>
      </c>
      <c r="AY50" t="n">
        <v>1</v>
      </c>
      <c r="AZ50" t="n">
        <v>0</v>
      </c>
      <c r="BA50" t="n">
        <v>47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 t="n">
        <v>0</v>
      </c>
      <c r="CX50">
        <f>ROUND(Y50*Source!I77,7)</f>
        <v/>
      </c>
      <c r="CY50">
        <f>AD50</f>
        <v/>
      </c>
      <c r="CZ50">
        <f>AH50</f>
        <v/>
      </c>
      <c r="DA50">
        <f>AL50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ROUND(ROUND(AF50,0)*CX50,0)</f>
        <v/>
      </c>
      <c r="DH50">
        <f>ROUND(ROUND(AG50,0)*CX50,0)</f>
        <v/>
      </c>
      <c r="DI50">
        <f>ROUND(ROUND(AH50,0)*CX50,0)</f>
        <v/>
      </c>
      <c r="DJ50">
        <f>DI50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ROW(Source!A77)</f>
        <v/>
      </c>
      <c r="B51" t="n">
        <v>78869116</v>
      </c>
      <c r="C51" t="n">
        <v>78869406</v>
      </c>
      <c r="D51" t="n">
        <v>29172554</v>
      </c>
      <c r="E51" t="n">
        <v>1</v>
      </c>
      <c r="F51" t="n">
        <v>1</v>
      </c>
      <c r="G51" t="n">
        <v>1</v>
      </c>
      <c r="H51" t="n">
        <v>2</v>
      </c>
      <c r="I51" t="inlineStr">
        <is>
          <t>030952</t>
        </is>
      </c>
      <c r="J51" t="inlineStr">
        <is>
          <t>ТСЭМ Московской обл., 030952, приказ Минстроя России №675/пр от 28.02.2017 № 264/пр</t>
        </is>
      </c>
      <c r="K51" t="inlineStr">
        <is>
          <t>Подъемники грузоподъемностью до 500 кг одномачтовые, высота подъема 25 м</t>
        </is>
      </c>
      <c r="L51" t="n">
        <v>1368</v>
      </c>
      <c r="N51" t="n">
        <v>1011</v>
      </c>
      <c r="O51" t="inlineStr">
        <is>
          <t>маш.-ч</t>
        </is>
      </c>
      <c r="P51" t="inlineStr">
        <is>
          <t>маш.-ч</t>
        </is>
      </c>
      <c r="Q51" t="n">
        <v>1</v>
      </c>
      <c r="W51" t="n">
        <v>0</v>
      </c>
      <c r="X51" t="n">
        <v>-1902254956</v>
      </c>
      <c r="Y51">
        <f>AT51</f>
        <v/>
      </c>
      <c r="AA51" t="n">
        <v>0</v>
      </c>
      <c r="AB51" t="n">
        <v>659.14</v>
      </c>
      <c r="AC51" t="n">
        <v>606.1</v>
      </c>
      <c r="AD51" t="n">
        <v>0</v>
      </c>
      <c r="AE51" t="n">
        <v>0</v>
      </c>
      <c r="AF51" t="n">
        <v>27.66</v>
      </c>
      <c r="AG51" t="n">
        <v>11.6</v>
      </c>
      <c r="AH51" t="n">
        <v>0</v>
      </c>
      <c r="AI51" t="n">
        <v>1</v>
      </c>
      <c r="AJ51" t="n">
        <v>23.83</v>
      </c>
      <c r="AK51" t="n">
        <v>52.25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0.02</v>
      </c>
      <c r="AU51" t="inlineStr"/>
      <c r="AV51" t="n">
        <v>0</v>
      </c>
      <c r="AW51" t="n">
        <v>2</v>
      </c>
      <c r="AX51" t="n">
        <v>78869409</v>
      </c>
      <c r="AY51" t="n">
        <v>1</v>
      </c>
      <c r="AZ51" t="n">
        <v>0</v>
      </c>
      <c r="BA51" t="n">
        <v>48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>
        <f>ROUND(Y51*Source!I77*DO51,7)</f>
        <v/>
      </c>
      <c r="CX51">
        <f>ROUND(Y51*Source!I77,7)</f>
        <v/>
      </c>
      <c r="CY51">
        <f>AB51</f>
        <v/>
      </c>
      <c r="CZ51">
        <f>AF51</f>
        <v/>
      </c>
      <c r="DA51">
        <f>AJ51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ROUND(ROUND(AE51,0)*CX51,0)</f>
        <v/>
      </c>
      <c r="DG51">
        <f>ROUND(ROUND(AF51*AJ51,0)*CX51,0)</f>
        <v/>
      </c>
      <c r="DH51">
        <f>ROUND(ROUND(AG51*AK51,0)*CX51,0)</f>
        <v/>
      </c>
      <c r="DI51">
        <f>ROUND(ROUND(AH51,0)*CX51,0)</f>
        <v/>
      </c>
      <c r="DJ51">
        <f>DG51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ROW(Source!A77)</f>
        <v/>
      </c>
      <c r="B52" t="n">
        <v>78869116</v>
      </c>
      <c r="C52" t="n">
        <v>78869406</v>
      </c>
      <c r="D52" t="n">
        <v>29174913</v>
      </c>
      <c r="E52" t="n">
        <v>1</v>
      </c>
      <c r="F52" t="n">
        <v>1</v>
      </c>
      <c r="G52" t="n">
        <v>1</v>
      </c>
      <c r="H52" t="n">
        <v>2</v>
      </c>
      <c r="I52" t="inlineStr">
        <is>
          <t>400001</t>
        </is>
      </c>
      <c r="J52" t="inlineStr">
        <is>
          <t>ТСЭМ Московской обл., 400001, приказ Минстроя России №675/пр от 28.02.2017 № 264/пр</t>
        </is>
      </c>
      <c r="K52" t="inlineStr">
        <is>
          <t>Автомобили бортовые, грузоподъемность до 5 т</t>
        </is>
      </c>
      <c r="L52" t="n">
        <v>1368</v>
      </c>
      <c r="N52" t="n">
        <v>1011</v>
      </c>
      <c r="O52" t="inlineStr">
        <is>
          <t>маш.-ч</t>
        </is>
      </c>
      <c r="P52" t="inlineStr">
        <is>
          <t>маш.-ч</t>
        </is>
      </c>
      <c r="Q52" t="n">
        <v>1</v>
      </c>
      <c r="W52" t="n">
        <v>0</v>
      </c>
      <c r="X52" t="n">
        <v>1230759911</v>
      </c>
      <c r="Y52">
        <f>AT52</f>
        <v/>
      </c>
      <c r="AA52" t="n">
        <v>0</v>
      </c>
      <c r="AB52" t="n">
        <v>2177.51</v>
      </c>
      <c r="AC52" t="n">
        <v>606.1</v>
      </c>
      <c r="AD52" t="n">
        <v>0</v>
      </c>
      <c r="AE52" t="n">
        <v>0</v>
      </c>
      <c r="AF52" t="n">
        <v>87.17</v>
      </c>
      <c r="AG52" t="n">
        <v>11.6</v>
      </c>
      <c r="AH52" t="n">
        <v>0</v>
      </c>
      <c r="AI52" t="n">
        <v>1</v>
      </c>
      <c r="AJ52" t="n">
        <v>24.98</v>
      </c>
      <c r="AK52" t="n">
        <v>52.25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0.15</v>
      </c>
      <c r="AU52" t="inlineStr"/>
      <c r="AV52" t="n">
        <v>0</v>
      </c>
      <c r="AW52" t="n">
        <v>2</v>
      </c>
      <c r="AX52" t="n">
        <v>78869410</v>
      </c>
      <c r="AY52" t="n">
        <v>1</v>
      </c>
      <c r="AZ52" t="n">
        <v>0</v>
      </c>
      <c r="BA52" t="n">
        <v>49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>
        <f>ROUND(Y52*Source!I77*DO52,7)</f>
        <v/>
      </c>
      <c r="CX52">
        <f>ROUND(Y52*Source!I77,7)</f>
        <v/>
      </c>
      <c r="CY52">
        <f>AB52</f>
        <v/>
      </c>
      <c r="CZ52">
        <f>AF52</f>
        <v/>
      </c>
      <c r="DA52">
        <f>AJ52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ROUND(ROUND(AE52,0)*CX52,0)</f>
        <v/>
      </c>
      <c r="DG52">
        <f>ROUND(ROUND(AF52*AJ52,0)*CX52,0)</f>
        <v/>
      </c>
      <c r="DH52">
        <f>ROUND(ROUND(AG52*AK52,0)*CX52,0)</f>
        <v/>
      </c>
      <c r="DI52">
        <f>ROUND(ROUND(AH52,0)*CX52,0)</f>
        <v/>
      </c>
      <c r="DJ52">
        <f>DG52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ROW(Source!A77)</f>
        <v/>
      </c>
      <c r="B53" t="n">
        <v>78869116</v>
      </c>
      <c r="C53" t="n">
        <v>78869406</v>
      </c>
      <c r="D53" t="n">
        <v>29107779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101-1596</t>
        </is>
      </c>
      <c r="J53" t="inlineStr">
        <is>
          <t>ТССЦ Московской обл., 101-1596, приказ Минстроя России №675/пр от 28.02.2017 № 254/пр</t>
        </is>
      </c>
      <c r="K53" t="inlineStr">
        <is>
          <t>Шкурка шлифовальная двухслойная с зернистостью 40-25</t>
        </is>
      </c>
      <c r="L53" t="n">
        <v>1327</v>
      </c>
      <c r="N53" t="n">
        <v>1005</v>
      </c>
      <c r="O53" t="inlineStr">
        <is>
          <t>м2</t>
        </is>
      </c>
      <c r="P53" t="inlineStr">
        <is>
          <t>м2</t>
        </is>
      </c>
      <c r="Q53" t="n">
        <v>1</v>
      </c>
      <c r="W53" t="n">
        <v>0</v>
      </c>
      <c r="X53" t="n">
        <v>-1827594923</v>
      </c>
      <c r="Y53">
        <f>AT53</f>
        <v/>
      </c>
      <c r="AA53" t="n">
        <v>390.47</v>
      </c>
      <c r="AB53" t="n">
        <v>0</v>
      </c>
      <c r="AC53" t="n">
        <v>0</v>
      </c>
      <c r="AD53" t="n">
        <v>0</v>
      </c>
      <c r="AE53" t="n">
        <v>72.31</v>
      </c>
      <c r="AF53" t="n">
        <v>0</v>
      </c>
      <c r="AG53" t="n">
        <v>0</v>
      </c>
      <c r="AH53" t="n">
        <v>0</v>
      </c>
      <c r="AI53" t="n">
        <v>5.4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0.84</v>
      </c>
      <c r="AU53" t="inlineStr"/>
      <c r="AV53" t="n">
        <v>0</v>
      </c>
      <c r="AW53" t="n">
        <v>2</v>
      </c>
      <c r="AX53" t="n">
        <v>78869411</v>
      </c>
      <c r="AY53" t="n">
        <v>1</v>
      </c>
      <c r="AZ53" t="n">
        <v>0</v>
      </c>
      <c r="BA53" t="n">
        <v>50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ROUND(Y53*Source!I77,7)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ROW(Source!A77)</f>
        <v/>
      </c>
      <c r="B54" t="n">
        <v>78869116</v>
      </c>
      <c r="C54" t="n">
        <v>78869406</v>
      </c>
      <c r="D54" t="n">
        <v>29107800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101-1757</t>
        </is>
      </c>
      <c r="J54" t="inlineStr">
        <is>
          <t>ТССЦ Московской обл., 101-1757, приказ Минстроя России №675/пр от 28.02.2017 № 254/пр</t>
        </is>
      </c>
      <c r="K54" t="inlineStr">
        <is>
          <t>Ветошь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W54" t="n">
        <v>0</v>
      </c>
      <c r="X54" t="n">
        <v>644139035</v>
      </c>
      <c r="Y54">
        <f>AT54</f>
        <v/>
      </c>
      <c r="AA54" t="n">
        <v>114.7</v>
      </c>
      <c r="AB54" t="n">
        <v>0</v>
      </c>
      <c r="AC54" t="n">
        <v>0</v>
      </c>
      <c r="AD54" t="n">
        <v>0</v>
      </c>
      <c r="AE54" t="n">
        <v>1.81</v>
      </c>
      <c r="AF54" t="n">
        <v>0</v>
      </c>
      <c r="AG54" t="n">
        <v>0</v>
      </c>
      <c r="AH54" t="n">
        <v>0</v>
      </c>
      <c r="AI54" t="n">
        <v>63.37</v>
      </c>
      <c r="AJ54" t="n">
        <v>1</v>
      </c>
      <c r="AK54" t="n">
        <v>1</v>
      </c>
      <c r="AL54" t="n">
        <v>1</v>
      </c>
      <c r="AM54" t="n">
        <v>2</v>
      </c>
      <c r="AN54" t="n">
        <v>0</v>
      </c>
      <c r="AO54" t="n">
        <v>1</v>
      </c>
      <c r="AP54" t="n">
        <v>0</v>
      </c>
      <c r="AQ54" t="n">
        <v>0</v>
      </c>
      <c r="AR54" t="n">
        <v>0</v>
      </c>
      <c r="AS54" t="inlineStr"/>
      <c r="AT54" t="n">
        <v>0.31</v>
      </c>
      <c r="AU54" t="inlineStr"/>
      <c r="AV54" t="n">
        <v>0</v>
      </c>
      <c r="AW54" t="n">
        <v>2</v>
      </c>
      <c r="AX54" t="n">
        <v>78869412</v>
      </c>
      <c r="AY54" t="n">
        <v>1</v>
      </c>
      <c r="AZ54" t="n">
        <v>0</v>
      </c>
      <c r="BA54" t="n">
        <v>51</v>
      </c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ROUND(Y54*Source!I77,7)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ROW(Source!A77)</f>
        <v/>
      </c>
      <c r="B55" t="n">
        <v>78869116</v>
      </c>
      <c r="C55" t="n">
        <v>78869406</v>
      </c>
      <c r="D55" t="n">
        <v>29110233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101-3512</t>
        </is>
      </c>
      <c r="J55" t="inlineStr">
        <is>
          <t>ТССЦ Московской обл., 101-3512, приказ Минстроя России №675/пр от 28.02.2017 № 254/пр</t>
        </is>
      </c>
      <c r="K55" t="inlineStr">
        <is>
          <t>Краска акриловая ВД-АК 2180, ВГТ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W55" t="n">
        <v>0</v>
      </c>
      <c r="X55" t="n">
        <v>2076838230</v>
      </c>
      <c r="Y55">
        <f>AT55</f>
        <v/>
      </c>
      <c r="AA55" t="n">
        <v>65638.67</v>
      </c>
      <c r="AB55" t="n">
        <v>0</v>
      </c>
      <c r="AC55" t="n">
        <v>0</v>
      </c>
      <c r="AD55" t="n">
        <v>0</v>
      </c>
      <c r="AE55" t="n">
        <v>4615.94</v>
      </c>
      <c r="AF55" t="n">
        <v>0</v>
      </c>
      <c r="AG55" t="n">
        <v>0</v>
      </c>
      <c r="AH55" t="n">
        <v>0</v>
      </c>
      <c r="AI55" t="n">
        <v>14.22</v>
      </c>
      <c r="AJ55" t="n">
        <v>1</v>
      </c>
      <c r="AK55" t="n">
        <v>1</v>
      </c>
      <c r="AL55" t="n">
        <v>1</v>
      </c>
      <c r="AM55" t="n">
        <v>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0.03</v>
      </c>
      <c r="AU55" t="inlineStr"/>
      <c r="AV55" t="n">
        <v>0</v>
      </c>
      <c r="AW55" t="n">
        <v>2</v>
      </c>
      <c r="AX55" t="n">
        <v>78869413</v>
      </c>
      <c r="AY55" t="n">
        <v>1</v>
      </c>
      <c r="AZ55" t="n">
        <v>0</v>
      </c>
      <c r="BA55" t="n">
        <v>52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V55" t="n">
        <v>0</v>
      </c>
      <c r="CW55" t="n">
        <v>0</v>
      </c>
      <c r="CX55">
        <f>ROUND(Y55*Source!I77,7)</f>
        <v/>
      </c>
      <c r="CY55">
        <f>AA55</f>
        <v/>
      </c>
      <c r="CZ55">
        <f>AE55</f>
        <v/>
      </c>
      <c r="DA55">
        <f>AI55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ROUND(ROUND(AE55*AI55,0)*CX55,0)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DF55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ROW(Source!A77)</f>
        <v/>
      </c>
      <c r="B56" t="n">
        <v>78869116</v>
      </c>
      <c r="C56" t="n">
        <v>78869406</v>
      </c>
      <c r="D56" t="n">
        <v>29109784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101-3585</t>
        </is>
      </c>
      <c r="J56" t="inlineStr">
        <is>
          <t>ТССЦ Московской обл., 101-3585, приказ Минстроя России №675/пр от 28.02.2017 № 254/пр</t>
        </is>
      </c>
      <c r="K56" t="inlineStr">
        <is>
          <t>Шпатлевка водно-дисперсионная</t>
        </is>
      </c>
      <c r="L56" t="n">
        <v>1348</v>
      </c>
      <c r="N56" t="n">
        <v>1009</v>
      </c>
      <c r="O56" t="inlineStr">
        <is>
          <t>т</t>
        </is>
      </c>
      <c r="P56" t="inlineStr">
        <is>
          <t>т</t>
        </is>
      </c>
      <c r="Q56" t="n">
        <v>1000</v>
      </c>
      <c r="W56" t="n">
        <v>0</v>
      </c>
      <c r="X56" t="n">
        <v>1268898367</v>
      </c>
      <c r="Y56">
        <f>AT56</f>
        <v/>
      </c>
      <c r="AA56" t="n">
        <v>109136.53</v>
      </c>
      <c r="AB56" t="n">
        <v>0</v>
      </c>
      <c r="AC56" t="n">
        <v>0</v>
      </c>
      <c r="AD56" t="n">
        <v>0</v>
      </c>
      <c r="AE56" t="n">
        <v>11927.49</v>
      </c>
      <c r="AF56" t="n">
        <v>0</v>
      </c>
      <c r="AG56" t="n">
        <v>0</v>
      </c>
      <c r="AH56" t="n">
        <v>0</v>
      </c>
      <c r="AI56" t="n">
        <v>9.15</v>
      </c>
      <c r="AJ56" t="n">
        <v>1</v>
      </c>
      <c r="AK56" t="n">
        <v>1</v>
      </c>
      <c r="AL56" t="n">
        <v>1</v>
      </c>
      <c r="AM56" t="n">
        <v>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0.051</v>
      </c>
      <c r="AU56" t="inlineStr"/>
      <c r="AV56" t="n">
        <v>0</v>
      </c>
      <c r="AW56" t="n">
        <v>2</v>
      </c>
      <c r="AX56" t="n">
        <v>78869414</v>
      </c>
      <c r="AY56" t="n">
        <v>1</v>
      </c>
      <c r="AZ56" t="n">
        <v>0</v>
      </c>
      <c r="BA56" t="n">
        <v>53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ROUND(Y56*Source!I77,7)</f>
        <v/>
      </c>
      <c r="CY56">
        <f>AA56</f>
        <v/>
      </c>
      <c r="CZ56">
        <f>AE56</f>
        <v/>
      </c>
      <c r="DA56">
        <f>AI56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ROUND(ROUND(AE56*AI56,0)*CX56,0)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DF56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ROW(Source!A77)</f>
        <v/>
      </c>
      <c r="B57" t="n">
        <v>78869116</v>
      </c>
      <c r="C57" t="n">
        <v>78869406</v>
      </c>
      <c r="D57" t="n">
        <v>29109298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101-4163</t>
        </is>
      </c>
      <c r="J57" t="inlineStr">
        <is>
          <t>ТССЦ Московской обл., 101-4163, приказ Минстроя России №675/пр от 28.02.2017 № 254/пр</t>
        </is>
      </c>
      <c r="K57" t="inlineStr">
        <is>
          <t>Грунтовка акриловая НОРТЕКС-ГРУНТ</t>
        </is>
      </c>
      <c r="L57" t="n">
        <v>1346</v>
      </c>
      <c r="N57" t="n">
        <v>1009</v>
      </c>
      <c r="O57" t="inlineStr">
        <is>
          <t>кг</t>
        </is>
      </c>
      <c r="P57" t="inlineStr">
        <is>
          <t>кг</t>
        </is>
      </c>
      <c r="Q57" t="n">
        <v>1</v>
      </c>
      <c r="W57" t="n">
        <v>0</v>
      </c>
      <c r="X57" t="n">
        <v>-1042179355</v>
      </c>
      <c r="Y57">
        <f>AT57</f>
        <v/>
      </c>
      <c r="AA57" t="n">
        <v>162.98</v>
      </c>
      <c r="AB57" t="n">
        <v>0</v>
      </c>
      <c r="AC57" t="n">
        <v>0</v>
      </c>
      <c r="AD57" t="n">
        <v>0</v>
      </c>
      <c r="AE57" t="n">
        <v>15.26</v>
      </c>
      <c r="AF57" t="n">
        <v>0</v>
      </c>
      <c r="AG57" t="n">
        <v>0</v>
      </c>
      <c r="AH57" t="n">
        <v>0</v>
      </c>
      <c r="AI57" t="n">
        <v>10.68</v>
      </c>
      <c r="AJ57" t="n">
        <v>1</v>
      </c>
      <c r="AK57" t="n">
        <v>1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20</v>
      </c>
      <c r="AU57" t="inlineStr"/>
      <c r="AV57" t="n">
        <v>0</v>
      </c>
      <c r="AW57" t="n">
        <v>2</v>
      </c>
      <c r="AX57" t="n">
        <v>78869415</v>
      </c>
      <c r="AY57" t="n">
        <v>1</v>
      </c>
      <c r="AZ57" t="n">
        <v>0</v>
      </c>
      <c r="BA57" t="n">
        <v>54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 t="n">
        <v>0</v>
      </c>
      <c r="CX57">
        <f>ROUND(Y57*Source!I77,7)</f>
        <v/>
      </c>
      <c r="CY57">
        <f>AA57</f>
        <v/>
      </c>
      <c r="CZ57">
        <f>AE57</f>
        <v/>
      </c>
      <c r="DA57">
        <f>AI57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ROUND(ROUND(AE57*AI57,0)*CX57,0)</f>
        <v/>
      </c>
      <c r="DG57">
        <f>ROUND(ROUND(AF57,0)*CX57,0)</f>
        <v/>
      </c>
      <c r="DH57">
        <f>ROUND(ROUND(AG57,0)*CX57,0)</f>
        <v/>
      </c>
      <c r="DI57">
        <f>ROUND(ROUND(AH57,0)*CX57,0)</f>
        <v/>
      </c>
      <c r="DJ57">
        <f>DF57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ROW(Source!A78)</f>
        <v/>
      </c>
      <c r="B58" t="n">
        <v>78869116</v>
      </c>
      <c r="C58" t="n">
        <v>78869416</v>
      </c>
      <c r="D58" t="n">
        <v>18442827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1-1053-90</t>
        </is>
      </c>
      <c r="J58" t="inlineStr"/>
      <c r="K58" t="inlineStr">
        <is>
          <t>Рабочий строитель среднего разряда 5,3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W58" t="n">
        <v>0</v>
      </c>
      <c r="X58" t="n">
        <v>717490484</v>
      </c>
      <c r="Y58">
        <f>(AT58*ROUND(5,7))</f>
        <v/>
      </c>
      <c r="AA58" t="n">
        <v>0</v>
      </c>
      <c r="AB58" t="n">
        <v>0</v>
      </c>
      <c r="AC58" t="n">
        <v>0</v>
      </c>
      <c r="AD58" t="n">
        <v>11.64</v>
      </c>
      <c r="AE58" t="n">
        <v>0</v>
      </c>
      <c r="AF58" t="n">
        <v>0</v>
      </c>
      <c r="AG58" t="n">
        <v>0</v>
      </c>
      <c r="AH58" t="n">
        <v>11.64</v>
      </c>
      <c r="AI58" t="n">
        <v>1</v>
      </c>
      <c r="AJ58" t="n">
        <v>1</v>
      </c>
      <c r="AK58" t="n">
        <v>1</v>
      </c>
      <c r="AL58" t="n">
        <v>1</v>
      </c>
      <c r="AM58" t="n">
        <v>-2</v>
      </c>
      <c r="AN58" t="n">
        <v>0</v>
      </c>
      <c r="AO58" t="n">
        <v>1</v>
      </c>
      <c r="AP58" t="n">
        <v>1</v>
      </c>
      <c r="AQ58" t="n">
        <v>0</v>
      </c>
      <c r="AR58" t="n">
        <v>0</v>
      </c>
      <c r="AS58" t="inlineStr"/>
      <c r="AT58" t="n">
        <v>5.01</v>
      </c>
      <c r="AU58" t="inlineStr">
        <is>
          <t>)*5</t>
        </is>
      </c>
      <c r="AV58" t="n">
        <v>1</v>
      </c>
      <c r="AW58" t="n">
        <v>2</v>
      </c>
      <c r="AX58" t="n">
        <v>78869423</v>
      </c>
      <c r="AY58" t="n">
        <v>1</v>
      </c>
      <c r="AZ58" t="n">
        <v>2048</v>
      </c>
      <c r="BA58" t="n">
        <v>55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U58">
        <f>ROUND(AT58*Source!I78*AH58*AL58,0)</f>
        <v/>
      </c>
      <c r="CV58">
        <f>ROUND(Y58*Source!I78,7)</f>
        <v/>
      </c>
      <c r="CW58" t="n">
        <v>0</v>
      </c>
      <c r="CX58">
        <f>ROUND(Y58*Source!I78,7)</f>
        <v/>
      </c>
      <c r="CY58">
        <f>AD58</f>
        <v/>
      </c>
      <c r="CZ58">
        <f>AH58</f>
        <v/>
      </c>
      <c r="DA58">
        <f>AL58</f>
        <v/>
      </c>
      <c r="DB58">
        <f>ROUND((ROUND(AT58*CZ58,2)*ROUND(5,7)),2)</f>
        <v/>
      </c>
      <c r="DC58">
        <f>ROUND((ROUND(AT58*AG58,2)*ROUND(5,7)),2)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DI58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ROW(Source!A78)</f>
        <v/>
      </c>
      <c r="B59" t="n">
        <v>78869116</v>
      </c>
      <c r="C59" t="n">
        <v>78869416</v>
      </c>
      <c r="D59" t="n">
        <v>29172703</v>
      </c>
      <c r="E59" t="n">
        <v>1</v>
      </c>
      <c r="F59" t="n">
        <v>1</v>
      </c>
      <c r="G59" t="n">
        <v>1</v>
      </c>
      <c r="H59" t="n">
        <v>2</v>
      </c>
      <c r="I59" t="inlineStr">
        <is>
          <t>042900</t>
        </is>
      </c>
      <c r="J59" t="inlineStr">
        <is>
          <t>ТСЭМ Московской обл., 042900, приказ Минстроя России №675/пр от 28.02.2017 № 264/пр</t>
        </is>
      </c>
      <c r="K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9" t="n">
        <v>1368</v>
      </c>
      <c r="N59" t="n">
        <v>1011</v>
      </c>
      <c r="O59" t="inlineStr">
        <is>
          <t>маш.-ч</t>
        </is>
      </c>
      <c r="P59" t="inlineStr">
        <is>
          <t>маш.-ч</t>
        </is>
      </c>
      <c r="Q59" t="n">
        <v>1</v>
      </c>
      <c r="W59" t="n">
        <v>0</v>
      </c>
      <c r="X59" t="n">
        <v>1695838894</v>
      </c>
      <c r="Y59">
        <f>(AT59*ROUND(5,7))</f>
        <v/>
      </c>
      <c r="AA59" t="n">
        <v>0</v>
      </c>
      <c r="AB59" t="n">
        <v>177.13</v>
      </c>
      <c r="AC59" t="n">
        <v>0</v>
      </c>
      <c r="AD59" t="n">
        <v>0</v>
      </c>
      <c r="AE59" t="n">
        <v>0</v>
      </c>
      <c r="AF59" t="n">
        <v>29.67</v>
      </c>
      <c r="AG59" t="n">
        <v>0</v>
      </c>
      <c r="AH59" t="n">
        <v>0</v>
      </c>
      <c r="AI59" t="n">
        <v>1</v>
      </c>
      <c r="AJ59" t="n">
        <v>5.97</v>
      </c>
      <c r="AK59" t="n">
        <v>52.25</v>
      </c>
      <c r="AL59" t="n">
        <v>1</v>
      </c>
      <c r="AM59" t="n">
        <v>2</v>
      </c>
      <c r="AN59" t="n">
        <v>0</v>
      </c>
      <c r="AO59" t="n">
        <v>1</v>
      </c>
      <c r="AP59" t="n">
        <v>1</v>
      </c>
      <c r="AQ59" t="n">
        <v>0</v>
      </c>
      <c r="AR59" t="n">
        <v>0</v>
      </c>
      <c r="AS59" t="inlineStr"/>
      <c r="AT59" t="n">
        <v>1.5</v>
      </c>
      <c r="AU59" t="inlineStr">
        <is>
          <t>)*5</t>
        </is>
      </c>
      <c r="AV59" t="n">
        <v>0</v>
      </c>
      <c r="AW59" t="n">
        <v>2</v>
      </c>
      <c r="AX59" t="n">
        <v>78869424</v>
      </c>
      <c r="AY59" t="n">
        <v>1</v>
      </c>
      <c r="AZ59" t="n">
        <v>0</v>
      </c>
      <c r="BA59" t="n">
        <v>56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V59" t="n">
        <v>0</v>
      </c>
      <c r="CW59">
        <f>ROUND(Y59*Source!I78*DO59,7)</f>
        <v/>
      </c>
      <c r="CX59">
        <f>ROUND(Y59*Source!I78,7)</f>
        <v/>
      </c>
      <c r="CY59">
        <f>AB59</f>
        <v/>
      </c>
      <c r="CZ59">
        <f>AF59</f>
        <v/>
      </c>
      <c r="DA59">
        <f>AJ59</f>
        <v/>
      </c>
      <c r="DB59">
        <f>ROUND((ROUND(AT59*CZ59,2)*ROUND(5,7)),2)</f>
        <v/>
      </c>
      <c r="DC59">
        <f>ROUND((ROUND(AT59*AG59,2)*ROUND(5,7)),2)</f>
        <v/>
      </c>
      <c r="DD59" t="inlineStr"/>
      <c r="DE59" t="inlineStr"/>
      <c r="DF59">
        <f>ROUND(ROUND(AE59,0)*CX59,0)</f>
        <v/>
      </c>
      <c r="DG59">
        <f>ROUND(ROUND(AF59*AJ59,0)*CX59,0)</f>
        <v/>
      </c>
      <c r="DH59">
        <f>ROUND(ROUND(AG59*AK59,0)*CX59,0)</f>
        <v/>
      </c>
      <c r="DI59">
        <f>ROUND(ROUND(AH59,0)*CX59,0)</f>
        <v/>
      </c>
      <c r="DJ59">
        <f>DG59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ROW(Source!A78)</f>
        <v/>
      </c>
      <c r="B60" t="n">
        <v>78869116</v>
      </c>
      <c r="C60" t="n">
        <v>78869416</v>
      </c>
      <c r="D60" t="n">
        <v>29110398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101-0388</t>
        </is>
      </c>
      <c r="J60" t="inlineStr">
        <is>
          <t>ТССЦ Московской обл., 101-0388, приказ Минстроя России №675/пр от 28.02.2017 № 254/пр</t>
        </is>
      </c>
      <c r="K60" t="inlineStr">
        <is>
          <t>Краски масляные земляные марки МА-0115 мумия, сурик железный</t>
        </is>
      </c>
      <c r="L60" t="n">
        <v>1348</v>
      </c>
      <c r="N60" t="n">
        <v>1009</v>
      </c>
      <c r="O60" t="inlineStr">
        <is>
          <t>т</t>
        </is>
      </c>
      <c r="P60" t="inlineStr">
        <is>
          <t>т</t>
        </is>
      </c>
      <c r="Q60" t="n">
        <v>1000</v>
      </c>
      <c r="W60" t="n">
        <v>0</v>
      </c>
      <c r="X60" t="n">
        <v>1625292450</v>
      </c>
      <c r="Y60">
        <f>(AT60*ROUND(5,7))</f>
        <v/>
      </c>
      <c r="AA60" t="n">
        <v>76804.47</v>
      </c>
      <c r="AB60" t="n">
        <v>0</v>
      </c>
      <c r="AC60" t="n">
        <v>0</v>
      </c>
      <c r="AD60" t="n">
        <v>0</v>
      </c>
      <c r="AE60" t="n">
        <v>15118.99</v>
      </c>
      <c r="AF60" t="n">
        <v>0</v>
      </c>
      <c r="AG60" t="n">
        <v>0</v>
      </c>
      <c r="AH60" t="n">
        <v>0</v>
      </c>
      <c r="AI60" t="n">
        <v>5.08</v>
      </c>
      <c r="AJ60" t="n">
        <v>1</v>
      </c>
      <c r="AK60" t="n">
        <v>1</v>
      </c>
      <c r="AL60" t="n">
        <v>1</v>
      </c>
      <c r="AM60" t="n">
        <v>2</v>
      </c>
      <c r="AN60" t="n">
        <v>0</v>
      </c>
      <c r="AO60" t="n">
        <v>1</v>
      </c>
      <c r="AP60" t="n">
        <v>1</v>
      </c>
      <c r="AQ60" t="n">
        <v>0</v>
      </c>
      <c r="AR60" t="n">
        <v>0</v>
      </c>
      <c r="AS60" t="inlineStr"/>
      <c r="AT60" t="n">
        <v>5e-05</v>
      </c>
      <c r="AU60" t="inlineStr">
        <is>
          <t>)*5</t>
        </is>
      </c>
      <c r="AV60" t="n">
        <v>0</v>
      </c>
      <c r="AW60" t="n">
        <v>2</v>
      </c>
      <c r="AX60" t="n">
        <v>78869425</v>
      </c>
      <c r="AY60" t="n">
        <v>1</v>
      </c>
      <c r="AZ60" t="n">
        <v>0</v>
      </c>
      <c r="BA60" t="n">
        <v>57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ROUND(Y60*Source!I78,7)</f>
        <v/>
      </c>
      <c r="CY60">
        <f>AA60</f>
        <v/>
      </c>
      <c r="CZ60">
        <f>AE60</f>
        <v/>
      </c>
      <c r="DA60">
        <f>AI60</f>
        <v/>
      </c>
      <c r="DB60">
        <f>ROUND((ROUND(AT60*CZ60,2)*ROUND(5,7)),2)</f>
        <v/>
      </c>
      <c r="DC60">
        <f>ROUND((ROUND(AT60*AG60,2)*ROUND(5,7)),2)</f>
        <v/>
      </c>
      <c r="DD60" t="inlineStr"/>
      <c r="DE60" t="inlineStr"/>
      <c r="DF60">
        <f>ROUND(ROUND(AE60*AI60,0)*CX60,0)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DF60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ROW(Source!A78)</f>
        <v/>
      </c>
      <c r="B61" t="n">
        <v>78869116</v>
      </c>
      <c r="C61" t="n">
        <v>78869416</v>
      </c>
      <c r="D61" t="n">
        <v>29110573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101-0628</t>
        </is>
      </c>
      <c r="J61" t="inlineStr">
        <is>
          <t>ТССЦ Московской обл., 101-0628, приказ Минстроя России №675/пр от 28.02.2017 № 254/пр</t>
        </is>
      </c>
      <c r="K61" t="inlineStr">
        <is>
          <t>Олифа комбинированная, марки К-3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W61" t="n">
        <v>0</v>
      </c>
      <c r="X61" t="n">
        <v>24062879</v>
      </c>
      <c r="Y61">
        <f>(AT61*ROUND(5,7))</f>
        <v/>
      </c>
      <c r="AA61" t="n">
        <v>87631.5</v>
      </c>
      <c r="AB61" t="n">
        <v>0</v>
      </c>
      <c r="AC61" t="n">
        <v>0</v>
      </c>
      <c r="AD61" t="n">
        <v>0</v>
      </c>
      <c r="AE61" t="n">
        <v>16950</v>
      </c>
      <c r="AF61" t="n">
        <v>0</v>
      </c>
      <c r="AG61" t="n">
        <v>0</v>
      </c>
      <c r="AH61" t="n">
        <v>0</v>
      </c>
      <c r="AI61" t="n">
        <v>5.17</v>
      </c>
      <c r="AJ61" t="n">
        <v>1</v>
      </c>
      <c r="AK61" t="n">
        <v>1</v>
      </c>
      <c r="AL61" t="n">
        <v>1</v>
      </c>
      <c r="AM61" t="n">
        <v>2</v>
      </c>
      <c r="AN61" t="n">
        <v>0</v>
      </c>
      <c r="AO61" t="n">
        <v>1</v>
      </c>
      <c r="AP61" t="n">
        <v>1</v>
      </c>
      <c r="AQ61" t="n">
        <v>0</v>
      </c>
      <c r="AR61" t="n">
        <v>0</v>
      </c>
      <c r="AS61" t="inlineStr"/>
      <c r="AT61" t="n">
        <v>2e-05</v>
      </c>
      <c r="AU61" t="inlineStr">
        <is>
          <t>)*5</t>
        </is>
      </c>
      <c r="AV61" t="n">
        <v>0</v>
      </c>
      <c r="AW61" t="n">
        <v>2</v>
      </c>
      <c r="AX61" t="n">
        <v>78869426</v>
      </c>
      <c r="AY61" t="n">
        <v>1</v>
      </c>
      <c r="AZ61" t="n">
        <v>0</v>
      </c>
      <c r="BA61" t="n">
        <v>58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 t="n">
        <v>0</v>
      </c>
      <c r="CX61">
        <f>ROUND(Y61*Source!I78,7)</f>
        <v/>
      </c>
      <c r="CY61">
        <f>AA61</f>
        <v/>
      </c>
      <c r="CZ61">
        <f>AE61</f>
        <v/>
      </c>
      <c r="DA61">
        <f>AI61</f>
        <v/>
      </c>
      <c r="DB61">
        <f>ROUND((ROUND(AT61*CZ61,2)*ROUND(5,7)),2)</f>
        <v/>
      </c>
      <c r="DC61">
        <f>ROUND((ROUND(AT61*AG61,2)*ROUND(5,7)),2)</f>
        <v/>
      </c>
      <c r="DD61" t="inlineStr"/>
      <c r="DE61" t="inlineStr"/>
      <c r="DF61">
        <f>ROUND(ROUND(AE61*AI61,0)*CX61,0)</f>
        <v/>
      </c>
      <c r="DG61">
        <f>ROUND(ROUND(AF61,0)*CX61,0)</f>
        <v/>
      </c>
      <c r="DH61">
        <f>ROUND(ROUND(AG61,0)*CX61,0)</f>
        <v/>
      </c>
      <c r="DI61">
        <f>ROUND(ROUND(AH61,0)*CX61,0)</f>
        <v/>
      </c>
      <c r="DJ61">
        <f>DF61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ROW(Source!A78)</f>
        <v/>
      </c>
      <c r="B62" t="n">
        <v>78869116</v>
      </c>
      <c r="C62" t="n">
        <v>78869416</v>
      </c>
      <c r="D62" t="n">
        <v>29107963</v>
      </c>
      <c r="E62" t="n">
        <v>1</v>
      </c>
      <c r="F62" t="n">
        <v>1</v>
      </c>
      <c r="G62" t="n">
        <v>1</v>
      </c>
      <c r="H62" t="n">
        <v>3</v>
      </c>
      <c r="I62" t="inlineStr">
        <is>
          <t>101-1669</t>
        </is>
      </c>
      <c r="J62" t="inlineStr">
        <is>
          <t>ТССЦ Московской обл., 101-1669, приказ Минстроя России №675/пр от 28.02.2017 № 254/пр</t>
        </is>
      </c>
      <c r="K62" t="inlineStr">
        <is>
          <t>Очес льняной</t>
        </is>
      </c>
      <c r="L62" t="n">
        <v>1346</v>
      </c>
      <c r="N62" t="n">
        <v>1009</v>
      </c>
      <c r="O62" t="inlineStr">
        <is>
          <t>кг</t>
        </is>
      </c>
      <c r="P62" t="inlineStr">
        <is>
          <t>кг</t>
        </is>
      </c>
      <c r="Q62" t="n">
        <v>1</v>
      </c>
      <c r="W62" t="n">
        <v>0</v>
      </c>
      <c r="X62" t="n">
        <v>-2113933962</v>
      </c>
      <c r="Y62">
        <f>(AT62*ROUND(5,7))</f>
        <v/>
      </c>
      <c r="AA62" t="n">
        <v>590.67</v>
      </c>
      <c r="AB62" t="n">
        <v>0</v>
      </c>
      <c r="AC62" t="n">
        <v>0</v>
      </c>
      <c r="AD62" t="n">
        <v>0</v>
      </c>
      <c r="AE62" t="n">
        <v>37.29</v>
      </c>
      <c r="AF62" t="n">
        <v>0</v>
      </c>
      <c r="AG62" t="n">
        <v>0</v>
      </c>
      <c r="AH62" t="n">
        <v>0</v>
      </c>
      <c r="AI62" t="n">
        <v>15.84</v>
      </c>
      <c r="AJ62" t="n">
        <v>1</v>
      </c>
      <c r="AK62" t="n">
        <v>1</v>
      </c>
      <c r="AL62" t="n">
        <v>1</v>
      </c>
      <c r="AM62" t="n">
        <v>2</v>
      </c>
      <c r="AN62" t="n">
        <v>0</v>
      </c>
      <c r="AO62" t="n">
        <v>1</v>
      </c>
      <c r="AP62" t="n">
        <v>1</v>
      </c>
      <c r="AQ62" t="n">
        <v>0</v>
      </c>
      <c r="AR62" t="n">
        <v>0</v>
      </c>
      <c r="AS62" t="inlineStr"/>
      <c r="AT62" t="n">
        <v>0.02</v>
      </c>
      <c r="AU62" t="inlineStr">
        <is>
          <t>)*5</t>
        </is>
      </c>
      <c r="AV62" t="n">
        <v>0</v>
      </c>
      <c r="AW62" t="n">
        <v>2</v>
      </c>
      <c r="AX62" t="n">
        <v>78869427</v>
      </c>
      <c r="AY62" t="n">
        <v>1</v>
      </c>
      <c r="AZ62" t="n">
        <v>0</v>
      </c>
      <c r="BA62" t="n">
        <v>59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 t="n">
        <v>0</v>
      </c>
      <c r="CX62">
        <f>ROUND(Y62*Source!I78,7)</f>
        <v/>
      </c>
      <c r="CY62">
        <f>AA62</f>
        <v/>
      </c>
      <c r="CZ62">
        <f>AE62</f>
        <v/>
      </c>
      <c r="DA62">
        <f>AI62</f>
        <v/>
      </c>
      <c r="DB62">
        <f>ROUND((ROUND(AT62*CZ62,2)*ROUND(5,7)),2)</f>
        <v/>
      </c>
      <c r="DC62">
        <f>ROUND((ROUND(AT62*AG62,2)*ROUND(5,7)),2)</f>
        <v/>
      </c>
      <c r="DD62" t="inlineStr"/>
      <c r="DE62" t="inlineStr"/>
      <c r="DF62">
        <f>ROUND(ROUND(AE62*AI62,0)*CX62,0)</f>
        <v/>
      </c>
      <c r="DG62">
        <f>ROUND(ROUND(AF62,0)*CX62,0)</f>
        <v/>
      </c>
      <c r="DH62">
        <f>ROUND(ROUND(AG62,0)*CX62,0)</f>
        <v/>
      </c>
      <c r="DI62">
        <f>ROUND(ROUND(AH62,0)*CX62,0)</f>
        <v/>
      </c>
      <c r="DJ62">
        <f>DF62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ROW(Source!A78)</f>
        <v/>
      </c>
      <c r="B63" t="n">
        <v>78869116</v>
      </c>
      <c r="C63" t="n">
        <v>78869416</v>
      </c>
      <c r="D63" t="n">
        <v>29150040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411-0001</t>
        </is>
      </c>
      <c r="J63" t="inlineStr">
        <is>
          <t>ТССЦ Московской обл., 411-0001, приказ Минстроя России №675/пр от 28.02.2017 № 257/пр</t>
        </is>
      </c>
      <c r="K63" t="inlineStr">
        <is>
          <t>Вода</t>
        </is>
      </c>
      <c r="L63" t="n">
        <v>1339</v>
      </c>
      <c r="N63" t="n">
        <v>1007</v>
      </c>
      <c r="O63" t="inlineStr">
        <is>
          <t>м3</t>
        </is>
      </c>
      <c r="P63" t="inlineStr">
        <is>
          <t>м3</t>
        </is>
      </c>
      <c r="Q63" t="n">
        <v>1</v>
      </c>
      <c r="W63" t="n">
        <v>0</v>
      </c>
      <c r="X63" t="n">
        <v>619799737</v>
      </c>
      <c r="Y63">
        <f>(AT63*ROUND(5,7))</f>
        <v/>
      </c>
      <c r="AA63" t="n">
        <v>31.28</v>
      </c>
      <c r="AB63" t="n">
        <v>0</v>
      </c>
      <c r="AC63" t="n">
        <v>0</v>
      </c>
      <c r="AD63" t="n">
        <v>0</v>
      </c>
      <c r="AE63" t="n">
        <v>2.44</v>
      </c>
      <c r="AF63" t="n">
        <v>0</v>
      </c>
      <c r="AG63" t="n">
        <v>0</v>
      </c>
      <c r="AH63" t="n">
        <v>0</v>
      </c>
      <c r="AI63" t="n">
        <v>12.82</v>
      </c>
      <c r="AJ63" t="n">
        <v>1</v>
      </c>
      <c r="AK63" t="n">
        <v>1</v>
      </c>
      <c r="AL63" t="n">
        <v>1</v>
      </c>
      <c r="AM63" t="n">
        <v>2</v>
      </c>
      <c r="AN63" t="n">
        <v>0</v>
      </c>
      <c r="AO63" t="n">
        <v>1</v>
      </c>
      <c r="AP63" t="n">
        <v>1</v>
      </c>
      <c r="AQ63" t="n">
        <v>0</v>
      </c>
      <c r="AR63" t="n">
        <v>0</v>
      </c>
      <c r="AS63" t="inlineStr"/>
      <c r="AT63" t="n">
        <v>1</v>
      </c>
      <c r="AU63" t="inlineStr">
        <is>
          <t>)*5</t>
        </is>
      </c>
      <c r="AV63" t="n">
        <v>0</v>
      </c>
      <c r="AW63" t="n">
        <v>2</v>
      </c>
      <c r="AX63" t="n">
        <v>78869428</v>
      </c>
      <c r="AY63" t="n">
        <v>1</v>
      </c>
      <c r="AZ63" t="n">
        <v>0</v>
      </c>
      <c r="BA63" t="n">
        <v>60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 t="n">
        <v>0</v>
      </c>
      <c r="CX63">
        <f>ROUND(Y63*Source!I78,7)</f>
        <v/>
      </c>
      <c r="CY63">
        <f>AA63</f>
        <v/>
      </c>
      <c r="CZ63">
        <f>AE63</f>
        <v/>
      </c>
      <c r="DA63">
        <f>AI63</f>
        <v/>
      </c>
      <c r="DB63">
        <f>ROUND((ROUND(AT63*CZ63,2)*ROUND(5,7)),2)</f>
        <v/>
      </c>
      <c r="DC63">
        <f>ROUND((ROUND(AT63*AG63,2)*ROUND(5,7)),2)</f>
        <v/>
      </c>
      <c r="DD63" t="inlineStr"/>
      <c r="DE63" t="inlineStr"/>
      <c r="DF63">
        <f>ROUND(ROUND(AE63*AI63,0)*CX63,0)</f>
        <v/>
      </c>
      <c r="DG63">
        <f>ROUND(ROUND(AF63,0)*CX63,0)</f>
        <v/>
      </c>
      <c r="DH63">
        <f>ROUND(ROUND(AG63,0)*CX63,0)</f>
        <v/>
      </c>
      <c r="DI63">
        <f>ROUND(ROUND(AH63,0)*CX63,0)</f>
        <v/>
      </c>
      <c r="DJ63">
        <f>DF63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ROW(Source!A117)</f>
        <v/>
      </c>
      <c r="B64" t="n">
        <v>78869116</v>
      </c>
      <c r="C64" t="n">
        <v>78869492</v>
      </c>
      <c r="D64" t="n">
        <v>18408291</v>
      </c>
      <c r="E64" t="n">
        <v>1</v>
      </c>
      <c r="F64" t="n">
        <v>1</v>
      </c>
      <c r="G64" t="n">
        <v>1</v>
      </c>
      <c r="H64" t="n">
        <v>1</v>
      </c>
      <c r="I64" t="inlineStr">
        <is>
          <t>1-1025-90</t>
        </is>
      </c>
      <c r="J64" t="inlineStr"/>
      <c r="K64" t="inlineStr">
        <is>
          <t>Рабочий строитель среднего разряда 2,5</t>
        </is>
      </c>
      <c r="L64" t="n">
        <v>1369</v>
      </c>
      <c r="N64" t="n">
        <v>1013</v>
      </c>
      <c r="O64" t="inlineStr">
        <is>
          <t>чел.-ч</t>
        </is>
      </c>
      <c r="P64" t="inlineStr">
        <is>
          <t>чел.-ч</t>
        </is>
      </c>
      <c r="Q64" t="n">
        <v>1</v>
      </c>
      <c r="W64" t="n">
        <v>0</v>
      </c>
      <c r="X64" t="n">
        <v>1933892413</v>
      </c>
      <c r="Y64">
        <f>AT64</f>
        <v/>
      </c>
      <c r="AA64" t="n">
        <v>0</v>
      </c>
      <c r="AB64" t="n">
        <v>0</v>
      </c>
      <c r="AC64" t="n">
        <v>0</v>
      </c>
      <c r="AD64" t="n">
        <v>8.17</v>
      </c>
      <c r="AE64" t="n">
        <v>0</v>
      </c>
      <c r="AF64" t="n">
        <v>0</v>
      </c>
      <c r="AG64" t="n">
        <v>0</v>
      </c>
      <c r="AH64" t="n">
        <v>8.17</v>
      </c>
      <c r="AI64" t="n">
        <v>1</v>
      </c>
      <c r="AJ64" t="n">
        <v>1</v>
      </c>
      <c r="AK64" t="n">
        <v>1</v>
      </c>
      <c r="AL64" t="n">
        <v>1</v>
      </c>
      <c r="AM64" t="n">
        <v>-2</v>
      </c>
      <c r="AN64" t="n">
        <v>0</v>
      </c>
      <c r="AO64" t="n">
        <v>1</v>
      </c>
      <c r="AP64" t="n">
        <v>1</v>
      </c>
      <c r="AQ64" t="n">
        <v>0</v>
      </c>
      <c r="AR64" t="n">
        <v>0</v>
      </c>
      <c r="AS64" t="inlineStr"/>
      <c r="AT64" t="n">
        <v>32.2</v>
      </c>
      <c r="AU64" t="inlineStr"/>
      <c r="AV64" t="n">
        <v>1</v>
      </c>
      <c r="AW64" t="n">
        <v>2</v>
      </c>
      <c r="AX64" t="n">
        <v>78869498</v>
      </c>
      <c r="AY64" t="n">
        <v>1</v>
      </c>
      <c r="AZ64" t="n">
        <v>0</v>
      </c>
      <c r="BA64" t="n">
        <v>61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U64">
        <f>ROUND(AT64*Source!I117*AH64*AL64,0)</f>
        <v/>
      </c>
      <c r="CV64">
        <f>ROUND(Y64*Source!I117,7)</f>
        <v/>
      </c>
      <c r="CW64" t="n">
        <v>0</v>
      </c>
      <c r="CX64">
        <f>ROUND(Y64*Source!I117,7)</f>
        <v/>
      </c>
      <c r="CY64">
        <f>AD64</f>
        <v/>
      </c>
      <c r="CZ64">
        <f>AH64</f>
        <v/>
      </c>
      <c r="DA64">
        <f>AL64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ROUND(ROUND(AF64,0)*CX64,0)</f>
        <v/>
      </c>
      <c r="DH64">
        <f>ROUND(ROUND(AG64,0)*CX64,0)</f>
        <v/>
      </c>
      <c r="DI64">
        <f>ROUND(ROUND(AH64,0)*CX64,0)</f>
        <v/>
      </c>
      <c r="DJ64">
        <f>DI64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ROW(Source!A117)</f>
        <v/>
      </c>
      <c r="B65" t="n">
        <v>78869116</v>
      </c>
      <c r="C65" t="n">
        <v>78869492</v>
      </c>
      <c r="D65" t="n">
        <v>29174913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400001</t>
        </is>
      </c>
      <c r="J65" t="inlineStr">
        <is>
          <t>ТСЭМ Московской обл., 400001, приказ Минстроя России №675/пр от 28.02.2017 № 264/пр</t>
        </is>
      </c>
      <c r="K65" t="inlineStr">
        <is>
          <t>Автомобили бортовые, грузоподъемность до 5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W65" t="n">
        <v>0</v>
      </c>
      <c r="X65" t="n">
        <v>1230759911</v>
      </c>
      <c r="Y65">
        <f>AT65</f>
        <v/>
      </c>
      <c r="AA65" t="n">
        <v>0</v>
      </c>
      <c r="AB65" t="n">
        <v>2177.51</v>
      </c>
      <c r="AC65" t="n">
        <v>606.1</v>
      </c>
      <c r="AD65" t="n">
        <v>0</v>
      </c>
      <c r="AE65" t="n">
        <v>0</v>
      </c>
      <c r="AF65" t="n">
        <v>87.17</v>
      </c>
      <c r="AG65" t="n">
        <v>11.6</v>
      </c>
      <c r="AH65" t="n">
        <v>0</v>
      </c>
      <c r="AI65" t="n">
        <v>1</v>
      </c>
      <c r="AJ65" t="n">
        <v>24.98</v>
      </c>
      <c r="AK65" t="n">
        <v>52.25</v>
      </c>
      <c r="AL65" t="n">
        <v>1</v>
      </c>
      <c r="AM65" t="n">
        <v>2</v>
      </c>
      <c r="AN65" t="n">
        <v>0</v>
      </c>
      <c r="AO65" t="n">
        <v>1</v>
      </c>
      <c r="AP65" t="n">
        <v>1</v>
      </c>
      <c r="AQ65" t="n">
        <v>0</v>
      </c>
      <c r="AR65" t="n">
        <v>0</v>
      </c>
      <c r="AS65" t="inlineStr"/>
      <c r="AT65" t="n">
        <v>0.01</v>
      </c>
      <c r="AU65" t="inlineStr"/>
      <c r="AV65" t="n">
        <v>0</v>
      </c>
      <c r="AW65" t="n">
        <v>2</v>
      </c>
      <c r="AX65" t="n">
        <v>78869499</v>
      </c>
      <c r="AY65" t="n">
        <v>1</v>
      </c>
      <c r="AZ65" t="n">
        <v>0</v>
      </c>
      <c r="BA65" t="n">
        <v>62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>
        <f>ROUND(Y65*Source!I117*DO65,7)</f>
        <v/>
      </c>
      <c r="CX65">
        <f>ROUND(Y65*Source!I117,7)</f>
        <v/>
      </c>
      <c r="CY65">
        <f>AB65</f>
        <v/>
      </c>
      <c r="CZ65">
        <f>AF65</f>
        <v/>
      </c>
      <c r="DA65">
        <f>AJ65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ROUND(ROUND(AE65,0)*CX65,0)</f>
        <v/>
      </c>
      <c r="DG65">
        <f>ROUND(ROUND(AF65*AJ65,0)*CX65,0)</f>
        <v/>
      </c>
      <c r="DH65">
        <f>ROUND(ROUND(AG65*AK65,0)*CX65,0)</f>
        <v/>
      </c>
      <c r="DI65">
        <f>ROUND(ROUND(AH65,0)*CX65,0)</f>
        <v/>
      </c>
      <c r="DJ65">
        <f>DG65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ROW(Source!A117)</f>
        <v/>
      </c>
      <c r="B66" t="n">
        <v>78869116</v>
      </c>
      <c r="C66" t="n">
        <v>78869492</v>
      </c>
      <c r="D66" t="n">
        <v>29110139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101-1703</t>
        </is>
      </c>
      <c r="J66" t="inlineStr">
        <is>
          <t>ТССЦ Московской обл., 101-1703, приказ Минстроя России №675/пр от 28.02.2017 № 254/пр</t>
        </is>
      </c>
      <c r="K66" t="inlineStr">
        <is>
          <t>Прокладки резиновые (пластина техническая прессованная)</t>
        </is>
      </c>
      <c r="L66" t="n">
        <v>1346</v>
      </c>
      <c r="N66" t="n">
        <v>1009</v>
      </c>
      <c r="O66" t="inlineStr">
        <is>
          <t>кг</t>
        </is>
      </c>
      <c r="P66" t="inlineStr">
        <is>
          <t>кг</t>
        </is>
      </c>
      <c r="Q66" t="n">
        <v>1</v>
      </c>
      <c r="W66" t="n">
        <v>0</v>
      </c>
      <c r="X66" t="n">
        <v>-1947909329</v>
      </c>
      <c r="Y66">
        <f>AT66</f>
        <v/>
      </c>
      <c r="AA66" t="n">
        <v>341.04</v>
      </c>
      <c r="AB66" t="n">
        <v>0</v>
      </c>
      <c r="AC66" t="n">
        <v>0</v>
      </c>
      <c r="AD66" t="n">
        <v>0</v>
      </c>
      <c r="AE66" t="n">
        <v>23.09</v>
      </c>
      <c r="AF66" t="n">
        <v>0</v>
      </c>
      <c r="AG66" t="n">
        <v>0</v>
      </c>
      <c r="AH66" t="n">
        <v>0</v>
      </c>
      <c r="AI66" t="n">
        <v>14.77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1</v>
      </c>
      <c r="AQ66" t="n">
        <v>0</v>
      </c>
      <c r="AR66" t="n">
        <v>0</v>
      </c>
      <c r="AS66" t="inlineStr"/>
      <c r="AT66" t="n">
        <v>2</v>
      </c>
      <c r="AU66" t="inlineStr"/>
      <c r="AV66" t="n">
        <v>0</v>
      </c>
      <c r="AW66" t="n">
        <v>2</v>
      </c>
      <c r="AX66" t="n">
        <v>78869500</v>
      </c>
      <c r="AY66" t="n">
        <v>1</v>
      </c>
      <c r="AZ66" t="n">
        <v>0</v>
      </c>
      <c r="BA66" t="n">
        <v>63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ROUND(Y66*Source!I117,7)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ROW(Source!A117)</f>
        <v/>
      </c>
      <c r="B67" t="n">
        <v>78869116</v>
      </c>
      <c r="C67" t="n">
        <v>78869492</v>
      </c>
      <c r="D67" t="n">
        <v>29114240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101-2576</t>
        </is>
      </c>
      <c r="J67" t="inlineStr">
        <is>
          <t>ТССЦ Московской обл., 101-2576, приказ Минстроя России №675/пр от 28.02.2017 № 254/пр</t>
        </is>
      </c>
      <c r="K67" t="inlineStr">
        <is>
          <t>Болты с гайками и шайбами для санитарно-технических работ диаметром 16 мм</t>
        </is>
      </c>
      <c r="L67" t="n">
        <v>1348</v>
      </c>
      <c r="N67" t="n">
        <v>1009</v>
      </c>
      <c r="O67" t="inlineStr">
        <is>
          <t>т</t>
        </is>
      </c>
      <c r="P67" t="inlineStr">
        <is>
          <t>т</t>
        </is>
      </c>
      <c r="Q67" t="n">
        <v>1000</v>
      </c>
      <c r="W67" t="n">
        <v>0</v>
      </c>
      <c r="X67" t="n">
        <v>-1701539228</v>
      </c>
      <c r="Y67">
        <f>AT67</f>
        <v/>
      </c>
      <c r="AA67" t="n">
        <v>145037.4</v>
      </c>
      <c r="AB67" t="n">
        <v>0</v>
      </c>
      <c r="AC67" t="n">
        <v>0</v>
      </c>
      <c r="AD67" t="n">
        <v>0</v>
      </c>
      <c r="AE67" t="n">
        <v>14830</v>
      </c>
      <c r="AF67" t="n">
        <v>0</v>
      </c>
      <c r="AG67" t="n">
        <v>0</v>
      </c>
      <c r="AH67" t="n">
        <v>0</v>
      </c>
      <c r="AI67" t="n">
        <v>9.779999999999999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1</v>
      </c>
      <c r="AQ67" t="n">
        <v>0</v>
      </c>
      <c r="AR67" t="n">
        <v>0</v>
      </c>
      <c r="AS67" t="inlineStr"/>
      <c r="AT67" t="n">
        <v>0.005</v>
      </c>
      <c r="AU67" t="inlineStr"/>
      <c r="AV67" t="n">
        <v>0</v>
      </c>
      <c r="AW67" t="n">
        <v>2</v>
      </c>
      <c r="AX67" t="n">
        <v>78869501</v>
      </c>
      <c r="AY67" t="n">
        <v>1</v>
      </c>
      <c r="AZ67" t="n">
        <v>0</v>
      </c>
      <c r="BA67" t="n">
        <v>64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ROUND(Y67*Source!I117,7)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ROW(Source!A117)</f>
        <v/>
      </c>
      <c r="B68" t="n">
        <v>78869116</v>
      </c>
      <c r="C68" t="n">
        <v>78869492</v>
      </c>
      <c r="D68" t="n">
        <v>29150040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411-0001</t>
        </is>
      </c>
      <c r="J68" t="inlineStr">
        <is>
          <t>ТССЦ Московской обл., 411-0001, приказ Минстроя России №675/пр от 28.02.2017 № 257/пр</t>
        </is>
      </c>
      <c r="K68" t="inlineStr">
        <is>
          <t>Вода</t>
        </is>
      </c>
      <c r="L68" t="n">
        <v>1339</v>
      </c>
      <c r="N68" t="n">
        <v>1007</v>
      </c>
      <c r="O68" t="inlineStr">
        <is>
          <t>м3</t>
        </is>
      </c>
      <c r="P68" t="inlineStr">
        <is>
          <t>м3</t>
        </is>
      </c>
      <c r="Q68" t="n">
        <v>1</v>
      </c>
      <c r="W68" t="n">
        <v>0</v>
      </c>
      <c r="X68" t="n">
        <v>619799737</v>
      </c>
      <c r="Y68">
        <f>AT68</f>
        <v/>
      </c>
      <c r="AA68" t="n">
        <v>31.28</v>
      </c>
      <c r="AB68" t="n">
        <v>0</v>
      </c>
      <c r="AC68" t="n">
        <v>0</v>
      </c>
      <c r="AD68" t="n">
        <v>0</v>
      </c>
      <c r="AE68" t="n">
        <v>2.44</v>
      </c>
      <c r="AF68" t="n">
        <v>0</v>
      </c>
      <c r="AG68" t="n">
        <v>0</v>
      </c>
      <c r="AH68" t="n">
        <v>0</v>
      </c>
      <c r="AI68" t="n">
        <v>12.82</v>
      </c>
      <c r="AJ68" t="n">
        <v>1</v>
      </c>
      <c r="AK68" t="n">
        <v>1</v>
      </c>
      <c r="AL68" t="n">
        <v>1</v>
      </c>
      <c r="AM68" t="n">
        <v>2</v>
      </c>
      <c r="AN68" t="n">
        <v>0</v>
      </c>
      <c r="AO68" t="n">
        <v>1</v>
      </c>
      <c r="AP68" t="n">
        <v>1</v>
      </c>
      <c r="AQ68" t="n">
        <v>0</v>
      </c>
      <c r="AR68" t="n">
        <v>0</v>
      </c>
      <c r="AS68" t="inlineStr"/>
      <c r="AT68" t="n">
        <v>7.8</v>
      </c>
      <c r="AU68" t="inlineStr"/>
      <c r="AV68" t="n">
        <v>0</v>
      </c>
      <c r="AW68" t="n">
        <v>2</v>
      </c>
      <c r="AX68" t="n">
        <v>78869502</v>
      </c>
      <c r="AY68" t="n">
        <v>1</v>
      </c>
      <c r="AZ68" t="n">
        <v>0</v>
      </c>
      <c r="BA68" t="n">
        <v>65</v>
      </c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ROUND(Y68*Source!I117,7)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ROW(Source!A118)</f>
        <v/>
      </c>
      <c r="B69" t="n">
        <v>78869116</v>
      </c>
      <c r="C69" t="n">
        <v>78869503</v>
      </c>
      <c r="D69" t="n">
        <v>18407150</v>
      </c>
      <c r="E69" t="n">
        <v>1</v>
      </c>
      <c r="F69" t="n">
        <v>1</v>
      </c>
      <c r="G69" t="n">
        <v>1</v>
      </c>
      <c r="H69" t="n">
        <v>1</v>
      </c>
      <c r="I69" t="inlineStr">
        <is>
          <t>1-1030-90</t>
        </is>
      </c>
      <c r="J69" t="inlineStr"/>
      <c r="K69" t="inlineStr">
        <is>
          <t>Рабочий строитель среднего разряда 3</t>
        </is>
      </c>
      <c r="L69" t="n">
        <v>1369</v>
      </c>
      <c r="N69" t="n">
        <v>1013</v>
      </c>
      <c r="O69" t="inlineStr">
        <is>
          <t>чел.-ч</t>
        </is>
      </c>
      <c r="P69" t="inlineStr">
        <is>
          <t>чел.-ч</t>
        </is>
      </c>
      <c r="Q69" t="n">
        <v>1</v>
      </c>
      <c r="W69" t="n">
        <v>0</v>
      </c>
      <c r="X69" t="n">
        <v>-931037793</v>
      </c>
      <c r="Y69">
        <f>AT69</f>
        <v/>
      </c>
      <c r="AA69" t="n">
        <v>0</v>
      </c>
      <c r="AB69" t="n">
        <v>0</v>
      </c>
      <c r="AC69" t="n">
        <v>0</v>
      </c>
      <c r="AD69" t="n">
        <v>8.529999999999999</v>
      </c>
      <c r="AE69" t="n">
        <v>0</v>
      </c>
      <c r="AF69" t="n">
        <v>0</v>
      </c>
      <c r="AG69" t="n">
        <v>0</v>
      </c>
      <c r="AH69" t="n">
        <v>8.529999999999999</v>
      </c>
      <c r="AI69" t="n">
        <v>1</v>
      </c>
      <c r="AJ69" t="n">
        <v>1</v>
      </c>
      <c r="AK69" t="n">
        <v>1</v>
      </c>
      <c r="AL69" t="n">
        <v>1</v>
      </c>
      <c r="AM69" t="n">
        <v>-2</v>
      </c>
      <c r="AN69" t="n">
        <v>0</v>
      </c>
      <c r="AO69" t="n">
        <v>1</v>
      </c>
      <c r="AP69" t="n">
        <v>0</v>
      </c>
      <c r="AQ69" t="n">
        <v>0</v>
      </c>
      <c r="AR69" t="n">
        <v>0</v>
      </c>
      <c r="AS69" t="inlineStr"/>
      <c r="AT69" t="n">
        <v>13.9</v>
      </c>
      <c r="AU69" t="inlineStr"/>
      <c r="AV69" t="n">
        <v>1</v>
      </c>
      <c r="AW69" t="n">
        <v>2</v>
      </c>
      <c r="AX69" t="n">
        <v>78869507</v>
      </c>
      <c r="AY69" t="n">
        <v>1</v>
      </c>
      <c r="AZ69" t="n">
        <v>0</v>
      </c>
      <c r="BA69" t="n">
        <v>66</v>
      </c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U69">
        <f>ROUND(AT69*Source!I118*AH69*AL69,0)</f>
        <v/>
      </c>
      <c r="CV69">
        <f>ROUND(Y69*Source!I118,7)</f>
        <v/>
      </c>
      <c r="CW69" t="n">
        <v>0</v>
      </c>
      <c r="CX69">
        <f>ROUND(Y69*Source!I118,7)</f>
        <v/>
      </c>
      <c r="CY69">
        <f>AD69</f>
        <v/>
      </c>
      <c r="CZ69">
        <f>AH69</f>
        <v/>
      </c>
      <c r="DA69">
        <f>AL69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DI69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ROW(Source!A118)</f>
        <v/>
      </c>
      <c r="B70" t="n">
        <v>78869116</v>
      </c>
      <c r="C70" t="n">
        <v>78869503</v>
      </c>
      <c r="D70" t="n">
        <v>29169821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509-0696</t>
        </is>
      </c>
      <c r="J70" t="inlineStr">
        <is>
          <t>ТССЦ Московской обл., 509-0696, приказ Минстроя России №675/пр от 28.02.2017 № 258/пр</t>
        </is>
      </c>
      <c r="K70" t="inlineStr">
        <is>
          <t>Лампы люминесцентные ртутные низкого давления типа ЛБ, ЛД, ЛДЦ, ЛТВ, ЛБХ 20</t>
        </is>
      </c>
      <c r="L70" t="n">
        <v>1358</v>
      </c>
      <c r="N70" t="n">
        <v>1010</v>
      </c>
      <c r="O70" t="inlineStr">
        <is>
          <t>10 шт.</t>
        </is>
      </c>
      <c r="P70" t="inlineStr">
        <is>
          <t>10 шт.</t>
        </is>
      </c>
      <c r="Q70" t="n">
        <v>10</v>
      </c>
      <c r="W70" t="n">
        <v>0</v>
      </c>
      <c r="X70" t="n">
        <v>-1187244712</v>
      </c>
      <c r="Y70">
        <f>AT70</f>
        <v/>
      </c>
      <c r="AA70" t="n">
        <v>352.73</v>
      </c>
      <c r="AB70" t="n">
        <v>0</v>
      </c>
      <c r="AC70" t="n">
        <v>0</v>
      </c>
      <c r="AD70" t="n">
        <v>0</v>
      </c>
      <c r="AE70" t="n">
        <v>85.2</v>
      </c>
      <c r="AF70" t="n">
        <v>0</v>
      </c>
      <c r="AG70" t="n">
        <v>0</v>
      </c>
      <c r="AH70" t="n">
        <v>0</v>
      </c>
      <c r="AI70" t="n">
        <v>4.14</v>
      </c>
      <c r="AJ70" t="n">
        <v>1</v>
      </c>
      <c r="AK70" t="n">
        <v>1</v>
      </c>
      <c r="AL70" t="n">
        <v>1</v>
      </c>
      <c r="AM70" t="n">
        <v>2</v>
      </c>
      <c r="AN70" t="n">
        <v>0</v>
      </c>
      <c r="AO70" t="n">
        <v>1</v>
      </c>
      <c r="AP70" t="n">
        <v>0</v>
      </c>
      <c r="AQ70" t="n">
        <v>0</v>
      </c>
      <c r="AR70" t="n">
        <v>0</v>
      </c>
      <c r="AS70" t="inlineStr"/>
      <c r="AT70" t="n">
        <v>10</v>
      </c>
      <c r="AU70" t="inlineStr"/>
      <c r="AV70" t="n">
        <v>0</v>
      </c>
      <c r="AW70" t="n">
        <v>2</v>
      </c>
      <c r="AX70" t="n">
        <v>78869508</v>
      </c>
      <c r="AY70" t="n">
        <v>1</v>
      </c>
      <c r="AZ70" t="n">
        <v>0</v>
      </c>
      <c r="BA70" t="n">
        <v>67</v>
      </c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ROUND(Y70*Source!I118,7)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ROUND(ROUND(AE70*AI70,0)*CX70,0)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ROW(Source!A118)</f>
        <v/>
      </c>
      <c r="B71" t="n">
        <v>78869116</v>
      </c>
      <c r="C71" t="n">
        <v>78869503</v>
      </c>
      <c r="D71" t="n">
        <v>29169828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509-6744</t>
        </is>
      </c>
      <c r="J71" t="inlineStr">
        <is>
          <t>ТССЦ Московской обл., 509-6744, приказ Минстроя России №675/пр от 28.02.2017 № 258/пр</t>
        </is>
      </c>
      <c r="K71" t="inlineStr">
        <is>
          <t>Лампы люминесцентные компактные энергосберегающие с цоколем Е27 мощностью 55 Вт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W71" t="n">
        <v>0</v>
      </c>
      <c r="X71" t="n">
        <v>-228955380</v>
      </c>
      <c r="Y71">
        <f>AT71</f>
        <v/>
      </c>
      <c r="AA71" t="n">
        <v>237.77</v>
      </c>
      <c r="AB71" t="n">
        <v>0</v>
      </c>
      <c r="AC71" t="n">
        <v>0</v>
      </c>
      <c r="AD71" t="n">
        <v>0</v>
      </c>
      <c r="AE71" t="n">
        <v>140.69</v>
      </c>
      <c r="AF71" t="n">
        <v>0</v>
      </c>
      <c r="AG71" t="n">
        <v>0</v>
      </c>
      <c r="AH71" t="n">
        <v>0</v>
      </c>
      <c r="AI71" t="n">
        <v>1.69</v>
      </c>
      <c r="AJ71" t="n">
        <v>1</v>
      </c>
      <c r="AK71" t="n">
        <v>1</v>
      </c>
      <c r="AL71" t="n">
        <v>1</v>
      </c>
      <c r="AM71" t="n">
        <v>0</v>
      </c>
      <c r="AN71" t="n">
        <v>0</v>
      </c>
      <c r="AO71" t="n">
        <v>0</v>
      </c>
      <c r="AP71" t="n">
        <v>1</v>
      </c>
      <c r="AQ71" t="n">
        <v>0</v>
      </c>
      <c r="AR71" t="n">
        <v>0</v>
      </c>
      <c r="AS71" t="inlineStr"/>
      <c r="AT71" t="n">
        <v>100</v>
      </c>
      <c r="AU71" t="inlineStr"/>
      <c r="AV71" t="n">
        <v>0</v>
      </c>
      <c r="AW71" t="n">
        <v>1</v>
      </c>
      <c r="AX71" t="n">
        <v>-1</v>
      </c>
      <c r="AY71" t="n">
        <v>0</v>
      </c>
      <c r="AZ71" t="n">
        <v>0</v>
      </c>
      <c r="BA71" t="inlineStr"/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V71" t="n">
        <v>0</v>
      </c>
      <c r="CW71" t="n">
        <v>0</v>
      </c>
      <c r="CX71">
        <f>ROUND(Y71*Source!I118,7)</f>
        <v/>
      </c>
      <c r="CY71">
        <f>AA71</f>
        <v/>
      </c>
      <c r="CZ71">
        <f>AE71</f>
        <v/>
      </c>
      <c r="DA71">
        <f>AI71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ROUND(ROUND(AE71*AI71,0)*CX71,0)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DF71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ROW(Source!A120)</f>
        <v/>
      </c>
      <c r="B72" t="n">
        <v>78869116</v>
      </c>
      <c r="C72" t="n">
        <v>78869528</v>
      </c>
      <c r="D72" t="n">
        <v>18442827</v>
      </c>
      <c r="E72" t="n">
        <v>1</v>
      </c>
      <c r="F72" t="n">
        <v>1</v>
      </c>
      <c r="G72" t="n">
        <v>1</v>
      </c>
      <c r="H72" t="n">
        <v>1</v>
      </c>
      <c r="I72" t="inlineStr">
        <is>
          <t>1-1053-90</t>
        </is>
      </c>
      <c r="J72" t="inlineStr"/>
      <c r="K72" t="inlineStr">
        <is>
          <t>Рабочий строитель среднего разряда 5,3</t>
        </is>
      </c>
      <c r="L72" t="n">
        <v>1369</v>
      </c>
      <c r="N72" t="n">
        <v>1013</v>
      </c>
      <c r="O72" t="inlineStr">
        <is>
          <t>чел.-ч</t>
        </is>
      </c>
      <c r="P72" t="inlineStr">
        <is>
          <t>чел.-ч</t>
        </is>
      </c>
      <c r="Q72" t="n">
        <v>1</v>
      </c>
      <c r="W72" t="n">
        <v>0</v>
      </c>
      <c r="X72" t="n">
        <v>717490484</v>
      </c>
      <c r="Y72">
        <f>AT72</f>
        <v/>
      </c>
      <c r="AA72" t="n">
        <v>0</v>
      </c>
      <c r="AB72" t="n">
        <v>0</v>
      </c>
      <c r="AC72" t="n">
        <v>0</v>
      </c>
      <c r="AD72" t="n">
        <v>11.64</v>
      </c>
      <c r="AE72" t="n">
        <v>0</v>
      </c>
      <c r="AF72" t="n">
        <v>0</v>
      </c>
      <c r="AG72" t="n">
        <v>0</v>
      </c>
      <c r="AH72" t="n">
        <v>11.64</v>
      </c>
      <c r="AI72" t="n">
        <v>1</v>
      </c>
      <c r="AJ72" t="n">
        <v>1</v>
      </c>
      <c r="AK72" t="n">
        <v>1</v>
      </c>
      <c r="AL72" t="n">
        <v>1</v>
      </c>
      <c r="AM72" t="n">
        <v>-2</v>
      </c>
      <c r="AN72" t="n">
        <v>0</v>
      </c>
      <c r="AO72" t="n">
        <v>1</v>
      </c>
      <c r="AP72" t="n">
        <v>0</v>
      </c>
      <c r="AQ72" t="n">
        <v>0</v>
      </c>
      <c r="AR72" t="n">
        <v>0</v>
      </c>
      <c r="AS72" t="inlineStr"/>
      <c r="AT72" t="n">
        <v>5.01</v>
      </c>
      <c r="AU72" t="inlineStr"/>
      <c r="AV72" t="n">
        <v>1</v>
      </c>
      <c r="AW72" t="n">
        <v>2</v>
      </c>
      <c r="AX72" t="n">
        <v>78869535</v>
      </c>
      <c r="AY72" t="n">
        <v>1</v>
      </c>
      <c r="AZ72" t="n">
        <v>0</v>
      </c>
      <c r="BA72" t="n">
        <v>68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U72">
        <f>ROUND(AT72*Source!I120*AH72*AL72,0)</f>
        <v/>
      </c>
      <c r="CV72">
        <f>ROUND(Y72*Source!I120,7)</f>
        <v/>
      </c>
      <c r="CW72" t="n">
        <v>0</v>
      </c>
      <c r="CX72">
        <f>ROUND(Y72*Source!I120,7)</f>
        <v/>
      </c>
      <c r="CY72">
        <f>AD72</f>
        <v/>
      </c>
      <c r="CZ72">
        <f>AH72</f>
        <v/>
      </c>
      <c r="DA72">
        <f>AL72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ROUND(ROUND(AF72,0)*CX72,0)</f>
        <v/>
      </c>
      <c r="DH72">
        <f>ROUND(ROUND(AG72,0)*CX72,0)</f>
        <v/>
      </c>
      <c r="DI72">
        <f>ROUND(ROUND(AH72,0)*CX72,0)</f>
        <v/>
      </c>
      <c r="DJ72">
        <f>DI72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ROW(Source!A120)</f>
        <v/>
      </c>
      <c r="B73" t="n">
        <v>78869116</v>
      </c>
      <c r="C73" t="n">
        <v>78869528</v>
      </c>
      <c r="D73" t="n">
        <v>29172703</v>
      </c>
      <c r="E73" t="n">
        <v>1</v>
      </c>
      <c r="F73" t="n">
        <v>1</v>
      </c>
      <c r="G73" t="n">
        <v>1</v>
      </c>
      <c r="H73" t="n">
        <v>2</v>
      </c>
      <c r="I73" t="inlineStr">
        <is>
          <t>042900</t>
        </is>
      </c>
      <c r="J73" t="inlineStr">
        <is>
          <t>ТСЭМ Московской обл., 042900, приказ Минстроя России №675/пр от 28.02.2017 № 264/пр</t>
        </is>
      </c>
      <c r="K7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3" t="n">
        <v>1368</v>
      </c>
      <c r="N73" t="n">
        <v>1011</v>
      </c>
      <c r="O73" t="inlineStr">
        <is>
          <t>маш.-ч</t>
        </is>
      </c>
      <c r="P73" t="inlineStr">
        <is>
          <t>маш.-ч</t>
        </is>
      </c>
      <c r="Q73" t="n">
        <v>1</v>
      </c>
      <c r="W73" t="n">
        <v>0</v>
      </c>
      <c r="X73" t="n">
        <v>1695838894</v>
      </c>
      <c r="Y73">
        <f>AT73</f>
        <v/>
      </c>
      <c r="AA73" t="n">
        <v>0</v>
      </c>
      <c r="AB73" t="n">
        <v>177.13</v>
      </c>
      <c r="AC73" t="n">
        <v>0</v>
      </c>
      <c r="AD73" t="n">
        <v>0</v>
      </c>
      <c r="AE73" t="n">
        <v>0</v>
      </c>
      <c r="AF73" t="n">
        <v>29.67</v>
      </c>
      <c r="AG73" t="n">
        <v>0</v>
      </c>
      <c r="AH73" t="n">
        <v>0</v>
      </c>
      <c r="AI73" t="n">
        <v>1</v>
      </c>
      <c r="AJ73" t="n">
        <v>5.97</v>
      </c>
      <c r="AK73" t="n">
        <v>52.25</v>
      </c>
      <c r="AL73" t="n">
        <v>1</v>
      </c>
      <c r="AM73" t="n">
        <v>2</v>
      </c>
      <c r="AN73" t="n">
        <v>0</v>
      </c>
      <c r="AO73" t="n">
        <v>1</v>
      </c>
      <c r="AP73" t="n">
        <v>0</v>
      </c>
      <c r="AQ73" t="n">
        <v>0</v>
      </c>
      <c r="AR73" t="n">
        <v>0</v>
      </c>
      <c r="AS73" t="inlineStr"/>
      <c r="AT73" t="n">
        <v>1.5</v>
      </c>
      <c r="AU73" t="inlineStr"/>
      <c r="AV73" t="n">
        <v>0</v>
      </c>
      <c r="AW73" t="n">
        <v>2</v>
      </c>
      <c r="AX73" t="n">
        <v>78869536</v>
      </c>
      <c r="AY73" t="n">
        <v>1</v>
      </c>
      <c r="AZ73" t="n">
        <v>0</v>
      </c>
      <c r="BA73" t="n">
        <v>69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>
        <f>ROUND(Y73*Source!I120*DO73,7)</f>
        <v/>
      </c>
      <c r="CX73">
        <f>ROUND(Y73*Source!I120,7)</f>
        <v/>
      </c>
      <c r="CY73">
        <f>AB73</f>
        <v/>
      </c>
      <c r="CZ73">
        <f>AF73</f>
        <v/>
      </c>
      <c r="DA73">
        <f>AJ73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ROUND(ROUND(AE73,0)*CX73,0)</f>
        <v/>
      </c>
      <c r="DG73">
        <f>ROUND(ROUND(AF73*AJ73,0)*CX73,0)</f>
        <v/>
      </c>
      <c r="DH73">
        <f>ROUND(ROUND(AG73*AK73,0)*CX73,0)</f>
        <v/>
      </c>
      <c r="DI73">
        <f>ROUND(ROUND(AH73,0)*CX73,0)</f>
        <v/>
      </c>
      <c r="DJ73">
        <f>DG73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ROW(Source!A120)</f>
        <v/>
      </c>
      <c r="B74" t="n">
        <v>78869116</v>
      </c>
      <c r="C74" t="n">
        <v>78869528</v>
      </c>
      <c r="D74" t="n">
        <v>29110398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101-0388</t>
        </is>
      </c>
      <c r="J74" t="inlineStr">
        <is>
          <t>ТССЦ Московской обл., 101-0388, приказ Минстроя России №675/пр от 28.02.2017 № 254/пр</t>
        </is>
      </c>
      <c r="K74" t="inlineStr">
        <is>
          <t>Краски масляные земляные марки МА-0115 мумия, сурик железный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1625292450</v>
      </c>
      <c r="Y74">
        <f>AT74</f>
        <v/>
      </c>
      <c r="AA74" t="n">
        <v>76804.47</v>
      </c>
      <c r="AB74" t="n">
        <v>0</v>
      </c>
      <c r="AC74" t="n">
        <v>0</v>
      </c>
      <c r="AD74" t="n">
        <v>0</v>
      </c>
      <c r="AE74" t="n">
        <v>15118.99</v>
      </c>
      <c r="AF74" t="n">
        <v>0</v>
      </c>
      <c r="AG74" t="n">
        <v>0</v>
      </c>
      <c r="AH74" t="n">
        <v>0</v>
      </c>
      <c r="AI74" t="n">
        <v>5.08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0</v>
      </c>
      <c r="AQ74" t="n">
        <v>0</v>
      </c>
      <c r="AR74" t="n">
        <v>0</v>
      </c>
      <c r="AS74" t="inlineStr"/>
      <c r="AT74" t="n">
        <v>5e-05</v>
      </c>
      <c r="AU74" t="inlineStr"/>
      <c r="AV74" t="n">
        <v>0</v>
      </c>
      <c r="AW74" t="n">
        <v>2</v>
      </c>
      <c r="AX74" t="n">
        <v>78869537</v>
      </c>
      <c r="AY74" t="n">
        <v>1</v>
      </c>
      <c r="AZ74" t="n">
        <v>0</v>
      </c>
      <c r="BA74" t="n">
        <v>70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ROUND(Y74*Source!I120,7)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ROW(Source!A120)</f>
        <v/>
      </c>
      <c r="B75" t="n">
        <v>78869116</v>
      </c>
      <c r="C75" t="n">
        <v>78869528</v>
      </c>
      <c r="D75" t="n">
        <v>29110573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101-0628</t>
        </is>
      </c>
      <c r="J75" t="inlineStr">
        <is>
          <t>ТССЦ Московской обл., 101-0628, приказ Минстроя России №675/пр от 28.02.2017 № 254/пр</t>
        </is>
      </c>
      <c r="K75" t="inlineStr">
        <is>
          <t>Олифа комбинированная, марки К-3</t>
        </is>
      </c>
      <c r="L75" t="n">
        <v>1348</v>
      </c>
      <c r="N75" t="n">
        <v>1009</v>
      </c>
      <c r="O75" t="inlineStr">
        <is>
          <t>т</t>
        </is>
      </c>
      <c r="P75" t="inlineStr">
        <is>
          <t>т</t>
        </is>
      </c>
      <c r="Q75" t="n">
        <v>1000</v>
      </c>
      <c r="W75" t="n">
        <v>0</v>
      </c>
      <c r="X75" t="n">
        <v>24062879</v>
      </c>
      <c r="Y75">
        <f>AT75</f>
        <v/>
      </c>
      <c r="AA75" t="n">
        <v>87631.5</v>
      </c>
      <c r="AB75" t="n">
        <v>0</v>
      </c>
      <c r="AC75" t="n">
        <v>0</v>
      </c>
      <c r="AD75" t="n">
        <v>0</v>
      </c>
      <c r="AE75" t="n">
        <v>16950</v>
      </c>
      <c r="AF75" t="n">
        <v>0</v>
      </c>
      <c r="AG75" t="n">
        <v>0</v>
      </c>
      <c r="AH75" t="n">
        <v>0</v>
      </c>
      <c r="AI75" t="n">
        <v>5.17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0</v>
      </c>
      <c r="AQ75" t="n">
        <v>0</v>
      </c>
      <c r="AR75" t="n">
        <v>0</v>
      </c>
      <c r="AS75" t="inlineStr"/>
      <c r="AT75" t="n">
        <v>2e-05</v>
      </c>
      <c r="AU75" t="inlineStr"/>
      <c r="AV75" t="n">
        <v>0</v>
      </c>
      <c r="AW75" t="n">
        <v>2</v>
      </c>
      <c r="AX75" t="n">
        <v>78869538</v>
      </c>
      <c r="AY75" t="n">
        <v>1</v>
      </c>
      <c r="AZ75" t="n">
        <v>0</v>
      </c>
      <c r="BA75" t="n">
        <v>71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ROUND(Y75*Source!I120,7)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ROW(Source!A120)</f>
        <v/>
      </c>
      <c r="B76" t="n">
        <v>78869116</v>
      </c>
      <c r="C76" t="n">
        <v>78869528</v>
      </c>
      <c r="D76" t="n">
        <v>29107963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101-1669</t>
        </is>
      </c>
      <c r="J76" t="inlineStr">
        <is>
          <t>ТССЦ Московской обл., 101-1669, приказ Минстроя России №675/пр от 28.02.2017 № 254/пр</t>
        </is>
      </c>
      <c r="K76" t="inlineStr">
        <is>
          <t>Очес льняной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W76" t="n">
        <v>0</v>
      </c>
      <c r="X76" t="n">
        <v>-2113933962</v>
      </c>
      <c r="Y76">
        <f>AT76</f>
        <v/>
      </c>
      <c r="AA76" t="n">
        <v>590.67</v>
      </c>
      <c r="AB76" t="n">
        <v>0</v>
      </c>
      <c r="AC76" t="n">
        <v>0</v>
      </c>
      <c r="AD76" t="n">
        <v>0</v>
      </c>
      <c r="AE76" t="n">
        <v>37.29</v>
      </c>
      <c r="AF76" t="n">
        <v>0</v>
      </c>
      <c r="AG76" t="n">
        <v>0</v>
      </c>
      <c r="AH76" t="n">
        <v>0</v>
      </c>
      <c r="AI76" t="n">
        <v>15.84</v>
      </c>
      <c r="AJ76" t="n">
        <v>1</v>
      </c>
      <c r="AK76" t="n">
        <v>1</v>
      </c>
      <c r="AL76" t="n">
        <v>1</v>
      </c>
      <c r="AM76" t="n">
        <v>2</v>
      </c>
      <c r="AN76" t="n">
        <v>0</v>
      </c>
      <c r="AO76" t="n">
        <v>1</v>
      </c>
      <c r="AP76" t="n">
        <v>0</v>
      </c>
      <c r="AQ76" t="n">
        <v>0</v>
      </c>
      <c r="AR76" t="n">
        <v>0</v>
      </c>
      <c r="AS76" t="inlineStr"/>
      <c r="AT76" t="n">
        <v>0.02</v>
      </c>
      <c r="AU76" t="inlineStr"/>
      <c r="AV76" t="n">
        <v>0</v>
      </c>
      <c r="AW76" t="n">
        <v>2</v>
      </c>
      <c r="AX76" t="n">
        <v>78869539</v>
      </c>
      <c r="AY76" t="n">
        <v>1</v>
      </c>
      <c r="AZ76" t="n">
        <v>0</v>
      </c>
      <c r="BA76" t="n">
        <v>72</v>
      </c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ROUND(Y76*Source!I120,7)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ROUND(ROUND(AE76*AI76,0)*CX76,0)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ROW(Source!A120)</f>
        <v/>
      </c>
      <c r="B77" t="n">
        <v>78869116</v>
      </c>
      <c r="C77" t="n">
        <v>78869528</v>
      </c>
      <c r="D77" t="n">
        <v>29150040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411-0001</t>
        </is>
      </c>
      <c r="J77" t="inlineStr">
        <is>
          <t>ТССЦ Московской обл., 411-0001, приказ Минстроя России №675/пр от 28.02.2017 № 257/пр</t>
        </is>
      </c>
      <c r="K77" t="inlineStr">
        <is>
          <t>Вода</t>
        </is>
      </c>
      <c r="L77" t="n">
        <v>1339</v>
      </c>
      <c r="N77" t="n">
        <v>1007</v>
      </c>
      <c r="O77" t="inlineStr">
        <is>
          <t>м3</t>
        </is>
      </c>
      <c r="P77" t="inlineStr">
        <is>
          <t>м3</t>
        </is>
      </c>
      <c r="Q77" t="n">
        <v>1</v>
      </c>
      <c r="W77" t="n">
        <v>0</v>
      </c>
      <c r="X77" t="n">
        <v>619799737</v>
      </c>
      <c r="Y77">
        <f>AT77</f>
        <v/>
      </c>
      <c r="AA77" t="n">
        <v>31.28</v>
      </c>
      <c r="AB77" t="n">
        <v>0</v>
      </c>
      <c r="AC77" t="n">
        <v>0</v>
      </c>
      <c r="AD77" t="n">
        <v>0</v>
      </c>
      <c r="AE77" t="n">
        <v>2.44</v>
      </c>
      <c r="AF77" t="n">
        <v>0</v>
      </c>
      <c r="AG77" t="n">
        <v>0</v>
      </c>
      <c r="AH77" t="n">
        <v>0</v>
      </c>
      <c r="AI77" t="n">
        <v>12.82</v>
      </c>
      <c r="AJ77" t="n">
        <v>1</v>
      </c>
      <c r="AK77" t="n">
        <v>1</v>
      </c>
      <c r="AL77" t="n">
        <v>1</v>
      </c>
      <c r="AM77" t="n">
        <v>2</v>
      </c>
      <c r="AN77" t="n">
        <v>0</v>
      </c>
      <c r="AO77" t="n">
        <v>1</v>
      </c>
      <c r="AP77" t="n">
        <v>0</v>
      </c>
      <c r="AQ77" t="n">
        <v>0</v>
      </c>
      <c r="AR77" t="n">
        <v>0</v>
      </c>
      <c r="AS77" t="inlineStr"/>
      <c r="AT77" t="n">
        <v>1</v>
      </c>
      <c r="AU77" t="inlineStr"/>
      <c r="AV77" t="n">
        <v>0</v>
      </c>
      <c r="AW77" t="n">
        <v>2</v>
      </c>
      <c r="AX77" t="n">
        <v>78869540</v>
      </c>
      <c r="AY77" t="n">
        <v>1</v>
      </c>
      <c r="AZ77" t="n">
        <v>0</v>
      </c>
      <c r="BA77" t="n">
        <v>73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V77" t="n">
        <v>0</v>
      </c>
      <c r="CW77" t="n">
        <v>0</v>
      </c>
      <c r="CX77">
        <f>ROUND(Y77*Source!I120,7)</f>
        <v/>
      </c>
      <c r="CY77">
        <f>AA77</f>
        <v/>
      </c>
      <c r="CZ77">
        <f>AE77</f>
        <v/>
      </c>
      <c r="DA77">
        <f>AI77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ROUND(ROUND(AE77*AI77,0)*CX77,0)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DF77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ROW(Source!A159)</f>
        <v/>
      </c>
      <c r="B78" t="n">
        <v>78869116</v>
      </c>
      <c r="C78" t="n">
        <v>78869604</v>
      </c>
      <c r="D78" t="n">
        <v>18408291</v>
      </c>
      <c r="E78" t="n">
        <v>1</v>
      </c>
      <c r="F78" t="n">
        <v>1</v>
      </c>
      <c r="G78" t="n">
        <v>1</v>
      </c>
      <c r="H78" t="n">
        <v>1</v>
      </c>
      <c r="I78" t="inlineStr">
        <is>
          <t>1-1025-90</t>
        </is>
      </c>
      <c r="J78" t="inlineStr"/>
      <c r="K78" t="inlineStr">
        <is>
          <t>Рабочий строитель среднего разряда 2,5</t>
        </is>
      </c>
      <c r="L78" t="n">
        <v>1369</v>
      </c>
      <c r="N78" t="n">
        <v>1013</v>
      </c>
      <c r="O78" t="inlineStr">
        <is>
          <t>чел.-ч</t>
        </is>
      </c>
      <c r="P78" t="inlineStr">
        <is>
          <t>чел.-ч</t>
        </is>
      </c>
      <c r="Q78" t="n">
        <v>1</v>
      </c>
      <c r="W78" t="n">
        <v>0</v>
      </c>
      <c r="X78" t="n">
        <v>1933892413</v>
      </c>
      <c r="Y78">
        <f>AT78</f>
        <v/>
      </c>
      <c r="AA78" t="n">
        <v>0</v>
      </c>
      <c r="AB78" t="n">
        <v>0</v>
      </c>
      <c r="AC78" t="n">
        <v>0</v>
      </c>
      <c r="AD78" t="n">
        <v>8.17</v>
      </c>
      <c r="AE78" t="n">
        <v>0</v>
      </c>
      <c r="AF78" t="n">
        <v>0</v>
      </c>
      <c r="AG78" t="n">
        <v>0</v>
      </c>
      <c r="AH78" t="n">
        <v>8.17</v>
      </c>
      <c r="AI78" t="n">
        <v>1</v>
      </c>
      <c r="AJ78" t="n">
        <v>1</v>
      </c>
      <c r="AK78" t="n">
        <v>1</v>
      </c>
      <c r="AL78" t="n">
        <v>1</v>
      </c>
      <c r="AM78" t="n">
        <v>-2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32.2</v>
      </c>
      <c r="AU78" t="inlineStr"/>
      <c r="AV78" t="n">
        <v>1</v>
      </c>
      <c r="AW78" t="n">
        <v>2</v>
      </c>
      <c r="AX78" t="n">
        <v>78869610</v>
      </c>
      <c r="AY78" t="n">
        <v>1</v>
      </c>
      <c r="AZ78" t="n">
        <v>0</v>
      </c>
      <c r="BA78" t="n">
        <v>74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U78">
        <f>ROUND(AT78*Source!I159*AH78*AL78,0)</f>
        <v/>
      </c>
      <c r="CV78">
        <f>ROUND(Y78*Source!I159,7)</f>
        <v/>
      </c>
      <c r="CW78" t="n">
        <v>0</v>
      </c>
      <c r="CX78">
        <f>ROUND(Y78*Source!I159,7)</f>
        <v/>
      </c>
      <c r="CY78">
        <f>AD78</f>
        <v/>
      </c>
      <c r="CZ78">
        <f>AH78</f>
        <v/>
      </c>
      <c r="DA78">
        <f>AL78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ROUND(ROUND(AF78,0)*CX78,0)</f>
        <v/>
      </c>
      <c r="DH78">
        <f>ROUND(ROUND(AG78,0)*CX78,0)</f>
        <v/>
      </c>
      <c r="DI78">
        <f>ROUND(ROUND(AH78,0)*CX78,0)</f>
        <v/>
      </c>
      <c r="DJ78">
        <f>DI78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ROW(Source!A159)</f>
        <v/>
      </c>
      <c r="B79" t="n">
        <v>78869116</v>
      </c>
      <c r="C79" t="n">
        <v>78869604</v>
      </c>
      <c r="D79" t="n">
        <v>29174913</v>
      </c>
      <c r="E79" t="n">
        <v>1</v>
      </c>
      <c r="F79" t="n">
        <v>1</v>
      </c>
      <c r="G79" t="n">
        <v>1</v>
      </c>
      <c r="H79" t="n">
        <v>2</v>
      </c>
      <c r="I79" t="inlineStr">
        <is>
          <t>400001</t>
        </is>
      </c>
      <c r="J79" t="inlineStr">
        <is>
          <t>ТСЭМ Московской обл., 400001, приказ Минстроя России №675/пр от 28.02.2017 № 264/пр</t>
        </is>
      </c>
      <c r="K79" t="inlineStr">
        <is>
          <t>Автомобили бортовые, грузоподъемность до 5 т</t>
        </is>
      </c>
      <c r="L79" t="n">
        <v>1368</v>
      </c>
      <c r="N79" t="n">
        <v>1011</v>
      </c>
      <c r="O79" t="inlineStr">
        <is>
          <t>маш.-ч</t>
        </is>
      </c>
      <c r="P79" t="inlineStr">
        <is>
          <t>маш.-ч</t>
        </is>
      </c>
      <c r="Q79" t="n">
        <v>1</v>
      </c>
      <c r="W79" t="n">
        <v>0</v>
      </c>
      <c r="X79" t="n">
        <v>1230759911</v>
      </c>
      <c r="Y79">
        <f>AT79</f>
        <v/>
      </c>
      <c r="AA79" t="n">
        <v>0</v>
      </c>
      <c r="AB79" t="n">
        <v>2177.51</v>
      </c>
      <c r="AC79" t="n">
        <v>606.1</v>
      </c>
      <c r="AD79" t="n">
        <v>0</v>
      </c>
      <c r="AE79" t="n">
        <v>0</v>
      </c>
      <c r="AF79" t="n">
        <v>87.17</v>
      </c>
      <c r="AG79" t="n">
        <v>11.6</v>
      </c>
      <c r="AH79" t="n">
        <v>0</v>
      </c>
      <c r="AI79" t="n">
        <v>1</v>
      </c>
      <c r="AJ79" t="n">
        <v>24.98</v>
      </c>
      <c r="AK79" t="n">
        <v>52.25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0.01</v>
      </c>
      <c r="AU79" t="inlineStr"/>
      <c r="AV79" t="n">
        <v>0</v>
      </c>
      <c r="AW79" t="n">
        <v>2</v>
      </c>
      <c r="AX79" t="n">
        <v>78869611</v>
      </c>
      <c r="AY79" t="n">
        <v>1</v>
      </c>
      <c r="AZ79" t="n">
        <v>0</v>
      </c>
      <c r="BA79" t="n">
        <v>75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>
        <f>ROUND(Y79*Source!I159*DO79,7)</f>
        <v/>
      </c>
      <c r="CX79">
        <f>ROUND(Y79*Source!I159,7)</f>
        <v/>
      </c>
      <c r="CY79">
        <f>AB79</f>
        <v/>
      </c>
      <c r="CZ79">
        <f>AF79</f>
        <v/>
      </c>
      <c r="DA79">
        <f>AJ79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ROUND(ROUND(AE79,0)*CX79,0)</f>
        <v/>
      </c>
      <c r="DG79">
        <f>ROUND(ROUND(AF79*AJ79,0)*CX79,0)</f>
        <v/>
      </c>
      <c r="DH79">
        <f>ROUND(ROUND(AG79*AK79,0)*CX79,0)</f>
        <v/>
      </c>
      <c r="DI79">
        <f>ROUND(ROUND(AH79,0)*CX79,0)</f>
        <v/>
      </c>
      <c r="DJ79">
        <f>DG79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ROW(Source!A159)</f>
        <v/>
      </c>
      <c r="B80" t="n">
        <v>78869116</v>
      </c>
      <c r="C80" t="n">
        <v>78869604</v>
      </c>
      <c r="D80" t="n">
        <v>29110139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101-1703</t>
        </is>
      </c>
      <c r="J80" t="inlineStr">
        <is>
          <t>ТССЦ Московской обл., 101-1703, приказ Минстроя России №675/пр от 28.02.2017 № 254/пр</t>
        </is>
      </c>
      <c r="K80" t="inlineStr">
        <is>
          <t>Прокладки резиновые (пластина техническая прессованная)</t>
        </is>
      </c>
      <c r="L80" t="n">
        <v>1346</v>
      </c>
      <c r="N80" t="n">
        <v>1009</v>
      </c>
      <c r="O80" t="inlineStr">
        <is>
          <t>кг</t>
        </is>
      </c>
      <c r="P80" t="inlineStr">
        <is>
          <t>кг</t>
        </is>
      </c>
      <c r="Q80" t="n">
        <v>1</v>
      </c>
      <c r="W80" t="n">
        <v>0</v>
      </c>
      <c r="X80" t="n">
        <v>-1947909329</v>
      </c>
      <c r="Y80">
        <f>AT80</f>
        <v/>
      </c>
      <c r="AA80" t="n">
        <v>341.04</v>
      </c>
      <c r="AB80" t="n">
        <v>0</v>
      </c>
      <c r="AC80" t="n">
        <v>0</v>
      </c>
      <c r="AD80" t="n">
        <v>0</v>
      </c>
      <c r="AE80" t="n">
        <v>23.09</v>
      </c>
      <c r="AF80" t="n">
        <v>0</v>
      </c>
      <c r="AG80" t="n">
        <v>0</v>
      </c>
      <c r="AH80" t="n">
        <v>0</v>
      </c>
      <c r="AI80" t="n">
        <v>14.77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2</v>
      </c>
      <c r="AU80" t="inlineStr"/>
      <c r="AV80" t="n">
        <v>0</v>
      </c>
      <c r="AW80" t="n">
        <v>2</v>
      </c>
      <c r="AX80" t="n">
        <v>78869612</v>
      </c>
      <c r="AY80" t="n">
        <v>1</v>
      </c>
      <c r="AZ80" t="n">
        <v>0</v>
      </c>
      <c r="BA80" t="n">
        <v>76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ROUND(Y80*Source!I159,7)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ROW(Source!A159)</f>
        <v/>
      </c>
      <c r="B81" t="n">
        <v>78869116</v>
      </c>
      <c r="C81" t="n">
        <v>78869604</v>
      </c>
      <c r="D81" t="n">
        <v>29114240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101-2576</t>
        </is>
      </c>
      <c r="J81" t="inlineStr">
        <is>
          <t>ТССЦ Московской обл., 101-2576, приказ Минстроя России №675/пр от 28.02.2017 № 254/пр</t>
        </is>
      </c>
      <c r="K81" t="inlineStr">
        <is>
          <t>Болты с гайками и шайбами для санитарно-технических работ диаметром 16 мм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W81" t="n">
        <v>0</v>
      </c>
      <c r="X81" t="n">
        <v>-1701539228</v>
      </c>
      <c r="Y81">
        <f>AT81</f>
        <v/>
      </c>
      <c r="AA81" t="n">
        <v>145037.4</v>
      </c>
      <c r="AB81" t="n">
        <v>0</v>
      </c>
      <c r="AC81" t="n">
        <v>0</v>
      </c>
      <c r="AD81" t="n">
        <v>0</v>
      </c>
      <c r="AE81" t="n">
        <v>14830</v>
      </c>
      <c r="AF81" t="n">
        <v>0</v>
      </c>
      <c r="AG81" t="n">
        <v>0</v>
      </c>
      <c r="AH81" t="n">
        <v>0</v>
      </c>
      <c r="AI81" t="n">
        <v>9.779999999999999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0.005</v>
      </c>
      <c r="AU81" t="inlineStr"/>
      <c r="AV81" t="n">
        <v>0</v>
      </c>
      <c r="AW81" t="n">
        <v>2</v>
      </c>
      <c r="AX81" t="n">
        <v>78869613</v>
      </c>
      <c r="AY81" t="n">
        <v>1</v>
      </c>
      <c r="AZ81" t="n">
        <v>0</v>
      </c>
      <c r="BA81" t="n">
        <v>77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ROUND(Y81*Source!I159,7)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ROW(Source!A159)</f>
        <v/>
      </c>
      <c r="B82" t="n">
        <v>78869116</v>
      </c>
      <c r="C82" t="n">
        <v>78869604</v>
      </c>
      <c r="D82" t="n">
        <v>29150040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411-0001</t>
        </is>
      </c>
      <c r="J82" t="inlineStr">
        <is>
          <t>ТССЦ Московской обл., 411-0001, приказ Минстроя России №675/пр от 28.02.2017 № 257/пр</t>
        </is>
      </c>
      <c r="K82" t="inlineStr">
        <is>
          <t>Вода</t>
        </is>
      </c>
      <c r="L82" t="n">
        <v>1339</v>
      </c>
      <c r="N82" t="n">
        <v>1007</v>
      </c>
      <c r="O82" t="inlineStr">
        <is>
          <t>м3</t>
        </is>
      </c>
      <c r="P82" t="inlineStr">
        <is>
          <t>м3</t>
        </is>
      </c>
      <c r="Q82" t="n">
        <v>1</v>
      </c>
      <c r="W82" t="n">
        <v>0</v>
      </c>
      <c r="X82" t="n">
        <v>619799737</v>
      </c>
      <c r="Y82">
        <f>AT82</f>
        <v/>
      </c>
      <c r="AA82" t="n">
        <v>31.28</v>
      </c>
      <c r="AB82" t="n">
        <v>0</v>
      </c>
      <c r="AC82" t="n">
        <v>0</v>
      </c>
      <c r="AD82" t="n">
        <v>0</v>
      </c>
      <c r="AE82" t="n">
        <v>2.44</v>
      </c>
      <c r="AF82" t="n">
        <v>0</v>
      </c>
      <c r="AG82" t="n">
        <v>0</v>
      </c>
      <c r="AH82" t="n">
        <v>0</v>
      </c>
      <c r="AI82" t="n">
        <v>12.82</v>
      </c>
      <c r="AJ82" t="n">
        <v>1</v>
      </c>
      <c r="AK82" t="n">
        <v>1</v>
      </c>
      <c r="AL82" t="n">
        <v>1</v>
      </c>
      <c r="AM82" t="n">
        <v>2</v>
      </c>
      <c r="AN82" t="n">
        <v>0</v>
      </c>
      <c r="AO82" t="n">
        <v>1</v>
      </c>
      <c r="AP82" t="n">
        <v>1</v>
      </c>
      <c r="AQ82" t="n">
        <v>0</v>
      </c>
      <c r="AR82" t="n">
        <v>0</v>
      </c>
      <c r="AS82" t="inlineStr"/>
      <c r="AT82" t="n">
        <v>7.8</v>
      </c>
      <c r="AU82" t="inlineStr"/>
      <c r="AV82" t="n">
        <v>0</v>
      </c>
      <c r="AW82" t="n">
        <v>2</v>
      </c>
      <c r="AX82" t="n">
        <v>78869614</v>
      </c>
      <c r="AY82" t="n">
        <v>1</v>
      </c>
      <c r="AZ82" t="n">
        <v>0</v>
      </c>
      <c r="BA82" t="n">
        <v>78</v>
      </c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ROUND(Y82*Source!I159,7)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ROUND(ROUND(AE82*AI82,0)*CX82,0)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ROW(Source!A160)</f>
        <v/>
      </c>
      <c r="B83" t="n">
        <v>78869116</v>
      </c>
      <c r="C83" t="n">
        <v>78869615</v>
      </c>
      <c r="D83" t="n">
        <v>18442827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1-1053-90</t>
        </is>
      </c>
      <c r="J83" t="inlineStr"/>
      <c r="K83" t="inlineStr">
        <is>
          <t>Рабочий строитель среднего разряда 5,3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717490484</v>
      </c>
      <c r="Y83">
        <f>AT83</f>
        <v/>
      </c>
      <c r="AA83" t="n">
        <v>0</v>
      </c>
      <c r="AB83" t="n">
        <v>0</v>
      </c>
      <c r="AC83" t="n">
        <v>0</v>
      </c>
      <c r="AD83" t="n">
        <v>11.64</v>
      </c>
      <c r="AE83" t="n">
        <v>0</v>
      </c>
      <c r="AF83" t="n">
        <v>0</v>
      </c>
      <c r="AG83" t="n">
        <v>0</v>
      </c>
      <c r="AH83" t="n">
        <v>11.64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0</v>
      </c>
      <c r="AQ83" t="n">
        <v>0</v>
      </c>
      <c r="AR83" t="n">
        <v>0</v>
      </c>
      <c r="AS83" t="inlineStr"/>
      <c r="AT83" t="n">
        <v>5.01</v>
      </c>
      <c r="AU83" t="inlineStr"/>
      <c r="AV83" t="n">
        <v>1</v>
      </c>
      <c r="AW83" t="n">
        <v>2</v>
      </c>
      <c r="AX83" t="n">
        <v>78869622</v>
      </c>
      <c r="AY83" t="n">
        <v>1</v>
      </c>
      <c r="AZ83" t="n">
        <v>0</v>
      </c>
      <c r="BA83" t="n">
        <v>79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ROUND(AT83*Source!I160*AH83*AL83,0)</f>
        <v/>
      </c>
      <c r="CV83">
        <f>ROUND(Y83*Source!I160,7)</f>
        <v/>
      </c>
      <c r="CW83" t="n">
        <v>0</v>
      </c>
      <c r="CX83">
        <f>ROUND(Y83*Source!I160,7)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ROW(Source!A160)</f>
        <v/>
      </c>
      <c r="B84" t="n">
        <v>78869116</v>
      </c>
      <c r="C84" t="n">
        <v>78869615</v>
      </c>
      <c r="D84" t="n">
        <v>29172703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042900</t>
        </is>
      </c>
      <c r="J84" t="inlineStr">
        <is>
          <t>ТСЭМ Московской обл., 042900, приказ Минстроя России №675/пр от 28.02.2017 № 264/пр</t>
        </is>
      </c>
      <c r="K8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1695838894</v>
      </c>
      <c r="Y84">
        <f>AT84</f>
        <v/>
      </c>
      <c r="AA84" t="n">
        <v>0</v>
      </c>
      <c r="AB84" t="n">
        <v>177.13</v>
      </c>
      <c r="AC84" t="n">
        <v>0</v>
      </c>
      <c r="AD84" t="n">
        <v>0</v>
      </c>
      <c r="AE84" t="n">
        <v>0</v>
      </c>
      <c r="AF84" t="n">
        <v>29.67</v>
      </c>
      <c r="AG84" t="n">
        <v>0</v>
      </c>
      <c r="AH84" t="n">
        <v>0</v>
      </c>
      <c r="AI84" t="n">
        <v>1</v>
      </c>
      <c r="AJ84" t="n">
        <v>5.97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0</v>
      </c>
      <c r="AQ84" t="n">
        <v>0</v>
      </c>
      <c r="AR84" t="n">
        <v>0</v>
      </c>
      <c r="AS84" t="inlineStr"/>
      <c r="AT84" t="n">
        <v>1.5</v>
      </c>
      <c r="AU84" t="inlineStr"/>
      <c r="AV84" t="n">
        <v>0</v>
      </c>
      <c r="AW84" t="n">
        <v>2</v>
      </c>
      <c r="AX84" t="n">
        <v>78869623</v>
      </c>
      <c r="AY84" t="n">
        <v>1</v>
      </c>
      <c r="AZ84" t="n">
        <v>0</v>
      </c>
      <c r="BA84" t="n">
        <v>80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ROUND(Y84*Source!I160*DO84,7)</f>
        <v/>
      </c>
      <c r="CX84">
        <f>ROUND(Y84*Source!I160,7)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ROW(Source!A160)</f>
        <v/>
      </c>
      <c r="B85" t="n">
        <v>78869116</v>
      </c>
      <c r="C85" t="n">
        <v>78869615</v>
      </c>
      <c r="D85" t="n">
        <v>29110398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101-0388</t>
        </is>
      </c>
      <c r="J85" t="inlineStr">
        <is>
          <t>ТССЦ Московской обл., 101-0388, приказ Минстроя России №675/пр от 28.02.2017 № 254/пр</t>
        </is>
      </c>
      <c r="K85" t="inlineStr">
        <is>
          <t>Краски масляные земляные марки МА-0115 мумия, сурик железный</t>
        </is>
      </c>
      <c r="L85" t="n">
        <v>1348</v>
      </c>
      <c r="N85" t="n">
        <v>1009</v>
      </c>
      <c r="O85" t="inlineStr">
        <is>
          <t>т</t>
        </is>
      </c>
      <c r="P85" t="inlineStr">
        <is>
          <t>т</t>
        </is>
      </c>
      <c r="Q85" t="n">
        <v>1000</v>
      </c>
      <c r="W85" t="n">
        <v>0</v>
      </c>
      <c r="X85" t="n">
        <v>1625292450</v>
      </c>
      <c r="Y85">
        <f>AT85</f>
        <v/>
      </c>
      <c r="AA85" t="n">
        <v>76804.47</v>
      </c>
      <c r="AB85" t="n">
        <v>0</v>
      </c>
      <c r="AC85" t="n">
        <v>0</v>
      </c>
      <c r="AD85" t="n">
        <v>0</v>
      </c>
      <c r="AE85" t="n">
        <v>15118.99</v>
      </c>
      <c r="AF85" t="n">
        <v>0</v>
      </c>
      <c r="AG85" t="n">
        <v>0</v>
      </c>
      <c r="AH85" t="n">
        <v>0</v>
      </c>
      <c r="AI85" t="n">
        <v>5.08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0</v>
      </c>
      <c r="AQ85" t="n">
        <v>0</v>
      </c>
      <c r="AR85" t="n">
        <v>0</v>
      </c>
      <c r="AS85" t="inlineStr"/>
      <c r="AT85" t="n">
        <v>5e-05</v>
      </c>
      <c r="AU85" t="inlineStr"/>
      <c r="AV85" t="n">
        <v>0</v>
      </c>
      <c r="AW85" t="n">
        <v>2</v>
      </c>
      <c r="AX85" t="n">
        <v>78869624</v>
      </c>
      <c r="AY85" t="n">
        <v>1</v>
      </c>
      <c r="AZ85" t="n">
        <v>0</v>
      </c>
      <c r="BA85" t="n">
        <v>81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ROUND(Y85*Source!I160,7)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ROW(Source!A160)</f>
        <v/>
      </c>
      <c r="B86" t="n">
        <v>78869116</v>
      </c>
      <c r="C86" t="n">
        <v>78869615</v>
      </c>
      <c r="D86" t="n">
        <v>29110573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101-0628</t>
        </is>
      </c>
      <c r="J86" t="inlineStr">
        <is>
          <t>ТССЦ Московской обл., 101-0628, приказ Минстроя России №675/пр от 28.02.2017 № 254/пр</t>
        </is>
      </c>
      <c r="K86" t="inlineStr">
        <is>
          <t>Олифа комбинированная, марки К-3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24062879</v>
      </c>
      <c r="Y86">
        <f>AT86</f>
        <v/>
      </c>
      <c r="AA86" t="n">
        <v>87631.5</v>
      </c>
      <c r="AB86" t="n">
        <v>0</v>
      </c>
      <c r="AC86" t="n">
        <v>0</v>
      </c>
      <c r="AD86" t="n">
        <v>0</v>
      </c>
      <c r="AE86" t="n">
        <v>16950</v>
      </c>
      <c r="AF86" t="n">
        <v>0</v>
      </c>
      <c r="AG86" t="n">
        <v>0</v>
      </c>
      <c r="AH86" t="n">
        <v>0</v>
      </c>
      <c r="AI86" t="n">
        <v>5.17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0</v>
      </c>
      <c r="AQ86" t="n">
        <v>0</v>
      </c>
      <c r="AR86" t="n">
        <v>0</v>
      </c>
      <c r="AS86" t="inlineStr"/>
      <c r="AT86" t="n">
        <v>2e-05</v>
      </c>
      <c r="AU86" t="inlineStr"/>
      <c r="AV86" t="n">
        <v>0</v>
      </c>
      <c r="AW86" t="n">
        <v>2</v>
      </c>
      <c r="AX86" t="n">
        <v>78869625</v>
      </c>
      <c r="AY86" t="n">
        <v>1</v>
      </c>
      <c r="AZ86" t="n">
        <v>0</v>
      </c>
      <c r="BA86" t="n">
        <v>82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ROUND(Y86*Source!I160,7)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ROW(Source!A160)</f>
        <v/>
      </c>
      <c r="B87" t="n">
        <v>78869116</v>
      </c>
      <c r="C87" t="n">
        <v>78869615</v>
      </c>
      <c r="D87" t="n">
        <v>29107963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101-1669</t>
        </is>
      </c>
      <c r="J87" t="inlineStr">
        <is>
          <t>ТССЦ Московской обл., 101-1669, приказ Минстроя России №675/пр от 28.02.2017 № 254/пр</t>
        </is>
      </c>
      <c r="K87" t="inlineStr">
        <is>
          <t>Очес льняной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W87" t="n">
        <v>0</v>
      </c>
      <c r="X87" t="n">
        <v>-2113933962</v>
      </c>
      <c r="Y87">
        <f>AT87</f>
        <v/>
      </c>
      <c r="AA87" t="n">
        <v>590.67</v>
      </c>
      <c r="AB87" t="n">
        <v>0</v>
      </c>
      <c r="AC87" t="n">
        <v>0</v>
      </c>
      <c r="AD87" t="n">
        <v>0</v>
      </c>
      <c r="AE87" t="n">
        <v>37.29</v>
      </c>
      <c r="AF87" t="n">
        <v>0</v>
      </c>
      <c r="AG87" t="n">
        <v>0</v>
      </c>
      <c r="AH87" t="n">
        <v>0</v>
      </c>
      <c r="AI87" t="n">
        <v>15.84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0</v>
      </c>
      <c r="AQ87" t="n">
        <v>0</v>
      </c>
      <c r="AR87" t="n">
        <v>0</v>
      </c>
      <c r="AS87" t="inlineStr"/>
      <c r="AT87" t="n">
        <v>0.02</v>
      </c>
      <c r="AU87" t="inlineStr"/>
      <c r="AV87" t="n">
        <v>0</v>
      </c>
      <c r="AW87" t="n">
        <v>2</v>
      </c>
      <c r="AX87" t="n">
        <v>78869626</v>
      </c>
      <c r="AY87" t="n">
        <v>1</v>
      </c>
      <c r="AZ87" t="n">
        <v>0</v>
      </c>
      <c r="BA87" t="n">
        <v>83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ROUND(Y87*Source!I160,7)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ROW(Source!A160)</f>
        <v/>
      </c>
      <c r="B88" t="n">
        <v>78869116</v>
      </c>
      <c r="C88" t="n">
        <v>78869615</v>
      </c>
      <c r="D88" t="n">
        <v>29150040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411-0001</t>
        </is>
      </c>
      <c r="J88" t="inlineStr">
        <is>
          <t>ТССЦ Московской обл., 411-0001, приказ Минстроя России №675/пр от 28.02.2017 № 257/пр</t>
        </is>
      </c>
      <c r="K88" t="inlineStr">
        <is>
          <t>Вода</t>
        </is>
      </c>
      <c r="L88" t="n">
        <v>1339</v>
      </c>
      <c r="N88" t="n">
        <v>1007</v>
      </c>
      <c r="O88" t="inlineStr">
        <is>
          <t>м3</t>
        </is>
      </c>
      <c r="P88" t="inlineStr">
        <is>
          <t>м3</t>
        </is>
      </c>
      <c r="Q88" t="n">
        <v>1</v>
      </c>
      <c r="W88" t="n">
        <v>0</v>
      </c>
      <c r="X88" t="n">
        <v>619799737</v>
      </c>
      <c r="Y88">
        <f>AT88</f>
        <v/>
      </c>
      <c r="AA88" t="n">
        <v>31.28</v>
      </c>
      <c r="AB88" t="n">
        <v>0</v>
      </c>
      <c r="AC88" t="n">
        <v>0</v>
      </c>
      <c r="AD88" t="n">
        <v>0</v>
      </c>
      <c r="AE88" t="n">
        <v>2.44</v>
      </c>
      <c r="AF88" t="n">
        <v>0</v>
      </c>
      <c r="AG88" t="n">
        <v>0</v>
      </c>
      <c r="AH88" t="n">
        <v>0</v>
      </c>
      <c r="AI88" t="n">
        <v>12.82</v>
      </c>
      <c r="AJ88" t="n">
        <v>1</v>
      </c>
      <c r="AK88" t="n">
        <v>1</v>
      </c>
      <c r="AL88" t="n">
        <v>1</v>
      </c>
      <c r="AM88" t="n">
        <v>2</v>
      </c>
      <c r="AN88" t="n">
        <v>0</v>
      </c>
      <c r="AO88" t="n">
        <v>1</v>
      </c>
      <c r="AP88" t="n">
        <v>0</v>
      </c>
      <c r="AQ88" t="n">
        <v>0</v>
      </c>
      <c r="AR88" t="n">
        <v>0</v>
      </c>
      <c r="AS88" t="inlineStr"/>
      <c r="AT88" t="n">
        <v>1</v>
      </c>
      <c r="AU88" t="inlineStr"/>
      <c r="AV88" t="n">
        <v>0</v>
      </c>
      <c r="AW88" t="n">
        <v>2</v>
      </c>
      <c r="AX88" t="n">
        <v>78869627</v>
      </c>
      <c r="AY88" t="n">
        <v>1</v>
      </c>
      <c r="AZ88" t="n">
        <v>0</v>
      </c>
      <c r="BA88" t="n">
        <v>84</v>
      </c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ROUND(Y88*Source!I160,7)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ROUND(ROUND(AE88*AI88,0)*CX88,0)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ROW(Source!A199)</f>
        <v/>
      </c>
      <c r="B89" t="n">
        <v>78869116</v>
      </c>
      <c r="C89" t="n">
        <v>78869691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78869697</v>
      </c>
      <c r="AY89" t="n">
        <v>1</v>
      </c>
      <c r="AZ89" t="n">
        <v>0</v>
      </c>
      <c r="BA89" t="n">
        <v>85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ROUND(AT89*Source!I199*AH89*AL89,0)</f>
        <v/>
      </c>
      <c r="CV89">
        <f>ROUND(Y89*Source!I199,7)</f>
        <v/>
      </c>
      <c r="CW89" t="n">
        <v>0</v>
      </c>
      <c r="CX89">
        <f>ROUND(Y89*Source!I199,7)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ROW(Source!A199)</f>
        <v/>
      </c>
      <c r="B90" t="n">
        <v>78869116</v>
      </c>
      <c r="C90" t="n">
        <v>78869691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78869698</v>
      </c>
      <c r="AY90" t="n">
        <v>1</v>
      </c>
      <c r="AZ90" t="n">
        <v>0</v>
      </c>
      <c r="BA90" t="n">
        <v>86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ROUND(Y90*Source!I199*DO90,7)</f>
        <v/>
      </c>
      <c r="CX90">
        <f>ROUND(Y90*Source!I199,7)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ROW(Source!A199)</f>
        <v/>
      </c>
      <c r="B91" t="n">
        <v>78869116</v>
      </c>
      <c r="C91" t="n">
        <v>78869691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78869699</v>
      </c>
      <c r="AY91" t="n">
        <v>1</v>
      </c>
      <c r="AZ91" t="n">
        <v>0</v>
      </c>
      <c r="BA91" t="n">
        <v>87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ROUND(Y91*Source!I199,7)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ROW(Source!A199)</f>
        <v/>
      </c>
      <c r="B92" t="n">
        <v>78869116</v>
      </c>
      <c r="C92" t="n">
        <v>78869691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78869700</v>
      </c>
      <c r="AY92" t="n">
        <v>1</v>
      </c>
      <c r="AZ92" t="n">
        <v>0</v>
      </c>
      <c r="BA92" t="n">
        <v>88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ROUND(Y92*Source!I199,7)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ROW(Source!A199)</f>
        <v/>
      </c>
      <c r="B93" t="n">
        <v>78869116</v>
      </c>
      <c r="C93" t="n">
        <v>78869691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78869701</v>
      </c>
      <c r="AY93" t="n">
        <v>1</v>
      </c>
      <c r="AZ93" t="n">
        <v>0</v>
      </c>
      <c r="BA93" t="n">
        <v>89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ROUND(Y93*Source!I199,7)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ROW(Source!A200)</f>
        <v/>
      </c>
      <c r="B94" t="n">
        <v>78869116</v>
      </c>
      <c r="C94" t="n">
        <v>78869702</v>
      </c>
      <c r="D94" t="n">
        <v>18407150</v>
      </c>
      <c r="E94" t="n">
        <v>1</v>
      </c>
      <c r="F94" t="n">
        <v>1</v>
      </c>
      <c r="G94" t="n">
        <v>1</v>
      </c>
      <c r="H94" t="n">
        <v>1</v>
      </c>
      <c r="I94" t="inlineStr">
        <is>
          <t>1-1030-90</t>
        </is>
      </c>
      <c r="J94" t="inlineStr"/>
      <c r="K94" t="inlineStr">
        <is>
          <t>Рабочий строитель среднего разряда 3</t>
        </is>
      </c>
      <c r="L94" t="n">
        <v>1369</v>
      </c>
      <c r="N94" t="n">
        <v>1013</v>
      </c>
      <c r="O94" t="inlineStr">
        <is>
          <t>чел.-ч</t>
        </is>
      </c>
      <c r="P94" t="inlineStr">
        <is>
          <t>чел.-ч</t>
        </is>
      </c>
      <c r="Q94" t="n">
        <v>1</v>
      </c>
      <c r="W94" t="n">
        <v>0</v>
      </c>
      <c r="X94" t="n">
        <v>-931037793</v>
      </c>
      <c r="Y94">
        <f>AT94</f>
        <v/>
      </c>
      <c r="AA94" t="n">
        <v>0</v>
      </c>
      <c r="AB94" t="n">
        <v>0</v>
      </c>
      <c r="AC94" t="n">
        <v>0</v>
      </c>
      <c r="AD94" t="n">
        <v>8.529999999999999</v>
      </c>
      <c r="AE94" t="n">
        <v>0</v>
      </c>
      <c r="AF94" t="n">
        <v>0</v>
      </c>
      <c r="AG94" t="n">
        <v>0</v>
      </c>
      <c r="AH94" t="n">
        <v>8.529999999999999</v>
      </c>
      <c r="AI94" t="n">
        <v>1</v>
      </c>
      <c r="AJ94" t="n">
        <v>1</v>
      </c>
      <c r="AK94" t="n">
        <v>1</v>
      </c>
      <c r="AL94" t="n">
        <v>1</v>
      </c>
      <c r="AM94" t="n">
        <v>-2</v>
      </c>
      <c r="AN94" t="n">
        <v>0</v>
      </c>
      <c r="AO94" t="n">
        <v>1</v>
      </c>
      <c r="AP94" t="n">
        <v>0</v>
      </c>
      <c r="AQ94" t="n">
        <v>0</v>
      </c>
      <c r="AR94" t="n">
        <v>0</v>
      </c>
      <c r="AS94" t="inlineStr"/>
      <c r="AT94" t="n">
        <v>13.9</v>
      </c>
      <c r="AU94" t="inlineStr"/>
      <c r="AV94" t="n">
        <v>1</v>
      </c>
      <c r="AW94" t="n">
        <v>2</v>
      </c>
      <c r="AX94" t="n">
        <v>78869706</v>
      </c>
      <c r="AY94" t="n">
        <v>1</v>
      </c>
      <c r="AZ94" t="n">
        <v>0</v>
      </c>
      <c r="BA94" t="n">
        <v>90</v>
      </c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U94">
        <f>ROUND(AT94*Source!I200*AH94*AL94,0)</f>
        <v/>
      </c>
      <c r="CV94">
        <f>ROUND(Y94*Source!I200,7)</f>
        <v/>
      </c>
      <c r="CW94" t="n">
        <v>0</v>
      </c>
      <c r="CX94">
        <f>ROUND(Y94*Source!I200,7)</f>
        <v/>
      </c>
      <c r="CY94">
        <f>AD94</f>
        <v/>
      </c>
      <c r="CZ94">
        <f>AH94</f>
        <v/>
      </c>
      <c r="DA94">
        <f>AL94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DI94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ROW(Source!A200)</f>
        <v/>
      </c>
      <c r="B95" t="n">
        <v>78869116</v>
      </c>
      <c r="C95" t="n">
        <v>78869702</v>
      </c>
      <c r="D95" t="n">
        <v>29169821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509-0696</t>
        </is>
      </c>
      <c r="J95" t="inlineStr">
        <is>
          <t>ТССЦ Московской обл., 509-0696, приказ Минстроя России №675/пр от 28.02.2017 № 258/пр</t>
        </is>
      </c>
      <c r="K95" t="inlineStr">
        <is>
          <t>Лампы люминесцентные ртутные низкого давления типа ЛБ, ЛД, ЛДЦ, ЛТВ, ЛБХ 20</t>
        </is>
      </c>
      <c r="L95" t="n">
        <v>1358</v>
      </c>
      <c r="N95" t="n">
        <v>1010</v>
      </c>
      <c r="O95" t="inlineStr">
        <is>
          <t>10 шт.</t>
        </is>
      </c>
      <c r="P95" t="inlineStr">
        <is>
          <t>10 шт.</t>
        </is>
      </c>
      <c r="Q95" t="n">
        <v>10</v>
      </c>
      <c r="W95" t="n">
        <v>0</v>
      </c>
      <c r="X95" t="n">
        <v>-1187244712</v>
      </c>
      <c r="Y95">
        <f>AT95</f>
        <v/>
      </c>
      <c r="AA95" t="n">
        <v>352.73</v>
      </c>
      <c r="AB95" t="n">
        <v>0</v>
      </c>
      <c r="AC95" t="n">
        <v>0</v>
      </c>
      <c r="AD95" t="n">
        <v>0</v>
      </c>
      <c r="AE95" t="n">
        <v>85.2</v>
      </c>
      <c r="AF95" t="n">
        <v>0</v>
      </c>
      <c r="AG95" t="n">
        <v>0</v>
      </c>
      <c r="AH95" t="n">
        <v>0</v>
      </c>
      <c r="AI95" t="n">
        <v>4.14</v>
      </c>
      <c r="AJ95" t="n">
        <v>1</v>
      </c>
      <c r="AK95" t="n">
        <v>1</v>
      </c>
      <c r="AL95" t="n">
        <v>1</v>
      </c>
      <c r="AM95" t="n">
        <v>2</v>
      </c>
      <c r="AN95" t="n">
        <v>0</v>
      </c>
      <c r="AO95" t="n">
        <v>1</v>
      </c>
      <c r="AP95" t="n">
        <v>0</v>
      </c>
      <c r="AQ95" t="n">
        <v>0</v>
      </c>
      <c r="AR95" t="n">
        <v>0</v>
      </c>
      <c r="AS95" t="inlineStr"/>
      <c r="AT95" t="n">
        <v>10</v>
      </c>
      <c r="AU95" t="inlineStr"/>
      <c r="AV95" t="n">
        <v>0</v>
      </c>
      <c r="AW95" t="n">
        <v>2</v>
      </c>
      <c r="AX95" t="n">
        <v>78869707</v>
      </c>
      <c r="AY95" t="n">
        <v>1</v>
      </c>
      <c r="AZ95" t="n">
        <v>0</v>
      </c>
      <c r="BA95" t="n">
        <v>91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V95" t="n">
        <v>0</v>
      </c>
      <c r="CW95" t="n">
        <v>0</v>
      </c>
      <c r="CX95">
        <f>ROUND(Y95*Source!I200,7)</f>
        <v/>
      </c>
      <c r="CY95">
        <f>AA95</f>
        <v/>
      </c>
      <c r="CZ95">
        <f>AE95</f>
        <v/>
      </c>
      <c r="DA95">
        <f>AI95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ROUND(ROUND(AE95*AI95,0)*CX95,0)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DF95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ROW(Source!A200)</f>
        <v/>
      </c>
      <c r="B96" t="n">
        <v>78869116</v>
      </c>
      <c r="C96" t="n">
        <v>78869702</v>
      </c>
      <c r="D96" t="n">
        <v>29169828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509-6744</t>
        </is>
      </c>
      <c r="J96" t="inlineStr">
        <is>
          <t>ТССЦ Московской обл., 509-6744, приказ Минстроя России №675/пр от 28.02.2017 № 258/пр</t>
        </is>
      </c>
      <c r="K96" t="inlineStr">
        <is>
          <t>Лампы люминесцентные компактные энергосберегающие с цоколем Е27 мощностью 55 Вт</t>
        </is>
      </c>
      <c r="L96" t="n">
        <v>1354</v>
      </c>
      <c r="N96" t="n">
        <v>1010</v>
      </c>
      <c r="O96" t="inlineStr">
        <is>
          <t>шт.</t>
        </is>
      </c>
      <c r="P96" t="inlineStr">
        <is>
          <t>шт.</t>
        </is>
      </c>
      <c r="Q96" t="n">
        <v>1</v>
      </c>
      <c r="W96" t="n">
        <v>0</v>
      </c>
      <c r="X96" t="n">
        <v>-228955380</v>
      </c>
      <c r="Y96">
        <f>AT96</f>
        <v/>
      </c>
      <c r="AA96" t="n">
        <v>237.77</v>
      </c>
      <c r="AB96" t="n">
        <v>0</v>
      </c>
      <c r="AC96" t="n">
        <v>0</v>
      </c>
      <c r="AD96" t="n">
        <v>0</v>
      </c>
      <c r="AE96" t="n">
        <v>140.69</v>
      </c>
      <c r="AF96" t="n">
        <v>0</v>
      </c>
      <c r="AG96" t="n">
        <v>0</v>
      </c>
      <c r="AH96" t="n">
        <v>0</v>
      </c>
      <c r="AI96" t="n">
        <v>1.69</v>
      </c>
      <c r="AJ96" t="n">
        <v>1</v>
      </c>
      <c r="AK96" t="n">
        <v>1</v>
      </c>
      <c r="AL96" t="n">
        <v>1</v>
      </c>
      <c r="AM96" t="n">
        <v>0</v>
      </c>
      <c r="AN96" t="n">
        <v>0</v>
      </c>
      <c r="AO96" t="n">
        <v>0</v>
      </c>
      <c r="AP96" t="n">
        <v>1</v>
      </c>
      <c r="AQ96" t="n">
        <v>0</v>
      </c>
      <c r="AR96" t="n">
        <v>0</v>
      </c>
      <c r="AS96" t="inlineStr"/>
      <c r="AT96" t="n">
        <v>100</v>
      </c>
      <c r="AU96" t="inlineStr"/>
      <c r="AV96" t="n">
        <v>0</v>
      </c>
      <c r="AW96" t="n">
        <v>1</v>
      </c>
      <c r="AX96" t="n">
        <v>-1</v>
      </c>
      <c r="AY96" t="n">
        <v>0</v>
      </c>
      <c r="AZ96" t="n">
        <v>0</v>
      </c>
      <c r="BA96" t="inlineStr"/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 t="n">
        <v>0</v>
      </c>
      <c r="CX96">
        <f>ROUND(Y96*Source!I200,7)</f>
        <v/>
      </c>
      <c r="CY96">
        <f>AA96</f>
        <v/>
      </c>
      <c r="CZ96">
        <f>AE96</f>
        <v/>
      </c>
      <c r="DA96">
        <f>AI96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ROUND(ROUND(AE96*AI96,0)*CX96,0)</f>
        <v/>
      </c>
      <c r="DG96">
        <f>ROUND(ROUND(AF96,0)*CX96,0)</f>
        <v/>
      </c>
      <c r="DH96">
        <f>ROUND(ROUND(AG96,0)*CX96,0)</f>
        <v/>
      </c>
      <c r="DI96">
        <f>ROUND(ROUND(AH96,0)*CX96,0)</f>
        <v/>
      </c>
      <c r="DJ96">
        <f>DF96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ROW(Source!A202)</f>
        <v/>
      </c>
      <c r="B97" t="n">
        <v>78869116</v>
      </c>
      <c r="C97" t="n">
        <v>78869709</v>
      </c>
      <c r="D97" t="n">
        <v>18409850</v>
      </c>
      <c r="E97" t="n">
        <v>1</v>
      </c>
      <c r="F97" t="n">
        <v>1</v>
      </c>
      <c r="G97" t="n">
        <v>1</v>
      </c>
      <c r="H97" t="n">
        <v>1</v>
      </c>
      <c r="I97" t="inlineStr">
        <is>
          <t>1-1035-90</t>
        </is>
      </c>
      <c r="J97" t="inlineStr"/>
      <c r="K97" t="inlineStr">
        <is>
          <t>Рабочий строитель среднего разряда 3,5</t>
        </is>
      </c>
      <c r="L97" t="n">
        <v>1369</v>
      </c>
      <c r="N97" t="n">
        <v>1013</v>
      </c>
      <c r="O97" t="inlineStr">
        <is>
          <t>чел.-ч</t>
        </is>
      </c>
      <c r="P97" t="inlineStr">
        <is>
          <t>чел.-ч</t>
        </is>
      </c>
      <c r="Q97" t="n">
        <v>1</v>
      </c>
      <c r="W97" t="n">
        <v>0</v>
      </c>
      <c r="X97" t="n">
        <v>855544366</v>
      </c>
      <c r="Y97">
        <f>AT97</f>
        <v/>
      </c>
      <c r="AA97" t="n">
        <v>0</v>
      </c>
      <c r="AB97" t="n">
        <v>0</v>
      </c>
      <c r="AC97" t="n">
        <v>0</v>
      </c>
      <c r="AD97" t="n">
        <v>9.07</v>
      </c>
      <c r="AE97" t="n">
        <v>0</v>
      </c>
      <c r="AF97" t="n">
        <v>0</v>
      </c>
      <c r="AG97" t="n">
        <v>0</v>
      </c>
      <c r="AH97" t="n">
        <v>9.07</v>
      </c>
      <c r="AI97" t="n">
        <v>1</v>
      </c>
      <c r="AJ97" t="n">
        <v>1</v>
      </c>
      <c r="AK97" t="n">
        <v>1</v>
      </c>
      <c r="AL97" t="n">
        <v>1</v>
      </c>
      <c r="AM97" t="n">
        <v>-2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81</v>
      </c>
      <c r="AU97" t="inlineStr"/>
      <c r="AV97" t="n">
        <v>1</v>
      </c>
      <c r="AW97" t="n">
        <v>2</v>
      </c>
      <c r="AX97" t="n">
        <v>78869718</v>
      </c>
      <c r="AY97" t="n">
        <v>1</v>
      </c>
      <c r="AZ97" t="n">
        <v>0</v>
      </c>
      <c r="BA97" t="n">
        <v>92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U97">
        <f>ROUND(AT97*Source!I202*AH97*AL97,0)</f>
        <v/>
      </c>
      <c r="CV97">
        <f>ROUND(Y97*Source!I202,7)</f>
        <v/>
      </c>
      <c r="CW97" t="n">
        <v>0</v>
      </c>
      <c r="CX97">
        <f>ROUND(Y97*Source!I202,7)</f>
        <v/>
      </c>
      <c r="CY97">
        <f>AD97</f>
        <v/>
      </c>
      <c r="CZ97">
        <f>AH97</f>
        <v/>
      </c>
      <c r="DA97">
        <f>AL97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ROUND(ROUND(AF97,0)*CX97,0)</f>
        <v/>
      </c>
      <c r="DH97">
        <f>ROUND(ROUND(AG97,0)*CX97,0)</f>
        <v/>
      </c>
      <c r="DI97">
        <f>ROUND(ROUND(AH97,0)*CX97,0)</f>
        <v/>
      </c>
      <c r="DJ97">
        <f>DI97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ROW(Source!A202)</f>
        <v/>
      </c>
      <c r="B98" t="n">
        <v>78869116</v>
      </c>
      <c r="C98" t="n">
        <v>78869709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0.05</v>
      </c>
      <c r="AU98" t="inlineStr"/>
      <c r="AV98" t="n">
        <v>0</v>
      </c>
      <c r="AW98" t="n">
        <v>2</v>
      </c>
      <c r="AX98" t="n">
        <v>78869719</v>
      </c>
      <c r="AY98" t="n">
        <v>1</v>
      </c>
      <c r="AZ98" t="n">
        <v>0</v>
      </c>
      <c r="BA98" t="n">
        <v>93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ROUND(Y98*Source!I202*DO98,7)</f>
        <v/>
      </c>
      <c r="CX98">
        <f>ROUND(Y98*Source!I202,7)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ROW(Source!A202)</f>
        <v/>
      </c>
      <c r="B99" t="n">
        <v>78869116</v>
      </c>
      <c r="C99" t="n">
        <v>78869709</v>
      </c>
      <c r="D99" t="n">
        <v>29110398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101-0388</t>
        </is>
      </c>
      <c r="J99" t="inlineStr">
        <is>
          <t>ТССЦ Московской обл., 101-0388, приказ Минстроя России №675/пр от 28.02.2017 № 254/пр</t>
        </is>
      </c>
      <c r="K99" t="inlineStr">
        <is>
          <t>Краски масляные земляные марки МА-0115 мумия, сурик железный</t>
        </is>
      </c>
      <c r="L99" t="n">
        <v>1348</v>
      </c>
      <c r="N99" t="n">
        <v>1009</v>
      </c>
      <c r="O99" t="inlineStr">
        <is>
          <t>т</t>
        </is>
      </c>
      <c r="P99" t="inlineStr">
        <is>
          <t>т</t>
        </is>
      </c>
      <c r="Q99" t="n">
        <v>1000</v>
      </c>
      <c r="W99" t="n">
        <v>0</v>
      </c>
      <c r="X99" t="n">
        <v>1625292450</v>
      </c>
      <c r="Y99">
        <f>AT99</f>
        <v/>
      </c>
      <c r="AA99" t="n">
        <v>76804.47</v>
      </c>
      <c r="AB99" t="n">
        <v>0</v>
      </c>
      <c r="AC99" t="n">
        <v>0</v>
      </c>
      <c r="AD99" t="n">
        <v>0</v>
      </c>
      <c r="AE99" t="n">
        <v>15118.99</v>
      </c>
      <c r="AF99" t="n">
        <v>0</v>
      </c>
      <c r="AG99" t="n">
        <v>0</v>
      </c>
      <c r="AH99" t="n">
        <v>0</v>
      </c>
      <c r="AI99" t="n">
        <v>5.08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0.0014</v>
      </c>
      <c r="AU99" t="inlineStr"/>
      <c r="AV99" t="n">
        <v>0</v>
      </c>
      <c r="AW99" t="n">
        <v>2</v>
      </c>
      <c r="AX99" t="n">
        <v>78869720</v>
      </c>
      <c r="AY99" t="n">
        <v>1</v>
      </c>
      <c r="AZ99" t="n">
        <v>0</v>
      </c>
      <c r="BA99" t="n">
        <v>94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ROUND(Y99*Source!I202,7)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ROW(Source!A202)</f>
        <v/>
      </c>
      <c r="B100" t="n">
        <v>78869116</v>
      </c>
      <c r="C100" t="n">
        <v>78869709</v>
      </c>
      <c r="D100" t="n">
        <v>29110573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101-0628</t>
        </is>
      </c>
      <c r="J100" t="inlineStr">
        <is>
          <t>ТССЦ Московской обл., 101-0628, приказ Минстроя России №675/пр от 28.02.2017 № 254/пр</t>
        </is>
      </c>
      <c r="K100" t="inlineStr">
        <is>
          <t>Олифа комбинированная, марки К-3</t>
        </is>
      </c>
      <c r="L100" t="n">
        <v>1348</v>
      </c>
      <c r="N100" t="n">
        <v>1009</v>
      </c>
      <c r="O100" t="inlineStr">
        <is>
          <t>т</t>
        </is>
      </c>
      <c r="P100" t="inlineStr">
        <is>
          <t>т</t>
        </is>
      </c>
      <c r="Q100" t="n">
        <v>1000</v>
      </c>
      <c r="W100" t="n">
        <v>0</v>
      </c>
      <c r="X100" t="n">
        <v>24062879</v>
      </c>
      <c r="Y100">
        <f>AT100</f>
        <v/>
      </c>
      <c r="AA100" t="n">
        <v>87631.5</v>
      </c>
      <c r="AB100" t="n">
        <v>0</v>
      </c>
      <c r="AC100" t="n">
        <v>0</v>
      </c>
      <c r="AD100" t="n">
        <v>0</v>
      </c>
      <c r="AE100" t="n">
        <v>16950</v>
      </c>
      <c r="AF100" t="n">
        <v>0</v>
      </c>
      <c r="AG100" t="n">
        <v>0</v>
      </c>
      <c r="AH100" t="n">
        <v>0</v>
      </c>
      <c r="AI100" t="n">
        <v>5.17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0.0007</v>
      </c>
      <c r="AU100" t="inlineStr"/>
      <c r="AV100" t="n">
        <v>0</v>
      </c>
      <c r="AW100" t="n">
        <v>2</v>
      </c>
      <c r="AX100" t="n">
        <v>78869721</v>
      </c>
      <c r="AY100" t="n">
        <v>1</v>
      </c>
      <c r="AZ100" t="n">
        <v>0</v>
      </c>
      <c r="BA100" t="n">
        <v>95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ROUND(Y100*Source!I202,7)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ROW(Source!A202)</f>
        <v/>
      </c>
      <c r="B101" t="n">
        <v>78869116</v>
      </c>
      <c r="C101" t="n">
        <v>78869709</v>
      </c>
      <c r="D101" t="n">
        <v>29107963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101-1669</t>
        </is>
      </c>
      <c r="J101" t="inlineStr">
        <is>
          <t>ТССЦ Московской обл., 101-1669, приказ Минстроя России №675/пр от 28.02.2017 № 254/пр</t>
        </is>
      </c>
      <c r="K101" t="inlineStr">
        <is>
          <t>Очес льняной</t>
        </is>
      </c>
      <c r="L101" t="n">
        <v>1346</v>
      </c>
      <c r="N101" t="n">
        <v>1009</v>
      </c>
      <c r="O101" t="inlineStr">
        <is>
          <t>кг</t>
        </is>
      </c>
      <c r="P101" t="inlineStr">
        <is>
          <t>кг</t>
        </is>
      </c>
      <c r="Q101" t="n">
        <v>1</v>
      </c>
      <c r="W101" t="n">
        <v>0</v>
      </c>
      <c r="X101" t="n">
        <v>-2113933962</v>
      </c>
      <c r="Y101">
        <f>AT101</f>
        <v/>
      </c>
      <c r="AA101" t="n">
        <v>590.67</v>
      </c>
      <c r="AB101" t="n">
        <v>0</v>
      </c>
      <c r="AC101" t="n">
        <v>0</v>
      </c>
      <c r="AD101" t="n">
        <v>0</v>
      </c>
      <c r="AE101" t="n">
        <v>37.29</v>
      </c>
      <c r="AF101" t="n">
        <v>0</v>
      </c>
      <c r="AG101" t="n">
        <v>0</v>
      </c>
      <c r="AH101" t="n">
        <v>0</v>
      </c>
      <c r="AI101" t="n">
        <v>15.84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0.7</v>
      </c>
      <c r="AU101" t="inlineStr"/>
      <c r="AV101" t="n">
        <v>0</v>
      </c>
      <c r="AW101" t="n">
        <v>2</v>
      </c>
      <c r="AX101" t="n">
        <v>78869722</v>
      </c>
      <c r="AY101" t="n">
        <v>1</v>
      </c>
      <c r="AZ101" t="n">
        <v>0</v>
      </c>
      <c r="BA101" t="n">
        <v>96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ROUND(Y101*Source!I202,7)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ROW(Source!A202)</f>
        <v/>
      </c>
      <c r="B102" t="n">
        <v>78869116</v>
      </c>
      <c r="C102" t="n">
        <v>78869709</v>
      </c>
      <c r="D102" t="n">
        <v>29143378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302-0062</t>
        </is>
      </c>
      <c r="J102" t="inlineStr">
        <is>
          <t>ТССЦ Московской обл., 302-0062, приказ Минстроя России №675/пр от 28.02.2017 № 256/пр</t>
        </is>
      </c>
      <c r="K102" t="inlineStr">
        <is>
          <t>Кран шаровый муфтовый Valtec для воды диаметром 15 мм, тип в/в</t>
        </is>
      </c>
      <c r="L102" t="n">
        <v>1354</v>
      </c>
      <c r="N102" t="n">
        <v>1010</v>
      </c>
      <c r="O102" t="inlineStr">
        <is>
          <t>шт.</t>
        </is>
      </c>
      <c r="P102" t="inlineStr">
        <is>
          <t>шт.</t>
        </is>
      </c>
      <c r="Q102" t="n">
        <v>1</v>
      </c>
      <c r="W102" t="n">
        <v>0</v>
      </c>
      <c r="X102" t="n">
        <v>-1687406522</v>
      </c>
      <c r="Y102">
        <f>AT102</f>
        <v/>
      </c>
      <c r="AA102" t="n">
        <v>384.3</v>
      </c>
      <c r="AB102" t="n">
        <v>0</v>
      </c>
      <c r="AC102" t="n">
        <v>0</v>
      </c>
      <c r="AD102" t="n">
        <v>0</v>
      </c>
      <c r="AE102" t="n">
        <v>28.53</v>
      </c>
      <c r="AF102" t="n">
        <v>0</v>
      </c>
      <c r="AG102" t="n">
        <v>0</v>
      </c>
      <c r="AH102" t="n">
        <v>0</v>
      </c>
      <c r="AI102" t="n">
        <v>13.47</v>
      </c>
      <c r="AJ102" t="n">
        <v>1</v>
      </c>
      <c r="AK102" t="n">
        <v>1</v>
      </c>
      <c r="AL102" t="n">
        <v>1</v>
      </c>
      <c r="AM102" t="n">
        <v>0</v>
      </c>
      <c r="AN102" t="n">
        <v>0</v>
      </c>
      <c r="AO102" t="n">
        <v>0</v>
      </c>
      <c r="AP102" t="n">
        <v>1</v>
      </c>
      <c r="AQ102" t="n">
        <v>0</v>
      </c>
      <c r="AR102" t="n">
        <v>0</v>
      </c>
      <c r="AS102" t="inlineStr"/>
      <c r="AT102" t="n">
        <v>100</v>
      </c>
      <c r="AU102" t="inlineStr"/>
      <c r="AV102" t="n">
        <v>0</v>
      </c>
      <c r="AW102" t="n">
        <v>1</v>
      </c>
      <c r="AX102" t="n">
        <v>-1</v>
      </c>
      <c r="AY102" t="n">
        <v>0</v>
      </c>
      <c r="AZ102" t="n">
        <v>0</v>
      </c>
      <c r="BA102" t="inlineStr"/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ROUND(Y102*Source!I202,7)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ROW(Source!A202)</f>
        <v/>
      </c>
      <c r="B103" t="n">
        <v>78869116</v>
      </c>
      <c r="C103" t="n">
        <v>78869709</v>
      </c>
      <c r="D103" t="n">
        <v>29142465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302-1342</t>
        </is>
      </c>
      <c r="J103" t="inlineStr">
        <is>
          <t>ТССЦ Московской обл., 302-1342, приказ Минстроя России №675/пр от 28.02.2017 № 256/пр</t>
        </is>
      </c>
      <c r="K103" t="inlineStr">
        <is>
          <t>Вентили проходные муфтовые 15кч18п для воды давлением 1,6 МПа (16 кгс/см2), диаметром 20 мм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W103" t="n">
        <v>0</v>
      </c>
      <c r="X103" t="n">
        <v>-852705161</v>
      </c>
      <c r="Y103">
        <f>AT103</f>
        <v/>
      </c>
      <c r="AA103" t="n">
        <v>221.81</v>
      </c>
      <c r="AB103" t="n">
        <v>0</v>
      </c>
      <c r="AC103" t="n">
        <v>0</v>
      </c>
      <c r="AD103" t="n">
        <v>0</v>
      </c>
      <c r="AE103" t="n">
        <v>21.81</v>
      </c>
      <c r="AF103" t="n">
        <v>0</v>
      </c>
      <c r="AG103" t="n">
        <v>0</v>
      </c>
      <c r="AH103" t="n">
        <v>0</v>
      </c>
      <c r="AI103" t="n">
        <v>10.17</v>
      </c>
      <c r="AJ103" t="n">
        <v>1</v>
      </c>
      <c r="AK103" t="n">
        <v>1</v>
      </c>
      <c r="AL103" t="n">
        <v>1</v>
      </c>
      <c r="AM103" t="n">
        <v>2</v>
      </c>
      <c r="AN103" t="n">
        <v>0</v>
      </c>
      <c r="AO103" t="n">
        <v>1</v>
      </c>
      <c r="AP103" t="n">
        <v>1</v>
      </c>
      <c r="AQ103" t="n">
        <v>0</v>
      </c>
      <c r="AR103" t="n">
        <v>0</v>
      </c>
      <c r="AS103" t="inlineStr"/>
      <c r="AT103" t="n">
        <v>100</v>
      </c>
      <c r="AU103" t="inlineStr"/>
      <c r="AV103" t="n">
        <v>0</v>
      </c>
      <c r="AW103" t="n">
        <v>2</v>
      </c>
      <c r="AX103" t="n">
        <v>78869723</v>
      </c>
      <c r="AY103" t="n">
        <v>1</v>
      </c>
      <c r="AZ103" t="n">
        <v>0</v>
      </c>
      <c r="BA103" t="n">
        <v>97</v>
      </c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ROUND(Y103*Source!I202,7)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ROW(Source!A202)</f>
        <v/>
      </c>
      <c r="B104" t="n">
        <v>78869116</v>
      </c>
      <c r="C104" t="n">
        <v>78869709</v>
      </c>
      <c r="D104" t="n">
        <v>29164350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509-9899</t>
        </is>
      </c>
      <c r="J104" t="inlineStr">
        <is>
          <t>ТССЦ Московской обл., 509-9899, приказ Минстроя России №675/пр от 28.02.2017 № 258/пр</t>
        </is>
      </c>
      <c r="K104" t="inlineStr">
        <is>
          <t>Строительный мусор и масса возвратных материалов</t>
        </is>
      </c>
      <c r="L104" t="n">
        <v>1348</v>
      </c>
      <c r="N104" t="n">
        <v>1009</v>
      </c>
      <c r="O104" t="inlineStr">
        <is>
          <t>т</t>
        </is>
      </c>
      <c r="P104" t="inlineStr">
        <is>
          <t>т</t>
        </is>
      </c>
      <c r="Q104" t="n">
        <v>1000</v>
      </c>
      <c r="W104" t="n">
        <v>0</v>
      </c>
      <c r="X104" t="n">
        <v>1839160745</v>
      </c>
      <c r="Y104">
        <f>AT104</f>
        <v/>
      </c>
      <c r="AA104" t="n">
        <v>0</v>
      </c>
      <c r="AB104" t="n">
        <v>0</v>
      </c>
      <c r="AC104" t="n">
        <v>0</v>
      </c>
      <c r="AD104" t="n">
        <v>0</v>
      </c>
      <c r="AE104" t="n">
        <v>0</v>
      </c>
      <c r="AF104" t="n">
        <v>0</v>
      </c>
      <c r="AG104" t="n">
        <v>0</v>
      </c>
      <c r="AH104" t="n">
        <v>0</v>
      </c>
      <c r="AI104" t="n">
        <v>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0.04</v>
      </c>
      <c r="AU104" t="inlineStr"/>
      <c r="AV104" t="n">
        <v>0</v>
      </c>
      <c r="AW104" t="n">
        <v>2</v>
      </c>
      <c r="AX104" t="n">
        <v>78869724</v>
      </c>
      <c r="AY104" t="n">
        <v>1</v>
      </c>
      <c r="AZ104" t="n">
        <v>0</v>
      </c>
      <c r="BA104" t="n">
        <v>98</v>
      </c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ROUND(Y104*Source!I202,7)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ROW(Source!A205)</f>
        <v/>
      </c>
      <c r="B105" t="n">
        <v>78869116</v>
      </c>
      <c r="C105" t="n">
        <v>78869727</v>
      </c>
      <c r="D105" t="n">
        <v>18442827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1-1053-90</t>
        </is>
      </c>
      <c r="J105" t="inlineStr"/>
      <c r="K105" t="inlineStr">
        <is>
          <t>Рабочий строитель среднего разряда 5,3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717490484</v>
      </c>
      <c r="Y105">
        <f>(AT105*ROUND(5,7))</f>
        <v/>
      </c>
      <c r="AA105" t="n">
        <v>0</v>
      </c>
      <c r="AB105" t="n">
        <v>0</v>
      </c>
      <c r="AC105" t="n">
        <v>0</v>
      </c>
      <c r="AD105" t="n">
        <v>11.64</v>
      </c>
      <c r="AE105" t="n">
        <v>0</v>
      </c>
      <c r="AF105" t="n">
        <v>0</v>
      </c>
      <c r="AG105" t="n">
        <v>0</v>
      </c>
      <c r="AH105" t="n">
        <v>11.64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1</v>
      </c>
      <c r="AQ105" t="n">
        <v>0</v>
      </c>
      <c r="AR105" t="n">
        <v>0</v>
      </c>
      <c r="AS105" t="inlineStr"/>
      <c r="AT105" t="n">
        <v>5.01</v>
      </c>
      <c r="AU105" t="inlineStr">
        <is>
          <t>)*5</t>
        </is>
      </c>
      <c r="AV105" t="n">
        <v>1</v>
      </c>
      <c r="AW105" t="n">
        <v>2</v>
      </c>
      <c r="AX105" t="n">
        <v>78869734</v>
      </c>
      <c r="AY105" t="n">
        <v>1</v>
      </c>
      <c r="AZ105" t="n">
        <v>2048</v>
      </c>
      <c r="BA105" t="n">
        <v>99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ROUND(AT105*Source!I205*AH105*AL105,0)</f>
        <v/>
      </c>
      <c r="CV105">
        <f>ROUND(Y105*Source!I205,7)</f>
        <v/>
      </c>
      <c r="CW105" t="n">
        <v>0</v>
      </c>
      <c r="CX105">
        <f>ROUND(Y105*Source!I205,7)</f>
        <v/>
      </c>
      <c r="CY105">
        <f>AD105</f>
        <v/>
      </c>
      <c r="CZ105">
        <f>AH105</f>
        <v/>
      </c>
      <c r="DA105">
        <f>AL105</f>
        <v/>
      </c>
      <c r="DB105">
        <f>ROUND((ROUND(AT105*CZ105,2)*ROUND(5,7)),2)</f>
        <v/>
      </c>
      <c r="DC105">
        <f>ROUND((ROUND(AT105*AG105,2)*ROUND(5,7)),2)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ROW(Source!A205)</f>
        <v/>
      </c>
      <c r="B106" t="n">
        <v>78869116</v>
      </c>
      <c r="C106" t="n">
        <v>78869727</v>
      </c>
      <c r="D106" t="n">
        <v>29172703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042900</t>
        </is>
      </c>
      <c r="J106" t="inlineStr">
        <is>
          <t>ТСЭМ Московской обл., 042900, приказ Минстроя России №675/пр от 28.02.2017 № 264/пр</t>
        </is>
      </c>
      <c r="K10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W106" t="n">
        <v>0</v>
      </c>
      <c r="X106" t="n">
        <v>1695838894</v>
      </c>
      <c r="Y106">
        <f>(AT106*ROUND(5,7))</f>
        <v/>
      </c>
      <c r="AA106" t="n">
        <v>0</v>
      </c>
      <c r="AB106" t="n">
        <v>177.13</v>
      </c>
      <c r="AC106" t="n">
        <v>0</v>
      </c>
      <c r="AD106" t="n">
        <v>0</v>
      </c>
      <c r="AE106" t="n">
        <v>0</v>
      </c>
      <c r="AF106" t="n">
        <v>29.67</v>
      </c>
      <c r="AG106" t="n">
        <v>0</v>
      </c>
      <c r="AH106" t="n">
        <v>0</v>
      </c>
      <c r="AI106" t="n">
        <v>1</v>
      </c>
      <c r="AJ106" t="n">
        <v>5.97</v>
      </c>
      <c r="AK106" t="n">
        <v>52.25</v>
      </c>
      <c r="AL106" t="n">
        <v>1</v>
      </c>
      <c r="AM106" t="n">
        <v>2</v>
      </c>
      <c r="AN106" t="n">
        <v>0</v>
      </c>
      <c r="AO106" t="n">
        <v>1</v>
      </c>
      <c r="AP106" t="n">
        <v>1</v>
      </c>
      <c r="AQ106" t="n">
        <v>0</v>
      </c>
      <c r="AR106" t="n">
        <v>0</v>
      </c>
      <c r="AS106" t="inlineStr"/>
      <c r="AT106" t="n">
        <v>1.5</v>
      </c>
      <c r="AU106" t="inlineStr">
        <is>
          <t>)*5</t>
        </is>
      </c>
      <c r="AV106" t="n">
        <v>0</v>
      </c>
      <c r="AW106" t="n">
        <v>2</v>
      </c>
      <c r="AX106" t="n">
        <v>78869735</v>
      </c>
      <c r="AY106" t="n">
        <v>1</v>
      </c>
      <c r="AZ106" t="n">
        <v>0</v>
      </c>
      <c r="BA106" t="n">
        <v>100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>
        <f>ROUND(Y106*Source!I205*DO106,7)</f>
        <v/>
      </c>
      <c r="CX106">
        <f>ROUND(Y106*Source!I205,7)</f>
        <v/>
      </c>
      <c r="CY106">
        <f>AB106</f>
        <v/>
      </c>
      <c r="CZ106">
        <f>AF106</f>
        <v/>
      </c>
      <c r="DA106">
        <f>AJ106</f>
        <v/>
      </c>
      <c r="DB106">
        <f>ROUND((ROUND(AT106*CZ106,2)*ROUND(5,7)),2)</f>
        <v/>
      </c>
      <c r="DC106">
        <f>ROUND((ROUND(AT106*AG106,2)*ROUND(5,7)),2)</f>
        <v/>
      </c>
      <c r="DD106" t="inlineStr"/>
      <c r="DE106" t="inlineStr"/>
      <c r="DF106">
        <f>ROUND(ROUND(AE106,0)*CX106,0)</f>
        <v/>
      </c>
      <c r="DG106">
        <f>ROUND(ROUND(AF106*AJ106,0)*CX106,0)</f>
        <v/>
      </c>
      <c r="DH106">
        <f>ROUND(ROUND(AG106*AK106,0)*CX106,0)</f>
        <v/>
      </c>
      <c r="DI106">
        <f>ROUND(ROUND(AH106,0)*CX106,0)</f>
        <v/>
      </c>
      <c r="DJ106">
        <f>DG106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ROW(Source!A205)</f>
        <v/>
      </c>
      <c r="B107" t="n">
        <v>78869116</v>
      </c>
      <c r="C107" t="n">
        <v>78869727</v>
      </c>
      <c r="D107" t="n">
        <v>29110398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101-0388</t>
        </is>
      </c>
      <c r="J107" t="inlineStr">
        <is>
          <t>ТССЦ Московской обл., 101-0388, приказ Минстроя России №675/пр от 28.02.2017 № 254/пр</t>
        </is>
      </c>
      <c r="K107" t="inlineStr">
        <is>
          <t>Краски масляные земляные марки МА-0115 мумия, сурик железный</t>
        </is>
      </c>
      <c r="L107" t="n">
        <v>1348</v>
      </c>
      <c r="N107" t="n">
        <v>1009</v>
      </c>
      <c r="O107" t="inlineStr">
        <is>
          <t>т</t>
        </is>
      </c>
      <c r="P107" t="inlineStr">
        <is>
          <t>т</t>
        </is>
      </c>
      <c r="Q107" t="n">
        <v>1000</v>
      </c>
      <c r="W107" t="n">
        <v>0</v>
      </c>
      <c r="X107" t="n">
        <v>1625292450</v>
      </c>
      <c r="Y107">
        <f>(AT107*ROUND(5,7))</f>
        <v/>
      </c>
      <c r="AA107" t="n">
        <v>76804.47</v>
      </c>
      <c r="AB107" t="n">
        <v>0</v>
      </c>
      <c r="AC107" t="n">
        <v>0</v>
      </c>
      <c r="AD107" t="n">
        <v>0</v>
      </c>
      <c r="AE107" t="n">
        <v>15118.99</v>
      </c>
      <c r="AF107" t="n">
        <v>0</v>
      </c>
      <c r="AG107" t="n">
        <v>0</v>
      </c>
      <c r="AH107" t="n">
        <v>0</v>
      </c>
      <c r="AI107" t="n">
        <v>5.08</v>
      </c>
      <c r="AJ107" t="n">
        <v>1</v>
      </c>
      <c r="AK107" t="n">
        <v>1</v>
      </c>
      <c r="AL107" t="n">
        <v>1</v>
      </c>
      <c r="AM107" t="n">
        <v>2</v>
      </c>
      <c r="AN107" t="n">
        <v>0</v>
      </c>
      <c r="AO107" t="n">
        <v>1</v>
      </c>
      <c r="AP107" t="n">
        <v>1</v>
      </c>
      <c r="AQ107" t="n">
        <v>0</v>
      </c>
      <c r="AR107" t="n">
        <v>0</v>
      </c>
      <c r="AS107" t="inlineStr"/>
      <c r="AT107" t="n">
        <v>5e-05</v>
      </c>
      <c r="AU107" t="inlineStr">
        <is>
          <t>)*5</t>
        </is>
      </c>
      <c r="AV107" t="n">
        <v>0</v>
      </c>
      <c r="AW107" t="n">
        <v>2</v>
      </c>
      <c r="AX107" t="n">
        <v>78869736</v>
      </c>
      <c r="AY107" t="n">
        <v>1</v>
      </c>
      <c r="AZ107" t="n">
        <v>0</v>
      </c>
      <c r="BA107" t="n">
        <v>101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 t="n">
        <v>0</v>
      </c>
      <c r="CX107">
        <f>ROUND(Y107*Source!I205,7)</f>
        <v/>
      </c>
      <c r="CY107">
        <f>AA107</f>
        <v/>
      </c>
      <c r="CZ107">
        <f>AE107</f>
        <v/>
      </c>
      <c r="DA107">
        <f>AI107</f>
        <v/>
      </c>
      <c r="DB107">
        <f>ROUND((ROUND(AT107*CZ107,2)*ROUND(5,7)),2)</f>
        <v/>
      </c>
      <c r="DC107">
        <f>ROUND((ROUND(AT107*AG107,2)*ROUND(5,7)),2)</f>
        <v/>
      </c>
      <c r="DD107" t="inlineStr"/>
      <c r="DE107" t="inlineStr"/>
      <c r="DF107">
        <f>ROUND(ROUND(AE107*AI107,0)*CX107,0)</f>
        <v/>
      </c>
      <c r="DG107">
        <f>ROUND(ROUND(AF107,0)*CX107,0)</f>
        <v/>
      </c>
      <c r="DH107">
        <f>ROUND(ROUND(AG107,0)*CX107,0)</f>
        <v/>
      </c>
      <c r="DI107">
        <f>ROUND(ROUND(AH107,0)*CX107,0)</f>
        <v/>
      </c>
      <c r="DJ107">
        <f>DF107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ROW(Source!A205)</f>
        <v/>
      </c>
      <c r="B108" t="n">
        <v>78869116</v>
      </c>
      <c r="C108" t="n">
        <v>78869727</v>
      </c>
      <c r="D108" t="n">
        <v>29110573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101-0628</t>
        </is>
      </c>
      <c r="J108" t="inlineStr">
        <is>
          <t>ТССЦ Московской обл., 101-0628, приказ Минстроя России №675/пр от 28.02.2017 № 254/пр</t>
        </is>
      </c>
      <c r="K108" t="inlineStr">
        <is>
          <t>Олифа комбинированная, марки К-3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24062879</v>
      </c>
      <c r="Y108">
        <f>(AT108*ROUND(5,7))</f>
        <v/>
      </c>
      <c r="AA108" t="n">
        <v>87631.5</v>
      </c>
      <c r="AB108" t="n">
        <v>0</v>
      </c>
      <c r="AC108" t="n">
        <v>0</v>
      </c>
      <c r="AD108" t="n">
        <v>0</v>
      </c>
      <c r="AE108" t="n">
        <v>16950</v>
      </c>
      <c r="AF108" t="n">
        <v>0</v>
      </c>
      <c r="AG108" t="n">
        <v>0</v>
      </c>
      <c r="AH108" t="n">
        <v>0</v>
      </c>
      <c r="AI108" t="n">
        <v>5.17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1</v>
      </c>
      <c r="AQ108" t="n">
        <v>0</v>
      </c>
      <c r="AR108" t="n">
        <v>0</v>
      </c>
      <c r="AS108" t="inlineStr"/>
      <c r="AT108" t="n">
        <v>2e-05</v>
      </c>
      <c r="AU108" t="inlineStr">
        <is>
          <t>)*5</t>
        </is>
      </c>
      <c r="AV108" t="n">
        <v>0</v>
      </c>
      <c r="AW108" t="n">
        <v>2</v>
      </c>
      <c r="AX108" t="n">
        <v>78869737</v>
      </c>
      <c r="AY108" t="n">
        <v>1</v>
      </c>
      <c r="AZ108" t="n">
        <v>0</v>
      </c>
      <c r="BA108" t="n">
        <v>102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ROUND(Y108*Source!I205,7)</f>
        <v/>
      </c>
      <c r="CY108">
        <f>AA108</f>
        <v/>
      </c>
      <c r="CZ108">
        <f>AE108</f>
        <v/>
      </c>
      <c r="DA108">
        <f>AI108</f>
        <v/>
      </c>
      <c r="DB108">
        <f>ROUND((ROUND(AT108*CZ108,2)*ROUND(5,7)),2)</f>
        <v/>
      </c>
      <c r="DC108">
        <f>ROUND((ROUND(AT108*AG108,2)*ROUND(5,7)),2)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ROW(Source!A205)</f>
        <v/>
      </c>
      <c r="B109" t="n">
        <v>78869116</v>
      </c>
      <c r="C109" t="n">
        <v>78869727</v>
      </c>
      <c r="D109" t="n">
        <v>29107963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101-1669</t>
        </is>
      </c>
      <c r="J109" t="inlineStr">
        <is>
          <t>ТССЦ Московской обл., 101-1669, приказ Минстроя России №675/пр от 28.02.2017 № 254/пр</t>
        </is>
      </c>
      <c r="K109" t="inlineStr">
        <is>
          <t>Очес льняной</t>
        </is>
      </c>
      <c r="L109" t="n">
        <v>1346</v>
      </c>
      <c r="N109" t="n">
        <v>1009</v>
      </c>
      <c r="O109" t="inlineStr">
        <is>
          <t>кг</t>
        </is>
      </c>
      <c r="P109" t="inlineStr">
        <is>
          <t>кг</t>
        </is>
      </c>
      <c r="Q109" t="n">
        <v>1</v>
      </c>
      <c r="W109" t="n">
        <v>0</v>
      </c>
      <c r="X109" t="n">
        <v>-2113933962</v>
      </c>
      <c r="Y109">
        <f>(AT109*ROUND(5,7))</f>
        <v/>
      </c>
      <c r="AA109" t="n">
        <v>590.67</v>
      </c>
      <c r="AB109" t="n">
        <v>0</v>
      </c>
      <c r="AC109" t="n">
        <v>0</v>
      </c>
      <c r="AD109" t="n">
        <v>0</v>
      </c>
      <c r="AE109" t="n">
        <v>37.29</v>
      </c>
      <c r="AF109" t="n">
        <v>0</v>
      </c>
      <c r="AG109" t="n">
        <v>0</v>
      </c>
      <c r="AH109" t="n">
        <v>0</v>
      </c>
      <c r="AI109" t="n">
        <v>15.84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1</v>
      </c>
      <c r="AQ109" t="n">
        <v>0</v>
      </c>
      <c r="AR109" t="n">
        <v>0</v>
      </c>
      <c r="AS109" t="inlineStr"/>
      <c r="AT109" t="n">
        <v>0.02</v>
      </c>
      <c r="AU109" t="inlineStr">
        <is>
          <t>)*5</t>
        </is>
      </c>
      <c r="AV109" t="n">
        <v>0</v>
      </c>
      <c r="AW109" t="n">
        <v>2</v>
      </c>
      <c r="AX109" t="n">
        <v>78869738</v>
      </c>
      <c r="AY109" t="n">
        <v>1</v>
      </c>
      <c r="AZ109" t="n">
        <v>0</v>
      </c>
      <c r="BA109" t="n">
        <v>103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ROUND(Y109*Source!I205,7)</f>
        <v/>
      </c>
      <c r="CY109">
        <f>AA109</f>
        <v/>
      </c>
      <c r="CZ109">
        <f>AE109</f>
        <v/>
      </c>
      <c r="DA109">
        <f>AI109</f>
        <v/>
      </c>
      <c r="DB109">
        <f>ROUND((ROUND(AT109*CZ109,2)*ROUND(5,7)),2)</f>
        <v/>
      </c>
      <c r="DC109">
        <f>ROUND((ROUND(AT109*AG109,2)*ROUND(5,7)),2)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ROW(Source!A205)</f>
        <v/>
      </c>
      <c r="B110" t="n">
        <v>78869116</v>
      </c>
      <c r="C110" t="n">
        <v>78869727</v>
      </c>
      <c r="D110" t="n">
        <v>29150040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411-0001</t>
        </is>
      </c>
      <c r="J110" t="inlineStr">
        <is>
          <t>ТССЦ Московской обл., 411-0001, приказ Минстроя России №675/пр от 28.02.2017 № 257/пр</t>
        </is>
      </c>
      <c r="K110" t="inlineStr">
        <is>
          <t>Вода</t>
        </is>
      </c>
      <c r="L110" t="n">
        <v>1339</v>
      </c>
      <c r="N110" t="n">
        <v>1007</v>
      </c>
      <c r="O110" t="inlineStr">
        <is>
          <t>м3</t>
        </is>
      </c>
      <c r="P110" t="inlineStr">
        <is>
          <t>м3</t>
        </is>
      </c>
      <c r="Q110" t="n">
        <v>1</v>
      </c>
      <c r="W110" t="n">
        <v>0</v>
      </c>
      <c r="X110" t="n">
        <v>619799737</v>
      </c>
      <c r="Y110">
        <f>(AT110*ROUND(5,7))</f>
        <v/>
      </c>
      <c r="AA110" t="n">
        <v>31.28</v>
      </c>
      <c r="AB110" t="n">
        <v>0</v>
      </c>
      <c r="AC110" t="n">
        <v>0</v>
      </c>
      <c r="AD110" t="n">
        <v>0</v>
      </c>
      <c r="AE110" t="n">
        <v>2.44</v>
      </c>
      <c r="AF110" t="n">
        <v>0</v>
      </c>
      <c r="AG110" t="n">
        <v>0</v>
      </c>
      <c r="AH110" t="n">
        <v>0</v>
      </c>
      <c r="AI110" t="n">
        <v>12.82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1</v>
      </c>
      <c r="AQ110" t="n">
        <v>0</v>
      </c>
      <c r="AR110" t="n">
        <v>0</v>
      </c>
      <c r="AS110" t="inlineStr"/>
      <c r="AT110" t="n">
        <v>1</v>
      </c>
      <c r="AU110" t="inlineStr">
        <is>
          <t>)*5</t>
        </is>
      </c>
      <c r="AV110" t="n">
        <v>0</v>
      </c>
      <c r="AW110" t="n">
        <v>2</v>
      </c>
      <c r="AX110" t="n">
        <v>78869739</v>
      </c>
      <c r="AY110" t="n">
        <v>1</v>
      </c>
      <c r="AZ110" t="n">
        <v>0</v>
      </c>
      <c r="BA110" t="n">
        <v>104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ROUND(Y110*Source!I205,7)</f>
        <v/>
      </c>
      <c r="CY110">
        <f>AA110</f>
        <v/>
      </c>
      <c r="CZ110">
        <f>AE110</f>
        <v/>
      </c>
      <c r="DA110">
        <f>AI110</f>
        <v/>
      </c>
      <c r="DB110">
        <f>ROUND((ROUND(AT110*CZ110,2)*ROUND(5,7)),2)</f>
        <v/>
      </c>
      <c r="DC110">
        <f>ROUND((ROUND(AT110*AG110,2)*ROUND(5,7)),2)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ROW(Source!A244)</f>
        <v/>
      </c>
      <c r="B111" t="n">
        <v>78869116</v>
      </c>
      <c r="C111" t="n">
        <v>78869803</v>
      </c>
      <c r="D111" t="n">
        <v>18408291</v>
      </c>
      <c r="E111" t="n">
        <v>1</v>
      </c>
      <c r="F111" t="n">
        <v>1</v>
      </c>
      <c r="G111" t="n">
        <v>1</v>
      </c>
      <c r="H111" t="n">
        <v>1</v>
      </c>
      <c r="I111" t="inlineStr">
        <is>
          <t>1-1025-90</t>
        </is>
      </c>
      <c r="J111" t="inlineStr"/>
      <c r="K111" t="inlineStr">
        <is>
          <t>Рабочий строитель среднего разряда 2,5</t>
        </is>
      </c>
      <c r="L111" t="n">
        <v>1369</v>
      </c>
      <c r="N111" t="n">
        <v>1013</v>
      </c>
      <c r="O111" t="inlineStr">
        <is>
          <t>чел.-ч</t>
        </is>
      </c>
      <c r="P111" t="inlineStr">
        <is>
          <t>чел.-ч</t>
        </is>
      </c>
      <c r="Q111" t="n">
        <v>1</v>
      </c>
      <c r="W111" t="n">
        <v>0</v>
      </c>
      <c r="X111" t="n">
        <v>1933892413</v>
      </c>
      <c r="Y111">
        <f>AT111</f>
        <v/>
      </c>
      <c r="AA111" t="n">
        <v>0</v>
      </c>
      <c r="AB111" t="n">
        <v>0</v>
      </c>
      <c r="AC111" t="n">
        <v>0</v>
      </c>
      <c r="AD111" t="n">
        <v>8.17</v>
      </c>
      <c r="AE111" t="n">
        <v>0</v>
      </c>
      <c r="AF111" t="n">
        <v>0</v>
      </c>
      <c r="AG111" t="n">
        <v>0</v>
      </c>
      <c r="AH111" t="n">
        <v>8.17</v>
      </c>
      <c r="AI111" t="n">
        <v>1</v>
      </c>
      <c r="AJ111" t="n">
        <v>1</v>
      </c>
      <c r="AK111" t="n">
        <v>1</v>
      </c>
      <c r="AL111" t="n">
        <v>1</v>
      </c>
      <c r="AM111" t="n">
        <v>-2</v>
      </c>
      <c r="AN111" t="n">
        <v>0</v>
      </c>
      <c r="AO111" t="n">
        <v>1</v>
      </c>
      <c r="AP111" t="n">
        <v>1</v>
      </c>
      <c r="AQ111" t="n">
        <v>0</v>
      </c>
      <c r="AR111" t="n">
        <v>0</v>
      </c>
      <c r="AS111" t="inlineStr"/>
      <c r="AT111" t="n">
        <v>32.2</v>
      </c>
      <c r="AU111" t="inlineStr"/>
      <c r="AV111" t="n">
        <v>1</v>
      </c>
      <c r="AW111" t="n">
        <v>2</v>
      </c>
      <c r="AX111" t="n">
        <v>78869809</v>
      </c>
      <c r="AY111" t="n">
        <v>1</v>
      </c>
      <c r="AZ111" t="n">
        <v>0</v>
      </c>
      <c r="BA111" t="n">
        <v>105</v>
      </c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U111">
        <f>ROUND(AT111*Source!I244*AH111*AL111,0)</f>
        <v/>
      </c>
      <c r="CV111">
        <f>ROUND(Y111*Source!I244,7)</f>
        <v/>
      </c>
      <c r="CW111" t="n">
        <v>0</v>
      </c>
      <c r="CX111">
        <f>ROUND(Y111*Source!I244,7)</f>
        <v/>
      </c>
      <c r="CY111">
        <f>AD111</f>
        <v/>
      </c>
      <c r="CZ111">
        <f>AH111</f>
        <v/>
      </c>
      <c r="DA111">
        <f>AL111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DI111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ROW(Source!A244)</f>
        <v/>
      </c>
      <c r="B112" t="n">
        <v>78869116</v>
      </c>
      <c r="C112" t="n">
        <v>78869803</v>
      </c>
      <c r="D112" t="n">
        <v>29174913</v>
      </c>
      <c r="E112" t="n">
        <v>1</v>
      </c>
      <c r="F112" t="n">
        <v>1</v>
      </c>
      <c r="G112" t="n">
        <v>1</v>
      </c>
      <c r="H112" t="n">
        <v>2</v>
      </c>
      <c r="I112" t="inlineStr">
        <is>
          <t>400001</t>
        </is>
      </c>
      <c r="J112" t="inlineStr">
        <is>
          <t>ТСЭМ Московской обл., 400001, приказ Минстроя России №675/пр от 28.02.2017 № 264/пр</t>
        </is>
      </c>
      <c r="K112" t="inlineStr">
        <is>
          <t>Автомобили бортовые, грузоподъемность до 5 т</t>
        </is>
      </c>
      <c r="L112" t="n">
        <v>1368</v>
      </c>
      <c r="N112" t="n">
        <v>1011</v>
      </c>
      <c r="O112" t="inlineStr">
        <is>
          <t>маш.-ч</t>
        </is>
      </c>
      <c r="P112" t="inlineStr">
        <is>
          <t>маш.-ч</t>
        </is>
      </c>
      <c r="Q112" t="n">
        <v>1</v>
      </c>
      <c r="W112" t="n">
        <v>0</v>
      </c>
      <c r="X112" t="n">
        <v>1230759911</v>
      </c>
      <c r="Y112">
        <f>AT112</f>
        <v/>
      </c>
      <c r="AA112" t="n">
        <v>0</v>
      </c>
      <c r="AB112" t="n">
        <v>2177.51</v>
      </c>
      <c r="AC112" t="n">
        <v>606.1</v>
      </c>
      <c r="AD112" t="n">
        <v>0</v>
      </c>
      <c r="AE112" t="n">
        <v>0</v>
      </c>
      <c r="AF112" t="n">
        <v>87.17</v>
      </c>
      <c r="AG112" t="n">
        <v>11.6</v>
      </c>
      <c r="AH112" t="n">
        <v>0</v>
      </c>
      <c r="AI112" t="n">
        <v>1</v>
      </c>
      <c r="AJ112" t="n">
        <v>24.98</v>
      </c>
      <c r="AK112" t="n">
        <v>52.25</v>
      </c>
      <c r="AL112" t="n">
        <v>1</v>
      </c>
      <c r="AM112" t="n">
        <v>2</v>
      </c>
      <c r="AN112" t="n">
        <v>0</v>
      </c>
      <c r="AO112" t="n">
        <v>1</v>
      </c>
      <c r="AP112" t="n">
        <v>1</v>
      </c>
      <c r="AQ112" t="n">
        <v>0</v>
      </c>
      <c r="AR112" t="n">
        <v>0</v>
      </c>
      <c r="AS112" t="inlineStr"/>
      <c r="AT112" t="n">
        <v>0.01</v>
      </c>
      <c r="AU112" t="inlineStr"/>
      <c r="AV112" t="n">
        <v>0</v>
      </c>
      <c r="AW112" t="n">
        <v>2</v>
      </c>
      <c r="AX112" t="n">
        <v>78869810</v>
      </c>
      <c r="AY112" t="n">
        <v>1</v>
      </c>
      <c r="AZ112" t="n">
        <v>0</v>
      </c>
      <c r="BA112" t="n">
        <v>106</v>
      </c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>
        <f>ROUND(Y112*Source!I244*DO112,7)</f>
        <v/>
      </c>
      <c r="CX112">
        <f>ROUND(Y112*Source!I244,7)</f>
        <v/>
      </c>
      <c r="CY112">
        <f>AB112</f>
        <v/>
      </c>
      <c r="CZ112">
        <f>AF112</f>
        <v/>
      </c>
      <c r="DA112">
        <f>AJ112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ROUND(ROUND(AE112,0)*CX112,0)</f>
        <v/>
      </c>
      <c r="DG112">
        <f>ROUND(ROUND(AF112*AJ112,0)*CX112,0)</f>
        <v/>
      </c>
      <c r="DH112">
        <f>ROUND(ROUND(AG112*AK112,0)*CX112,0)</f>
        <v/>
      </c>
      <c r="DI112">
        <f>ROUND(ROUND(AH112,0)*CX112,0)</f>
        <v/>
      </c>
      <c r="DJ112">
        <f>DG112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ROW(Source!A244)</f>
        <v/>
      </c>
      <c r="B113" t="n">
        <v>78869116</v>
      </c>
      <c r="C113" t="n">
        <v>78869803</v>
      </c>
      <c r="D113" t="n">
        <v>29110139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101-1703</t>
        </is>
      </c>
      <c r="J113" t="inlineStr">
        <is>
          <t>ТССЦ Московской обл., 101-1703, приказ Минстроя России №675/пр от 28.02.2017 № 254/пр</t>
        </is>
      </c>
      <c r="K113" t="inlineStr">
        <is>
          <t>Прокладки резиновые (пластина техническая прессованная)</t>
        </is>
      </c>
      <c r="L113" t="n">
        <v>1346</v>
      </c>
      <c r="N113" t="n">
        <v>1009</v>
      </c>
      <c r="O113" t="inlineStr">
        <is>
          <t>кг</t>
        </is>
      </c>
      <c r="P113" t="inlineStr">
        <is>
          <t>кг</t>
        </is>
      </c>
      <c r="Q113" t="n">
        <v>1</v>
      </c>
      <c r="W113" t="n">
        <v>0</v>
      </c>
      <c r="X113" t="n">
        <v>-1947909329</v>
      </c>
      <c r="Y113">
        <f>AT113</f>
        <v/>
      </c>
      <c r="AA113" t="n">
        <v>341.04</v>
      </c>
      <c r="AB113" t="n">
        <v>0</v>
      </c>
      <c r="AC113" t="n">
        <v>0</v>
      </c>
      <c r="AD113" t="n">
        <v>0</v>
      </c>
      <c r="AE113" t="n">
        <v>23.09</v>
      </c>
      <c r="AF113" t="n">
        <v>0</v>
      </c>
      <c r="AG113" t="n">
        <v>0</v>
      </c>
      <c r="AH113" t="n">
        <v>0</v>
      </c>
      <c r="AI113" t="n">
        <v>14.77</v>
      </c>
      <c r="AJ113" t="n">
        <v>1</v>
      </c>
      <c r="AK113" t="n">
        <v>1</v>
      </c>
      <c r="AL113" t="n">
        <v>1</v>
      </c>
      <c r="AM113" t="n">
        <v>2</v>
      </c>
      <c r="AN113" t="n">
        <v>0</v>
      </c>
      <c r="AO113" t="n">
        <v>1</v>
      </c>
      <c r="AP113" t="n">
        <v>1</v>
      </c>
      <c r="AQ113" t="n">
        <v>0</v>
      </c>
      <c r="AR113" t="n">
        <v>0</v>
      </c>
      <c r="AS113" t="inlineStr"/>
      <c r="AT113" t="n">
        <v>2</v>
      </c>
      <c r="AU113" t="inlineStr"/>
      <c r="AV113" t="n">
        <v>0</v>
      </c>
      <c r="AW113" t="n">
        <v>2</v>
      </c>
      <c r="AX113" t="n">
        <v>78869811</v>
      </c>
      <c r="AY113" t="n">
        <v>1</v>
      </c>
      <c r="AZ113" t="n">
        <v>0</v>
      </c>
      <c r="BA113" t="n">
        <v>107</v>
      </c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ROUND(Y113*Source!I244,7)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ROW(Source!A244)</f>
        <v/>
      </c>
      <c r="B114" t="n">
        <v>78869116</v>
      </c>
      <c r="C114" t="n">
        <v>78869803</v>
      </c>
      <c r="D114" t="n">
        <v>29114240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101-2576</t>
        </is>
      </c>
      <c r="J114" t="inlineStr">
        <is>
          <t>ТССЦ Московской обл., 101-2576, приказ Минстроя России №675/пр от 28.02.2017 № 254/пр</t>
        </is>
      </c>
      <c r="K114" t="inlineStr">
        <is>
          <t>Болты с гайками и шайбами для санитарно-технических работ диаметром 16 мм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W114" t="n">
        <v>0</v>
      </c>
      <c r="X114" t="n">
        <v>-1701539228</v>
      </c>
      <c r="Y114">
        <f>AT114</f>
        <v/>
      </c>
      <c r="AA114" t="n">
        <v>145037.4</v>
      </c>
      <c r="AB114" t="n">
        <v>0</v>
      </c>
      <c r="AC114" t="n">
        <v>0</v>
      </c>
      <c r="AD114" t="n">
        <v>0</v>
      </c>
      <c r="AE114" t="n">
        <v>14830</v>
      </c>
      <c r="AF114" t="n">
        <v>0</v>
      </c>
      <c r="AG114" t="n">
        <v>0</v>
      </c>
      <c r="AH114" t="n">
        <v>0</v>
      </c>
      <c r="AI114" t="n">
        <v>9.779999999999999</v>
      </c>
      <c r="AJ114" t="n">
        <v>1</v>
      </c>
      <c r="AK114" t="n">
        <v>1</v>
      </c>
      <c r="AL114" t="n">
        <v>1</v>
      </c>
      <c r="AM114" t="n">
        <v>2</v>
      </c>
      <c r="AN114" t="n">
        <v>0</v>
      </c>
      <c r="AO114" t="n">
        <v>1</v>
      </c>
      <c r="AP114" t="n">
        <v>1</v>
      </c>
      <c r="AQ114" t="n">
        <v>0</v>
      </c>
      <c r="AR114" t="n">
        <v>0</v>
      </c>
      <c r="AS114" t="inlineStr"/>
      <c r="AT114" t="n">
        <v>0.005</v>
      </c>
      <c r="AU114" t="inlineStr"/>
      <c r="AV114" t="n">
        <v>0</v>
      </c>
      <c r="AW114" t="n">
        <v>2</v>
      </c>
      <c r="AX114" t="n">
        <v>78869812</v>
      </c>
      <c r="AY114" t="n">
        <v>1</v>
      </c>
      <c r="AZ114" t="n">
        <v>0</v>
      </c>
      <c r="BA114" t="n">
        <v>108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V114" t="n">
        <v>0</v>
      </c>
      <c r="CW114" t="n">
        <v>0</v>
      </c>
      <c r="CX114">
        <f>ROUND(Y114*Source!I244,7)</f>
        <v/>
      </c>
      <c r="CY114">
        <f>AA114</f>
        <v/>
      </c>
      <c r="CZ114">
        <f>AE114</f>
        <v/>
      </c>
      <c r="DA114">
        <f>AI114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ROUND(ROUND(AE114*AI114,0)*CX114,0)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DF114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ROW(Source!A244)</f>
        <v/>
      </c>
      <c r="B115" t="n">
        <v>78869116</v>
      </c>
      <c r="C115" t="n">
        <v>78869803</v>
      </c>
      <c r="D115" t="n">
        <v>29150040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411-0001</t>
        </is>
      </c>
      <c r="J115" t="inlineStr">
        <is>
          <t>ТССЦ Московской обл., 411-0001, приказ Минстроя России №675/пр от 28.02.2017 № 257/пр</t>
        </is>
      </c>
      <c r="K115" t="inlineStr">
        <is>
          <t>Вода</t>
        </is>
      </c>
      <c r="L115" t="n">
        <v>1339</v>
      </c>
      <c r="N115" t="n">
        <v>1007</v>
      </c>
      <c r="O115" t="inlineStr">
        <is>
          <t>м3</t>
        </is>
      </c>
      <c r="P115" t="inlineStr">
        <is>
          <t>м3</t>
        </is>
      </c>
      <c r="Q115" t="n">
        <v>1</v>
      </c>
      <c r="W115" t="n">
        <v>0</v>
      </c>
      <c r="X115" t="n">
        <v>619799737</v>
      </c>
      <c r="Y115">
        <f>AT115</f>
        <v/>
      </c>
      <c r="AA115" t="n">
        <v>31.28</v>
      </c>
      <c r="AB115" t="n">
        <v>0</v>
      </c>
      <c r="AC115" t="n">
        <v>0</v>
      </c>
      <c r="AD115" t="n">
        <v>0</v>
      </c>
      <c r="AE115" t="n">
        <v>2.44</v>
      </c>
      <c r="AF115" t="n">
        <v>0</v>
      </c>
      <c r="AG115" t="n">
        <v>0</v>
      </c>
      <c r="AH115" t="n">
        <v>0</v>
      </c>
      <c r="AI115" t="n">
        <v>12.82</v>
      </c>
      <c r="AJ115" t="n">
        <v>1</v>
      </c>
      <c r="AK115" t="n">
        <v>1</v>
      </c>
      <c r="AL115" t="n">
        <v>1</v>
      </c>
      <c r="AM115" t="n">
        <v>2</v>
      </c>
      <c r="AN115" t="n">
        <v>0</v>
      </c>
      <c r="AO115" t="n">
        <v>1</v>
      </c>
      <c r="AP115" t="n">
        <v>1</v>
      </c>
      <c r="AQ115" t="n">
        <v>0</v>
      </c>
      <c r="AR115" t="n">
        <v>0</v>
      </c>
      <c r="AS115" t="inlineStr"/>
      <c r="AT115" t="n">
        <v>7.8</v>
      </c>
      <c r="AU115" t="inlineStr"/>
      <c r="AV115" t="n">
        <v>0</v>
      </c>
      <c r="AW115" t="n">
        <v>2</v>
      </c>
      <c r="AX115" t="n">
        <v>78869813</v>
      </c>
      <c r="AY115" t="n">
        <v>1</v>
      </c>
      <c r="AZ115" t="n">
        <v>0</v>
      </c>
      <c r="BA115" t="n">
        <v>109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V115" t="n">
        <v>0</v>
      </c>
      <c r="CW115" t="n">
        <v>0</v>
      </c>
      <c r="CX115">
        <f>ROUND(Y115*Source!I244,7)</f>
        <v/>
      </c>
      <c r="CY115">
        <f>AA115</f>
        <v/>
      </c>
      <c r="CZ115">
        <f>AE115</f>
        <v/>
      </c>
      <c r="DA115">
        <f>AI115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ROUND(ROUND(AE115*AI115,0)*CX115,0)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DF115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ROW(Source!A245)</f>
        <v/>
      </c>
      <c r="B116" t="n">
        <v>78869116</v>
      </c>
      <c r="C116" t="n">
        <v>78869814</v>
      </c>
      <c r="D116" t="n">
        <v>18407150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1-1030-90</t>
        </is>
      </c>
      <c r="J116" t="inlineStr"/>
      <c r="K116" t="inlineStr">
        <is>
          <t>Рабочий строитель среднего разряда 3</t>
        </is>
      </c>
      <c r="L116" t="n">
        <v>1369</v>
      </c>
      <c r="N116" t="n">
        <v>1013</v>
      </c>
      <c r="O116" t="inlineStr">
        <is>
          <t>чел.-ч</t>
        </is>
      </c>
      <c r="P116" t="inlineStr">
        <is>
          <t>чел.-ч</t>
        </is>
      </c>
      <c r="Q116" t="n">
        <v>1</v>
      </c>
      <c r="W116" t="n">
        <v>0</v>
      </c>
      <c r="X116" t="n">
        <v>-931037793</v>
      </c>
      <c r="Y116">
        <f>AT116</f>
        <v/>
      </c>
      <c r="AA116" t="n">
        <v>0</v>
      </c>
      <c r="AB116" t="n">
        <v>0</v>
      </c>
      <c r="AC116" t="n">
        <v>0</v>
      </c>
      <c r="AD116" t="n">
        <v>8.529999999999999</v>
      </c>
      <c r="AE116" t="n">
        <v>0</v>
      </c>
      <c r="AF116" t="n">
        <v>0</v>
      </c>
      <c r="AG116" t="n">
        <v>0</v>
      </c>
      <c r="AH116" t="n">
        <v>8.529999999999999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13.9</v>
      </c>
      <c r="AU116" t="inlineStr"/>
      <c r="AV116" t="n">
        <v>1</v>
      </c>
      <c r="AW116" t="n">
        <v>2</v>
      </c>
      <c r="AX116" t="n">
        <v>78869818</v>
      </c>
      <c r="AY116" t="n">
        <v>1</v>
      </c>
      <c r="AZ116" t="n">
        <v>0</v>
      </c>
      <c r="BA116" t="n">
        <v>110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U116">
        <f>ROUND(AT116*Source!I245*AH116*AL116,0)</f>
        <v/>
      </c>
      <c r="CV116">
        <f>ROUND(Y116*Source!I245,7)</f>
        <v/>
      </c>
      <c r="CW116" t="n">
        <v>0</v>
      </c>
      <c r="CX116">
        <f>ROUND(Y116*Source!I245,7)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ROW(Source!A245)</f>
        <v/>
      </c>
      <c r="B117" t="n">
        <v>78869116</v>
      </c>
      <c r="C117" t="n">
        <v>78869814</v>
      </c>
      <c r="D117" t="n">
        <v>29169821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509-0696</t>
        </is>
      </c>
      <c r="J117" t="inlineStr">
        <is>
          <t>ТССЦ Московской обл., 509-0696, приказ Минстроя России №675/пр от 28.02.2017 № 258/пр</t>
        </is>
      </c>
      <c r="K117" t="inlineStr">
        <is>
          <t>Лампы люминесцентные ртутные низкого давления типа ЛБ, ЛД, ЛДЦ, ЛТВ, ЛБХ 20</t>
        </is>
      </c>
      <c r="L117" t="n">
        <v>1358</v>
      </c>
      <c r="N117" t="n">
        <v>1010</v>
      </c>
      <c r="O117" t="inlineStr">
        <is>
          <t>10 шт.</t>
        </is>
      </c>
      <c r="P117" t="inlineStr">
        <is>
          <t>10 шт.</t>
        </is>
      </c>
      <c r="Q117" t="n">
        <v>10</v>
      </c>
      <c r="W117" t="n">
        <v>0</v>
      </c>
      <c r="X117" t="n">
        <v>-1187244712</v>
      </c>
      <c r="Y117">
        <f>AT117</f>
        <v/>
      </c>
      <c r="AA117" t="n">
        <v>352.73</v>
      </c>
      <c r="AB117" t="n">
        <v>0</v>
      </c>
      <c r="AC117" t="n">
        <v>0</v>
      </c>
      <c r="AD117" t="n">
        <v>0</v>
      </c>
      <c r="AE117" t="n">
        <v>85.2</v>
      </c>
      <c r="AF117" t="n">
        <v>0</v>
      </c>
      <c r="AG117" t="n">
        <v>0</v>
      </c>
      <c r="AH117" t="n">
        <v>0</v>
      </c>
      <c r="AI117" t="n">
        <v>4.14</v>
      </c>
      <c r="AJ117" t="n">
        <v>1</v>
      </c>
      <c r="AK117" t="n">
        <v>1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10</v>
      </c>
      <c r="AU117" t="inlineStr"/>
      <c r="AV117" t="n">
        <v>0</v>
      </c>
      <c r="AW117" t="n">
        <v>2</v>
      </c>
      <c r="AX117" t="n">
        <v>78869819</v>
      </c>
      <c r="AY117" t="n">
        <v>1</v>
      </c>
      <c r="AZ117" t="n">
        <v>0</v>
      </c>
      <c r="BA117" t="n">
        <v>111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 t="n">
        <v>0</v>
      </c>
      <c r="CX117">
        <f>ROUND(Y117*Source!I245,7)</f>
        <v/>
      </c>
      <c r="CY117">
        <f>AA117</f>
        <v/>
      </c>
      <c r="CZ117">
        <f>AE117</f>
        <v/>
      </c>
      <c r="DA117">
        <f>AI117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ROUND(ROUND(AE117*AI117,0)*CX117,0)</f>
        <v/>
      </c>
      <c r="DG117">
        <f>ROUND(ROUND(AF117,0)*CX117,0)</f>
        <v/>
      </c>
      <c r="DH117">
        <f>ROUND(ROUND(AG117,0)*CX117,0)</f>
        <v/>
      </c>
      <c r="DI117">
        <f>ROUND(ROUND(AH117,0)*CX117,0)</f>
        <v/>
      </c>
      <c r="DJ117">
        <f>DF117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ROW(Source!A245)</f>
        <v/>
      </c>
      <c r="B118" t="n">
        <v>78869116</v>
      </c>
      <c r="C118" t="n">
        <v>78869814</v>
      </c>
      <c r="D118" t="n">
        <v>29169828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509-6744</t>
        </is>
      </c>
      <c r="J118" t="inlineStr">
        <is>
          <t>ТССЦ Московской обл., 509-6744, приказ Минстроя России №675/пр от 28.02.2017 № 258/пр</t>
        </is>
      </c>
      <c r="K118" t="inlineStr">
        <is>
          <t>Лампы люминесцентные компактные энергосберегающие с цоколем Е27 мощностью 55 Вт</t>
        </is>
      </c>
      <c r="L118" t="n">
        <v>1354</v>
      </c>
      <c r="N118" t="n">
        <v>1010</v>
      </c>
      <c r="O118" t="inlineStr">
        <is>
          <t>шт.</t>
        </is>
      </c>
      <c r="P118" t="inlineStr">
        <is>
          <t>шт.</t>
        </is>
      </c>
      <c r="Q118" t="n">
        <v>1</v>
      </c>
      <c r="W118" t="n">
        <v>0</v>
      </c>
      <c r="X118" t="n">
        <v>-228955380</v>
      </c>
      <c r="Y118">
        <f>AT118</f>
        <v/>
      </c>
      <c r="AA118" t="n">
        <v>237.77</v>
      </c>
      <c r="AB118" t="n">
        <v>0</v>
      </c>
      <c r="AC118" t="n">
        <v>0</v>
      </c>
      <c r="AD118" t="n">
        <v>0</v>
      </c>
      <c r="AE118" t="n">
        <v>140.69</v>
      </c>
      <c r="AF118" t="n">
        <v>0</v>
      </c>
      <c r="AG118" t="n">
        <v>0</v>
      </c>
      <c r="AH118" t="n">
        <v>0</v>
      </c>
      <c r="AI118" t="n">
        <v>1.69</v>
      </c>
      <c r="AJ118" t="n">
        <v>1</v>
      </c>
      <c r="AK118" t="n">
        <v>1</v>
      </c>
      <c r="AL118" t="n">
        <v>1</v>
      </c>
      <c r="AM118" t="n">
        <v>0</v>
      </c>
      <c r="AN118" t="n">
        <v>0</v>
      </c>
      <c r="AO118" t="n">
        <v>0</v>
      </c>
      <c r="AP118" t="n">
        <v>1</v>
      </c>
      <c r="AQ118" t="n">
        <v>0</v>
      </c>
      <c r="AR118" t="n">
        <v>0</v>
      </c>
      <c r="AS118" t="inlineStr"/>
      <c r="AT118" t="n">
        <v>100</v>
      </c>
      <c r="AU118" t="inlineStr"/>
      <c r="AV118" t="n">
        <v>0</v>
      </c>
      <c r="AW118" t="n">
        <v>1</v>
      </c>
      <c r="AX118" t="n">
        <v>-1</v>
      </c>
      <c r="AY118" t="n">
        <v>0</v>
      </c>
      <c r="AZ118" t="n">
        <v>0</v>
      </c>
      <c r="BA118" t="inlineStr"/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 t="n">
        <v>0</v>
      </c>
      <c r="CX118">
        <f>ROUND(Y118*Source!I245,7)</f>
        <v/>
      </c>
      <c r="CY118">
        <f>AA118</f>
        <v/>
      </c>
      <c r="CZ118">
        <f>AE118</f>
        <v/>
      </c>
      <c r="DA118">
        <f>AI118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ROUND(ROUND(AE118*AI118,0)*CX118,0)</f>
        <v/>
      </c>
      <c r="DG118">
        <f>ROUND(ROUND(AF118,0)*CX118,0)</f>
        <v/>
      </c>
      <c r="DH118">
        <f>ROUND(ROUND(AG118,0)*CX118,0)</f>
        <v/>
      </c>
      <c r="DI118">
        <f>ROUND(ROUND(AH118,0)*CX118,0)</f>
        <v/>
      </c>
      <c r="DJ118">
        <f>DF118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ROW(Source!A247)</f>
        <v/>
      </c>
      <c r="B119" t="n">
        <v>78869116</v>
      </c>
      <c r="C119" t="n">
        <v>78869821</v>
      </c>
      <c r="D119" t="n">
        <v>18409850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1-1035-90</t>
        </is>
      </c>
      <c r="J119" t="inlineStr"/>
      <c r="K119" t="inlineStr">
        <is>
          <t>Рабочий строитель среднего разряда 3,5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W119" t="n">
        <v>0</v>
      </c>
      <c r="X119" t="n">
        <v>855544366</v>
      </c>
      <c r="Y119">
        <f>AT119</f>
        <v/>
      </c>
      <c r="AA119" t="n">
        <v>0</v>
      </c>
      <c r="AB119" t="n">
        <v>0</v>
      </c>
      <c r="AC119" t="n">
        <v>0</v>
      </c>
      <c r="AD119" t="n">
        <v>9.07</v>
      </c>
      <c r="AE119" t="n">
        <v>0</v>
      </c>
      <c r="AF119" t="n">
        <v>0</v>
      </c>
      <c r="AG119" t="n">
        <v>0</v>
      </c>
      <c r="AH119" t="n">
        <v>9.07</v>
      </c>
      <c r="AI119" t="n">
        <v>1</v>
      </c>
      <c r="AJ119" t="n">
        <v>1</v>
      </c>
      <c r="AK119" t="n">
        <v>1</v>
      </c>
      <c r="AL119" t="n">
        <v>1</v>
      </c>
      <c r="AM119" t="n">
        <v>-2</v>
      </c>
      <c r="AN119" t="n">
        <v>0</v>
      </c>
      <c r="AO119" t="n">
        <v>1</v>
      </c>
      <c r="AP119" t="n">
        <v>1</v>
      </c>
      <c r="AQ119" t="n">
        <v>0</v>
      </c>
      <c r="AR119" t="n">
        <v>0</v>
      </c>
      <c r="AS119" t="inlineStr"/>
      <c r="AT119" t="n">
        <v>81</v>
      </c>
      <c r="AU119" t="inlineStr"/>
      <c r="AV119" t="n">
        <v>1</v>
      </c>
      <c r="AW119" t="n">
        <v>2</v>
      </c>
      <c r="AX119" t="n">
        <v>78869830</v>
      </c>
      <c r="AY119" t="n">
        <v>1</v>
      </c>
      <c r="AZ119" t="n">
        <v>0</v>
      </c>
      <c r="BA119" t="n">
        <v>112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U119">
        <f>ROUND(AT119*Source!I247*AH119*AL119,0)</f>
        <v/>
      </c>
      <c r="CV119">
        <f>ROUND(Y119*Source!I247,7)</f>
        <v/>
      </c>
      <c r="CW119" t="n">
        <v>0</v>
      </c>
      <c r="CX119">
        <f>ROUND(Y119*Source!I247,7)</f>
        <v/>
      </c>
      <c r="CY119">
        <f>AD119</f>
        <v/>
      </c>
      <c r="CZ119">
        <f>AH119</f>
        <v/>
      </c>
      <c r="DA119">
        <f>AL119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ROUND(ROUND(AF119,0)*CX119,0)</f>
        <v/>
      </c>
      <c r="DH119">
        <f>ROUND(ROUND(AG119,0)*CX119,0)</f>
        <v/>
      </c>
      <c r="DI119">
        <f>ROUND(ROUND(AH119,0)*CX119,0)</f>
        <v/>
      </c>
      <c r="DJ119">
        <f>DI119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ROW(Source!A247)</f>
        <v/>
      </c>
      <c r="B120" t="n">
        <v>78869116</v>
      </c>
      <c r="C120" t="n">
        <v>78869821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1</v>
      </c>
      <c r="AQ120" t="n">
        <v>0</v>
      </c>
      <c r="AR120" t="n">
        <v>0</v>
      </c>
      <c r="AS120" t="inlineStr"/>
      <c r="AT120" t="n">
        <v>0.05</v>
      </c>
      <c r="AU120" t="inlineStr"/>
      <c r="AV120" t="n">
        <v>0</v>
      </c>
      <c r="AW120" t="n">
        <v>2</v>
      </c>
      <c r="AX120" t="n">
        <v>78869831</v>
      </c>
      <c r="AY120" t="n">
        <v>1</v>
      </c>
      <c r="AZ120" t="n">
        <v>0</v>
      </c>
      <c r="BA120" t="n">
        <v>113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ROUND(Y120*Source!I247*DO120,7)</f>
        <v/>
      </c>
      <c r="CX120">
        <f>ROUND(Y120*Source!I247,7)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ROW(Source!A247)</f>
        <v/>
      </c>
      <c r="B121" t="n">
        <v>78869116</v>
      </c>
      <c r="C121" t="n">
        <v>78869821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1625292450</v>
      </c>
      <c r="Y121">
        <f>AT121</f>
        <v/>
      </c>
      <c r="AA121" t="n">
        <v>76804.47</v>
      </c>
      <c r="AB121" t="n">
        <v>0</v>
      </c>
      <c r="AC121" t="n">
        <v>0</v>
      </c>
      <c r="AD121" t="n">
        <v>0</v>
      </c>
      <c r="AE121" t="n">
        <v>15118.99</v>
      </c>
      <c r="AF121" t="n">
        <v>0</v>
      </c>
      <c r="AG121" t="n">
        <v>0</v>
      </c>
      <c r="AH121" t="n">
        <v>0</v>
      </c>
      <c r="AI121" t="n">
        <v>5.08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1</v>
      </c>
      <c r="AQ121" t="n">
        <v>0</v>
      </c>
      <c r="AR121" t="n">
        <v>0</v>
      </c>
      <c r="AS121" t="inlineStr"/>
      <c r="AT121" t="n">
        <v>0.0014</v>
      </c>
      <c r="AU121" t="inlineStr"/>
      <c r="AV121" t="n">
        <v>0</v>
      </c>
      <c r="AW121" t="n">
        <v>2</v>
      </c>
      <c r="AX121" t="n">
        <v>78869832</v>
      </c>
      <c r="AY121" t="n">
        <v>1</v>
      </c>
      <c r="AZ121" t="n">
        <v>0</v>
      </c>
      <c r="BA121" t="n">
        <v>114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ROUND(Y121*Source!I247,7)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ROW(Source!A247)</f>
        <v/>
      </c>
      <c r="B122" t="n">
        <v>78869116</v>
      </c>
      <c r="C122" t="n">
        <v>78869821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W122" t="n">
        <v>0</v>
      </c>
      <c r="X122" t="n">
        <v>24062879</v>
      </c>
      <c r="Y122">
        <f>AT122</f>
        <v/>
      </c>
      <c r="AA122" t="n">
        <v>87631.5</v>
      </c>
      <c r="AB122" t="n">
        <v>0</v>
      </c>
      <c r="AC122" t="n">
        <v>0</v>
      </c>
      <c r="AD122" t="n">
        <v>0</v>
      </c>
      <c r="AE122" t="n">
        <v>16950</v>
      </c>
      <c r="AF122" t="n">
        <v>0</v>
      </c>
      <c r="AG122" t="n">
        <v>0</v>
      </c>
      <c r="AH122" t="n">
        <v>0</v>
      </c>
      <c r="AI122" t="n">
        <v>5.17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1</v>
      </c>
      <c r="AQ122" t="n">
        <v>0</v>
      </c>
      <c r="AR122" t="n">
        <v>0</v>
      </c>
      <c r="AS122" t="inlineStr"/>
      <c r="AT122" t="n">
        <v>0.0007</v>
      </c>
      <c r="AU122" t="inlineStr"/>
      <c r="AV122" t="n">
        <v>0</v>
      </c>
      <c r="AW122" t="n">
        <v>2</v>
      </c>
      <c r="AX122" t="n">
        <v>78869833</v>
      </c>
      <c r="AY122" t="n">
        <v>1</v>
      </c>
      <c r="AZ122" t="n">
        <v>0</v>
      </c>
      <c r="BA122" t="n">
        <v>115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ROUND(Y122*Source!I247,7)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ROW(Source!A247)</f>
        <v/>
      </c>
      <c r="B123" t="n">
        <v>78869116</v>
      </c>
      <c r="C123" t="n">
        <v>78869821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W123" t="n">
        <v>0</v>
      </c>
      <c r="X123" t="n">
        <v>-2113933962</v>
      </c>
      <c r="Y123">
        <f>AT123</f>
        <v/>
      </c>
      <c r="AA123" t="n">
        <v>590.67</v>
      </c>
      <c r="AB123" t="n">
        <v>0</v>
      </c>
      <c r="AC123" t="n">
        <v>0</v>
      </c>
      <c r="AD123" t="n">
        <v>0</v>
      </c>
      <c r="AE123" t="n">
        <v>37.29</v>
      </c>
      <c r="AF123" t="n">
        <v>0</v>
      </c>
      <c r="AG123" t="n">
        <v>0</v>
      </c>
      <c r="AH123" t="n">
        <v>0</v>
      </c>
      <c r="AI123" t="n">
        <v>15.84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1</v>
      </c>
      <c r="AQ123" t="n">
        <v>0</v>
      </c>
      <c r="AR123" t="n">
        <v>0</v>
      </c>
      <c r="AS123" t="inlineStr"/>
      <c r="AT123" t="n">
        <v>0.7</v>
      </c>
      <c r="AU123" t="inlineStr"/>
      <c r="AV123" t="n">
        <v>0</v>
      </c>
      <c r="AW123" t="n">
        <v>2</v>
      </c>
      <c r="AX123" t="n">
        <v>78869834</v>
      </c>
      <c r="AY123" t="n">
        <v>1</v>
      </c>
      <c r="AZ123" t="n">
        <v>0</v>
      </c>
      <c r="BA123" t="n">
        <v>116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ROUND(Y123*Source!I247,7)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ROW(Source!A247)</f>
        <v/>
      </c>
      <c r="B124" t="n">
        <v>78869116</v>
      </c>
      <c r="C124" t="n">
        <v>78869821</v>
      </c>
      <c r="D124" t="n">
        <v>29143378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302-0062</t>
        </is>
      </c>
      <c r="J124" t="inlineStr">
        <is>
          <t>ТССЦ Московской обл., 302-0062, приказ Минстроя России №675/пр от 28.02.2017 № 256/пр</t>
        </is>
      </c>
      <c r="K124" t="inlineStr">
        <is>
          <t>Кран шаровый муфтовый Valtec для воды диаметром 15 мм, тип в/в</t>
        </is>
      </c>
      <c r="L124" t="n">
        <v>1354</v>
      </c>
      <c r="N124" t="n">
        <v>1010</v>
      </c>
      <c r="O124" t="inlineStr">
        <is>
          <t>шт.</t>
        </is>
      </c>
      <c r="P124" t="inlineStr">
        <is>
          <t>шт.</t>
        </is>
      </c>
      <c r="Q124" t="n">
        <v>1</v>
      </c>
      <c r="W124" t="n">
        <v>0</v>
      </c>
      <c r="X124" t="n">
        <v>-1687406522</v>
      </c>
      <c r="Y124">
        <f>AT124</f>
        <v/>
      </c>
      <c r="AA124" t="n">
        <v>384.3</v>
      </c>
      <c r="AB124" t="n">
        <v>0</v>
      </c>
      <c r="AC124" t="n">
        <v>0</v>
      </c>
      <c r="AD124" t="n">
        <v>0</v>
      </c>
      <c r="AE124" t="n">
        <v>28.53</v>
      </c>
      <c r="AF124" t="n">
        <v>0</v>
      </c>
      <c r="AG124" t="n">
        <v>0</v>
      </c>
      <c r="AH124" t="n">
        <v>0</v>
      </c>
      <c r="AI124" t="n">
        <v>13.47</v>
      </c>
      <c r="AJ124" t="n">
        <v>1</v>
      </c>
      <c r="AK124" t="n">
        <v>1</v>
      </c>
      <c r="AL124" t="n">
        <v>1</v>
      </c>
      <c r="AM124" t="n">
        <v>0</v>
      </c>
      <c r="AN124" t="n">
        <v>0</v>
      </c>
      <c r="AO124" t="n">
        <v>0</v>
      </c>
      <c r="AP124" t="n">
        <v>1</v>
      </c>
      <c r="AQ124" t="n">
        <v>0</v>
      </c>
      <c r="AR124" t="n">
        <v>0</v>
      </c>
      <c r="AS124" t="inlineStr"/>
      <c r="AT124" t="n">
        <v>200</v>
      </c>
      <c r="AU124" t="inlineStr"/>
      <c r="AV124" t="n">
        <v>0</v>
      </c>
      <c r="AW124" t="n">
        <v>1</v>
      </c>
      <c r="AX124" t="n">
        <v>-1</v>
      </c>
      <c r="AY124" t="n">
        <v>0</v>
      </c>
      <c r="AZ124" t="n">
        <v>0</v>
      </c>
      <c r="BA124" t="inlineStr"/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ROUND(Y124*Source!I247,7)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ROW(Source!A247)</f>
        <v/>
      </c>
      <c r="B125" t="n">
        <v>78869116</v>
      </c>
      <c r="C125" t="n">
        <v>78869821</v>
      </c>
      <c r="D125" t="n">
        <v>29142465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302-1342</t>
        </is>
      </c>
      <c r="J125" t="inlineStr">
        <is>
          <t>ТССЦ Московской обл., 302-1342, приказ Минстроя России №675/пр от 28.02.2017 № 256/пр</t>
        </is>
      </c>
      <c r="K125" t="inlineStr">
        <is>
          <t>Вентили проходные муфтовые 15кч18п для воды давлением 1,6 МПа (16 кгс/см2), диаметром 20 мм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W125" t="n">
        <v>0</v>
      </c>
      <c r="X125" t="n">
        <v>-852705161</v>
      </c>
      <c r="Y125">
        <f>AT125</f>
        <v/>
      </c>
      <c r="AA125" t="n">
        <v>221.81</v>
      </c>
      <c r="AB125" t="n">
        <v>0</v>
      </c>
      <c r="AC125" t="n">
        <v>0</v>
      </c>
      <c r="AD125" t="n">
        <v>0</v>
      </c>
      <c r="AE125" t="n">
        <v>21.81</v>
      </c>
      <c r="AF125" t="n">
        <v>0</v>
      </c>
      <c r="AG125" t="n">
        <v>0</v>
      </c>
      <c r="AH125" t="n">
        <v>0</v>
      </c>
      <c r="AI125" t="n">
        <v>10.17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1</v>
      </c>
      <c r="AQ125" t="n">
        <v>0</v>
      </c>
      <c r="AR125" t="n">
        <v>0</v>
      </c>
      <c r="AS125" t="inlineStr"/>
      <c r="AT125" t="n">
        <v>100</v>
      </c>
      <c r="AU125" t="inlineStr"/>
      <c r="AV125" t="n">
        <v>0</v>
      </c>
      <c r="AW125" t="n">
        <v>2</v>
      </c>
      <c r="AX125" t="n">
        <v>78869835</v>
      </c>
      <c r="AY125" t="n">
        <v>1</v>
      </c>
      <c r="AZ125" t="n">
        <v>0</v>
      </c>
      <c r="BA125" t="n">
        <v>117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ROUND(Y125*Source!I247,7)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ROW(Source!A247)</f>
        <v/>
      </c>
      <c r="B126" t="n">
        <v>78869116</v>
      </c>
      <c r="C126" t="n">
        <v>78869821</v>
      </c>
      <c r="D126" t="n">
        <v>29164350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509-9899</t>
        </is>
      </c>
      <c r="J126" t="inlineStr">
        <is>
          <t>ТССЦ Московской обл., 509-9899, приказ Минстроя России №675/пр от 28.02.2017 № 258/пр</t>
        </is>
      </c>
      <c r="K126" t="inlineStr">
        <is>
          <t>Строительный мусор и масса возвратных материалов</t>
        </is>
      </c>
      <c r="L126" t="n">
        <v>1348</v>
      </c>
      <c r="N126" t="n">
        <v>1009</v>
      </c>
      <c r="O126" t="inlineStr">
        <is>
          <t>т</t>
        </is>
      </c>
      <c r="P126" t="inlineStr">
        <is>
          <t>т</t>
        </is>
      </c>
      <c r="Q126" t="n">
        <v>1000</v>
      </c>
      <c r="W126" t="n">
        <v>0</v>
      </c>
      <c r="X126" t="n">
        <v>1839160745</v>
      </c>
      <c r="Y126">
        <f>AT126</f>
        <v/>
      </c>
      <c r="AA126" t="n">
        <v>0</v>
      </c>
      <c r="AB126" t="n">
        <v>0</v>
      </c>
      <c r="AC126" t="n">
        <v>0</v>
      </c>
      <c r="AD126" t="n">
        <v>0</v>
      </c>
      <c r="AE126" t="n">
        <v>0</v>
      </c>
      <c r="AF126" t="n">
        <v>0</v>
      </c>
      <c r="AG126" t="n">
        <v>0</v>
      </c>
      <c r="AH126" t="n">
        <v>0</v>
      </c>
      <c r="AI126" t="n">
        <v>1</v>
      </c>
      <c r="AJ126" t="n">
        <v>1</v>
      </c>
      <c r="AK126" t="n">
        <v>1</v>
      </c>
      <c r="AL126" t="n">
        <v>1</v>
      </c>
      <c r="AM126" t="n">
        <v>0</v>
      </c>
      <c r="AN126" t="n">
        <v>0</v>
      </c>
      <c r="AO126" t="n">
        <v>0</v>
      </c>
      <c r="AP126" t="n">
        <v>1</v>
      </c>
      <c r="AQ126" t="n">
        <v>0</v>
      </c>
      <c r="AR126" t="n">
        <v>0</v>
      </c>
      <c r="AS126" t="inlineStr"/>
      <c r="AT126" t="n">
        <v>0.04</v>
      </c>
      <c r="AU126" t="inlineStr"/>
      <c r="AV126" t="n">
        <v>0</v>
      </c>
      <c r="AW126" t="n">
        <v>2</v>
      </c>
      <c r="AX126" t="n">
        <v>78869836</v>
      </c>
      <c r="AY126" t="n">
        <v>1</v>
      </c>
      <c r="AZ126" t="n">
        <v>0</v>
      </c>
      <c r="BA126" t="n">
        <v>118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ROUND(Y126*Source!I247,7)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ROW(Source!A250)</f>
        <v/>
      </c>
      <c r="B127" t="n">
        <v>78869116</v>
      </c>
      <c r="C127" t="n">
        <v>78869839</v>
      </c>
      <c r="D127" t="n">
        <v>18442827</v>
      </c>
      <c r="E127" t="n">
        <v>1</v>
      </c>
      <c r="F127" t="n">
        <v>1</v>
      </c>
      <c r="G127" t="n">
        <v>1</v>
      </c>
      <c r="H127" t="n">
        <v>1</v>
      </c>
      <c r="I127" t="inlineStr">
        <is>
          <t>1-1053-90</t>
        </is>
      </c>
      <c r="J127" t="inlineStr"/>
      <c r="K127" t="inlineStr">
        <is>
          <t>Рабочий строитель среднего разряда 5,3</t>
        </is>
      </c>
      <c r="L127" t="n">
        <v>1369</v>
      </c>
      <c r="N127" t="n">
        <v>1013</v>
      </c>
      <c r="O127" t="inlineStr">
        <is>
          <t>чел.-ч</t>
        </is>
      </c>
      <c r="P127" t="inlineStr">
        <is>
          <t>чел.-ч</t>
        </is>
      </c>
      <c r="Q127" t="n">
        <v>1</v>
      </c>
      <c r="W127" t="n">
        <v>0</v>
      </c>
      <c r="X127" t="n">
        <v>717490484</v>
      </c>
      <c r="Y127">
        <f>(AT127*ROUND(4,7))</f>
        <v/>
      </c>
      <c r="AA127" t="n">
        <v>0</v>
      </c>
      <c r="AB127" t="n">
        <v>0</v>
      </c>
      <c r="AC127" t="n">
        <v>0</v>
      </c>
      <c r="AD127" t="n">
        <v>11.64</v>
      </c>
      <c r="AE127" t="n">
        <v>0</v>
      </c>
      <c r="AF127" t="n">
        <v>0</v>
      </c>
      <c r="AG127" t="n">
        <v>0</v>
      </c>
      <c r="AH127" t="n">
        <v>11.64</v>
      </c>
      <c r="AI127" t="n">
        <v>1</v>
      </c>
      <c r="AJ127" t="n">
        <v>1</v>
      </c>
      <c r="AK127" t="n">
        <v>1</v>
      </c>
      <c r="AL127" t="n">
        <v>1</v>
      </c>
      <c r="AM127" t="n">
        <v>-2</v>
      </c>
      <c r="AN127" t="n">
        <v>0</v>
      </c>
      <c r="AO127" t="n">
        <v>1</v>
      </c>
      <c r="AP127" t="n">
        <v>1</v>
      </c>
      <c r="AQ127" t="n">
        <v>0</v>
      </c>
      <c r="AR127" t="n">
        <v>0</v>
      </c>
      <c r="AS127" t="inlineStr"/>
      <c r="AT127" t="n">
        <v>5.01</v>
      </c>
      <c r="AU127" t="inlineStr">
        <is>
          <t>)*4</t>
        </is>
      </c>
      <c r="AV127" t="n">
        <v>1</v>
      </c>
      <c r="AW127" t="n">
        <v>2</v>
      </c>
      <c r="AX127" t="n">
        <v>78869846</v>
      </c>
      <c r="AY127" t="n">
        <v>1</v>
      </c>
      <c r="AZ127" t="n">
        <v>0</v>
      </c>
      <c r="BA127" t="n">
        <v>119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U127">
        <f>ROUND(AT127*Source!I250*AH127*AL127,0)</f>
        <v/>
      </c>
      <c r="CV127">
        <f>ROUND(Y127*Source!I250,7)</f>
        <v/>
      </c>
      <c r="CW127" t="n">
        <v>0</v>
      </c>
      <c r="CX127">
        <f>ROUND(Y127*Source!I250,7)</f>
        <v/>
      </c>
      <c r="CY127">
        <f>AD127</f>
        <v/>
      </c>
      <c r="CZ127">
        <f>AH127</f>
        <v/>
      </c>
      <c r="DA127">
        <f>AL127</f>
        <v/>
      </c>
      <c r="DB127">
        <f>ROUND((ROUND(AT127*CZ127,2)*ROUND(4,7)),2)</f>
        <v/>
      </c>
      <c r="DC127">
        <f>ROUND((ROUND(AT127*AG127,2)*ROUND(4,7)),2)</f>
        <v/>
      </c>
      <c r="DD127" t="inlineStr"/>
      <c r="DE127" t="inlineStr"/>
      <c r="DF127">
        <f>ROUND(ROUND(AE127,0)*CX127,0)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DI127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ROW(Source!A250)</f>
        <v/>
      </c>
      <c r="B128" t="n">
        <v>78869116</v>
      </c>
      <c r="C128" t="n">
        <v>78869839</v>
      </c>
      <c r="D128" t="n">
        <v>29172703</v>
      </c>
      <c r="E128" t="n">
        <v>1</v>
      </c>
      <c r="F128" t="n">
        <v>1</v>
      </c>
      <c r="G128" t="n">
        <v>1</v>
      </c>
      <c r="H128" t="n">
        <v>2</v>
      </c>
      <c r="I128" t="inlineStr">
        <is>
          <t>042900</t>
        </is>
      </c>
      <c r="J128" t="inlineStr">
        <is>
          <t>ТСЭМ Московской обл., 042900, приказ Минстроя России №675/пр от 28.02.2017 № 264/пр</t>
        </is>
      </c>
      <c r="K12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8" t="n">
        <v>1368</v>
      </c>
      <c r="N128" t="n">
        <v>1011</v>
      </c>
      <c r="O128" t="inlineStr">
        <is>
          <t>маш.-ч</t>
        </is>
      </c>
      <c r="P128" t="inlineStr">
        <is>
          <t>маш.-ч</t>
        </is>
      </c>
      <c r="Q128" t="n">
        <v>1</v>
      </c>
      <c r="W128" t="n">
        <v>0</v>
      </c>
      <c r="X128" t="n">
        <v>1695838894</v>
      </c>
      <c r="Y128">
        <f>(AT128*ROUND(4,7))</f>
        <v/>
      </c>
      <c r="AA128" t="n">
        <v>0</v>
      </c>
      <c r="AB128" t="n">
        <v>177.13</v>
      </c>
      <c r="AC128" t="n">
        <v>0</v>
      </c>
      <c r="AD128" t="n">
        <v>0</v>
      </c>
      <c r="AE128" t="n">
        <v>0</v>
      </c>
      <c r="AF128" t="n">
        <v>29.67</v>
      </c>
      <c r="AG128" t="n">
        <v>0</v>
      </c>
      <c r="AH128" t="n">
        <v>0</v>
      </c>
      <c r="AI128" t="n">
        <v>1</v>
      </c>
      <c r="AJ128" t="n">
        <v>5.97</v>
      </c>
      <c r="AK128" t="n">
        <v>52.25</v>
      </c>
      <c r="AL128" t="n">
        <v>1</v>
      </c>
      <c r="AM128" t="n">
        <v>2</v>
      </c>
      <c r="AN128" t="n">
        <v>0</v>
      </c>
      <c r="AO128" t="n">
        <v>1</v>
      </c>
      <c r="AP128" t="n">
        <v>1</v>
      </c>
      <c r="AQ128" t="n">
        <v>0</v>
      </c>
      <c r="AR128" t="n">
        <v>0</v>
      </c>
      <c r="AS128" t="inlineStr"/>
      <c r="AT128" t="n">
        <v>1.5</v>
      </c>
      <c r="AU128" t="inlineStr">
        <is>
          <t>)*4</t>
        </is>
      </c>
      <c r="AV128" t="n">
        <v>0</v>
      </c>
      <c r="AW128" t="n">
        <v>2</v>
      </c>
      <c r="AX128" t="n">
        <v>78869847</v>
      </c>
      <c r="AY128" t="n">
        <v>1</v>
      </c>
      <c r="AZ128" t="n">
        <v>0</v>
      </c>
      <c r="BA128" t="n">
        <v>120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>
        <f>ROUND(Y128*Source!I250*DO128,7)</f>
        <v/>
      </c>
      <c r="CX128">
        <f>ROUND(Y128*Source!I250,7)</f>
        <v/>
      </c>
      <c r="CY128">
        <f>AB128</f>
        <v/>
      </c>
      <c r="CZ128">
        <f>AF128</f>
        <v/>
      </c>
      <c r="DA128">
        <f>AJ128</f>
        <v/>
      </c>
      <c r="DB128">
        <f>ROUND((ROUND(AT128*CZ128,2)*ROUND(4,7)),2)</f>
        <v/>
      </c>
      <c r="DC128">
        <f>ROUND((ROUND(AT128*AG128,2)*ROUND(4,7)),2)</f>
        <v/>
      </c>
      <c r="DD128" t="inlineStr"/>
      <c r="DE128" t="inlineStr"/>
      <c r="DF128">
        <f>ROUND(ROUND(AE128,0)*CX128,0)</f>
        <v/>
      </c>
      <c r="DG128">
        <f>ROUND(ROUND(AF128*AJ128,0)*CX128,0)</f>
        <v/>
      </c>
      <c r="DH128">
        <f>ROUND(ROUND(AG128*AK128,0)*CX128,0)</f>
        <v/>
      </c>
      <c r="DI128">
        <f>ROUND(ROUND(AH128,0)*CX128,0)</f>
        <v/>
      </c>
      <c r="DJ128">
        <f>DG128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ROW(Source!A250)</f>
        <v/>
      </c>
      <c r="B129" t="n">
        <v>78869116</v>
      </c>
      <c r="C129" t="n">
        <v>78869839</v>
      </c>
      <c r="D129" t="n">
        <v>29110398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101-0388</t>
        </is>
      </c>
      <c r="J129" t="inlineStr">
        <is>
          <t>ТССЦ Московской обл., 101-0388, приказ Минстроя России №675/пр от 28.02.2017 № 254/пр</t>
        </is>
      </c>
      <c r="K129" t="inlineStr">
        <is>
          <t>Краски масляные земляные марки МА-0115 мумия, сурик железный</t>
        </is>
      </c>
      <c r="L129" t="n">
        <v>1348</v>
      </c>
      <c r="N129" t="n">
        <v>1009</v>
      </c>
      <c r="O129" t="inlineStr">
        <is>
          <t>т</t>
        </is>
      </c>
      <c r="P129" t="inlineStr">
        <is>
          <t>т</t>
        </is>
      </c>
      <c r="Q129" t="n">
        <v>1000</v>
      </c>
      <c r="W129" t="n">
        <v>0</v>
      </c>
      <c r="X129" t="n">
        <v>1625292450</v>
      </c>
      <c r="Y129">
        <f>AT129</f>
        <v/>
      </c>
      <c r="AA129" t="n">
        <v>76804.47</v>
      </c>
      <c r="AB129" t="n">
        <v>0</v>
      </c>
      <c r="AC129" t="n">
        <v>0</v>
      </c>
      <c r="AD129" t="n">
        <v>0</v>
      </c>
      <c r="AE129" t="n">
        <v>15118.99</v>
      </c>
      <c r="AF129" t="n">
        <v>0</v>
      </c>
      <c r="AG129" t="n">
        <v>0</v>
      </c>
      <c r="AH129" t="n">
        <v>0</v>
      </c>
      <c r="AI129" t="n">
        <v>5.08</v>
      </c>
      <c r="AJ129" t="n">
        <v>1</v>
      </c>
      <c r="AK129" t="n">
        <v>1</v>
      </c>
      <c r="AL129" t="n">
        <v>1</v>
      </c>
      <c r="AM129" t="n">
        <v>2</v>
      </c>
      <c r="AN129" t="n">
        <v>0</v>
      </c>
      <c r="AO129" t="n">
        <v>1</v>
      </c>
      <c r="AP129" t="n">
        <v>0</v>
      </c>
      <c r="AQ129" t="n">
        <v>0</v>
      </c>
      <c r="AR129" t="n">
        <v>0</v>
      </c>
      <c r="AS129" t="inlineStr"/>
      <c r="AT129" t="n">
        <v>5e-05</v>
      </c>
      <c r="AU129" t="inlineStr"/>
      <c r="AV129" t="n">
        <v>0</v>
      </c>
      <c r="AW129" t="n">
        <v>2</v>
      </c>
      <c r="AX129" t="n">
        <v>78869848</v>
      </c>
      <c r="AY129" t="n">
        <v>1</v>
      </c>
      <c r="AZ129" t="n">
        <v>0</v>
      </c>
      <c r="BA129" t="n">
        <v>121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V129" t="n">
        <v>0</v>
      </c>
      <c r="CW129" t="n">
        <v>0</v>
      </c>
      <c r="CX129">
        <f>ROUND(Y129*Source!I250,7)</f>
        <v/>
      </c>
      <c r="CY129">
        <f>AA129</f>
        <v/>
      </c>
      <c r="CZ129">
        <f>AE129</f>
        <v/>
      </c>
      <c r="DA129">
        <f>AI129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ROUND(ROUND(AE129*AI129,0)*CX129,0)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DF129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ROW(Source!A250)</f>
        <v/>
      </c>
      <c r="B130" t="n">
        <v>78869116</v>
      </c>
      <c r="C130" t="n">
        <v>78869839</v>
      </c>
      <c r="D130" t="n">
        <v>29110573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101-0628</t>
        </is>
      </c>
      <c r="J130" t="inlineStr">
        <is>
          <t>ТССЦ Московской обл., 101-0628, приказ Минстроя России №675/пр от 28.02.2017 № 254/пр</t>
        </is>
      </c>
      <c r="K130" t="inlineStr">
        <is>
          <t>Олифа комбинированная, марки К-3</t>
        </is>
      </c>
      <c r="L130" t="n">
        <v>1348</v>
      </c>
      <c r="N130" t="n">
        <v>1009</v>
      </c>
      <c r="O130" t="inlineStr">
        <is>
          <t>т</t>
        </is>
      </c>
      <c r="P130" t="inlineStr">
        <is>
          <t>т</t>
        </is>
      </c>
      <c r="Q130" t="n">
        <v>1000</v>
      </c>
      <c r="W130" t="n">
        <v>0</v>
      </c>
      <c r="X130" t="n">
        <v>24062879</v>
      </c>
      <c r="Y130">
        <f>AT130</f>
        <v/>
      </c>
      <c r="AA130" t="n">
        <v>87631.5</v>
      </c>
      <c r="AB130" t="n">
        <v>0</v>
      </c>
      <c r="AC130" t="n">
        <v>0</v>
      </c>
      <c r="AD130" t="n">
        <v>0</v>
      </c>
      <c r="AE130" t="n">
        <v>16950</v>
      </c>
      <c r="AF130" t="n">
        <v>0</v>
      </c>
      <c r="AG130" t="n">
        <v>0</v>
      </c>
      <c r="AH130" t="n">
        <v>0</v>
      </c>
      <c r="AI130" t="n">
        <v>5.17</v>
      </c>
      <c r="AJ130" t="n">
        <v>1</v>
      </c>
      <c r="AK130" t="n">
        <v>1</v>
      </c>
      <c r="AL130" t="n">
        <v>1</v>
      </c>
      <c r="AM130" t="n">
        <v>2</v>
      </c>
      <c r="AN130" t="n">
        <v>0</v>
      </c>
      <c r="AO130" t="n">
        <v>1</v>
      </c>
      <c r="AP130" t="n">
        <v>0</v>
      </c>
      <c r="AQ130" t="n">
        <v>0</v>
      </c>
      <c r="AR130" t="n">
        <v>0</v>
      </c>
      <c r="AS130" t="inlineStr"/>
      <c r="AT130" t="n">
        <v>2e-05</v>
      </c>
      <c r="AU130" t="inlineStr"/>
      <c r="AV130" t="n">
        <v>0</v>
      </c>
      <c r="AW130" t="n">
        <v>2</v>
      </c>
      <c r="AX130" t="n">
        <v>78869849</v>
      </c>
      <c r="AY130" t="n">
        <v>1</v>
      </c>
      <c r="AZ130" t="n">
        <v>0</v>
      </c>
      <c r="BA130" t="n">
        <v>122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 t="n">
        <v>0</v>
      </c>
      <c r="CX130">
        <f>ROUND(Y130*Source!I250,7)</f>
        <v/>
      </c>
      <c r="CY130">
        <f>AA130</f>
        <v/>
      </c>
      <c r="CZ130">
        <f>AE130</f>
        <v/>
      </c>
      <c r="DA130">
        <f>AI130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ROUND(ROUND(AE130*AI130,0)*CX130,0)</f>
        <v/>
      </c>
      <c r="DG130">
        <f>ROUND(ROUND(AF130,0)*CX130,0)</f>
        <v/>
      </c>
      <c r="DH130">
        <f>ROUND(ROUND(AG130,0)*CX130,0)</f>
        <v/>
      </c>
      <c r="DI130">
        <f>ROUND(ROUND(AH130,0)*CX130,0)</f>
        <v/>
      </c>
      <c r="DJ130">
        <f>DF130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ROW(Source!A250)</f>
        <v/>
      </c>
      <c r="B131" t="n">
        <v>78869116</v>
      </c>
      <c r="C131" t="n">
        <v>78869839</v>
      </c>
      <c r="D131" t="n">
        <v>29107963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101-1669</t>
        </is>
      </c>
      <c r="J131" t="inlineStr">
        <is>
          <t>ТССЦ Московской обл., 101-1669, приказ Минстроя России №675/пр от 28.02.2017 № 254/пр</t>
        </is>
      </c>
      <c r="K131" t="inlineStr">
        <is>
          <t>Очес льняной</t>
        </is>
      </c>
      <c r="L131" t="n">
        <v>1346</v>
      </c>
      <c r="N131" t="n">
        <v>1009</v>
      </c>
      <c r="O131" t="inlineStr">
        <is>
          <t>кг</t>
        </is>
      </c>
      <c r="P131" t="inlineStr">
        <is>
          <t>кг</t>
        </is>
      </c>
      <c r="Q131" t="n">
        <v>1</v>
      </c>
      <c r="W131" t="n">
        <v>0</v>
      </c>
      <c r="X131" t="n">
        <v>-2113933962</v>
      </c>
      <c r="Y131">
        <f>AT131</f>
        <v/>
      </c>
      <c r="AA131" t="n">
        <v>590.67</v>
      </c>
      <c r="AB131" t="n">
        <v>0</v>
      </c>
      <c r="AC131" t="n">
        <v>0</v>
      </c>
      <c r="AD131" t="n">
        <v>0</v>
      </c>
      <c r="AE131" t="n">
        <v>37.29</v>
      </c>
      <c r="AF131" t="n">
        <v>0</v>
      </c>
      <c r="AG131" t="n">
        <v>0</v>
      </c>
      <c r="AH131" t="n">
        <v>0</v>
      </c>
      <c r="AI131" t="n">
        <v>15.84</v>
      </c>
      <c r="AJ131" t="n">
        <v>1</v>
      </c>
      <c r="AK131" t="n">
        <v>1</v>
      </c>
      <c r="AL131" t="n">
        <v>1</v>
      </c>
      <c r="AM131" t="n">
        <v>2</v>
      </c>
      <c r="AN131" t="n">
        <v>0</v>
      </c>
      <c r="AO131" t="n">
        <v>1</v>
      </c>
      <c r="AP131" t="n">
        <v>0</v>
      </c>
      <c r="AQ131" t="n">
        <v>0</v>
      </c>
      <c r="AR131" t="n">
        <v>0</v>
      </c>
      <c r="AS131" t="inlineStr"/>
      <c r="AT131" t="n">
        <v>0.02</v>
      </c>
      <c r="AU131" t="inlineStr"/>
      <c r="AV131" t="n">
        <v>0</v>
      </c>
      <c r="AW131" t="n">
        <v>2</v>
      </c>
      <c r="AX131" t="n">
        <v>78869850</v>
      </c>
      <c r="AY131" t="n">
        <v>1</v>
      </c>
      <c r="AZ131" t="n">
        <v>0</v>
      </c>
      <c r="BA131" t="n">
        <v>123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 t="n">
        <v>0</v>
      </c>
      <c r="CX131">
        <f>ROUND(Y131*Source!I250,7)</f>
        <v/>
      </c>
      <c r="CY131">
        <f>AA131</f>
        <v/>
      </c>
      <c r="CZ131">
        <f>AE131</f>
        <v/>
      </c>
      <c r="DA131">
        <f>AI131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ROUND(ROUND(AE131*AI131,0)*CX131,0)</f>
        <v/>
      </c>
      <c r="DG131">
        <f>ROUND(ROUND(AF131,0)*CX131,0)</f>
        <v/>
      </c>
      <c r="DH131">
        <f>ROUND(ROUND(AG131,0)*CX131,0)</f>
        <v/>
      </c>
      <c r="DI131">
        <f>ROUND(ROUND(AH131,0)*CX131,0)</f>
        <v/>
      </c>
      <c r="DJ131">
        <f>DF131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ROW(Source!A250)</f>
        <v/>
      </c>
      <c r="B132" t="n">
        <v>78869116</v>
      </c>
      <c r="C132" t="n">
        <v>78869839</v>
      </c>
      <c r="D132" t="n">
        <v>29150040</v>
      </c>
      <c r="E132" t="n">
        <v>1</v>
      </c>
      <c r="F132" t="n">
        <v>1</v>
      </c>
      <c r="G132" t="n">
        <v>1</v>
      </c>
      <c r="H132" t="n">
        <v>3</v>
      </c>
      <c r="I132" t="inlineStr">
        <is>
          <t>411-0001</t>
        </is>
      </c>
      <c r="J132" t="inlineStr">
        <is>
          <t>ТССЦ Московской обл., 411-0001, приказ Минстроя России №675/пр от 28.02.2017 № 257/пр</t>
        </is>
      </c>
      <c r="K132" t="inlineStr">
        <is>
          <t>Вода</t>
        </is>
      </c>
      <c r="L132" t="n">
        <v>1339</v>
      </c>
      <c r="N132" t="n">
        <v>1007</v>
      </c>
      <c r="O132" t="inlineStr">
        <is>
          <t>м3</t>
        </is>
      </c>
      <c r="P132" t="inlineStr">
        <is>
          <t>м3</t>
        </is>
      </c>
      <c r="Q132" t="n">
        <v>1</v>
      </c>
      <c r="W132" t="n">
        <v>0</v>
      </c>
      <c r="X132" t="n">
        <v>619799737</v>
      </c>
      <c r="Y132">
        <f>AT132</f>
        <v/>
      </c>
      <c r="AA132" t="n">
        <v>31.28</v>
      </c>
      <c r="AB132" t="n">
        <v>0</v>
      </c>
      <c r="AC132" t="n">
        <v>0</v>
      </c>
      <c r="AD132" t="n">
        <v>0</v>
      </c>
      <c r="AE132" t="n">
        <v>2.44</v>
      </c>
      <c r="AF132" t="n">
        <v>0</v>
      </c>
      <c r="AG132" t="n">
        <v>0</v>
      </c>
      <c r="AH132" t="n">
        <v>0</v>
      </c>
      <c r="AI132" t="n">
        <v>12.82</v>
      </c>
      <c r="AJ132" t="n">
        <v>1</v>
      </c>
      <c r="AK132" t="n">
        <v>1</v>
      </c>
      <c r="AL132" t="n">
        <v>1</v>
      </c>
      <c r="AM132" t="n">
        <v>2</v>
      </c>
      <c r="AN132" t="n">
        <v>0</v>
      </c>
      <c r="AO132" t="n">
        <v>1</v>
      </c>
      <c r="AP132" t="n">
        <v>0</v>
      </c>
      <c r="AQ132" t="n">
        <v>0</v>
      </c>
      <c r="AR132" t="n">
        <v>0</v>
      </c>
      <c r="AS132" t="inlineStr"/>
      <c r="AT132" t="n">
        <v>1</v>
      </c>
      <c r="AU132" t="inlineStr"/>
      <c r="AV132" t="n">
        <v>0</v>
      </c>
      <c r="AW132" t="n">
        <v>2</v>
      </c>
      <c r="AX132" t="n">
        <v>78869851</v>
      </c>
      <c r="AY132" t="n">
        <v>1</v>
      </c>
      <c r="AZ132" t="n">
        <v>0</v>
      </c>
      <c r="BA132" t="n">
        <v>124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 t="n">
        <v>0</v>
      </c>
      <c r="CX132">
        <f>ROUND(Y132*Source!I250,7)</f>
        <v/>
      </c>
      <c r="CY132">
        <f>AA132</f>
        <v/>
      </c>
      <c r="CZ132">
        <f>AE132</f>
        <v/>
      </c>
      <c r="DA132">
        <f>AI132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ROUND(ROUND(AE132*AI132,0)*CX132,0)</f>
        <v/>
      </c>
      <c r="DG132">
        <f>ROUND(ROUND(AF132,0)*CX132,0)</f>
        <v/>
      </c>
      <c r="DH132">
        <f>ROUND(ROUND(AG132,0)*CX132,0)</f>
        <v/>
      </c>
      <c r="DI132">
        <f>ROUND(ROUND(AH132,0)*CX132,0)</f>
        <v/>
      </c>
      <c r="DJ132">
        <f>DF132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ROW(Source!A289)</f>
        <v/>
      </c>
      <c r="B133" t="n">
        <v>78869116</v>
      </c>
      <c r="C133" t="n">
        <v>78869915</v>
      </c>
      <c r="D133" t="n">
        <v>18408291</v>
      </c>
      <c r="E133" t="n">
        <v>1</v>
      </c>
      <c r="F133" t="n">
        <v>1</v>
      </c>
      <c r="G133" t="n">
        <v>1</v>
      </c>
      <c r="H133" t="n">
        <v>1</v>
      </c>
      <c r="I133" t="inlineStr">
        <is>
          <t>1-1025-90</t>
        </is>
      </c>
      <c r="J133" t="inlineStr"/>
      <c r="K133" t="inlineStr">
        <is>
          <t>Рабочий строитель среднего разряда 2,5</t>
        </is>
      </c>
      <c r="L133" t="n">
        <v>1369</v>
      </c>
      <c r="N133" t="n">
        <v>1013</v>
      </c>
      <c r="O133" t="inlineStr">
        <is>
          <t>чел.-ч</t>
        </is>
      </c>
      <c r="P133" t="inlineStr">
        <is>
          <t>чел.-ч</t>
        </is>
      </c>
      <c r="Q133" t="n">
        <v>1</v>
      </c>
      <c r="W133" t="n">
        <v>0</v>
      </c>
      <c r="X133" t="n">
        <v>1933892413</v>
      </c>
      <c r="Y133">
        <f>AT133</f>
        <v/>
      </c>
      <c r="AA133" t="n">
        <v>0</v>
      </c>
      <c r="AB133" t="n">
        <v>0</v>
      </c>
      <c r="AC133" t="n">
        <v>0</v>
      </c>
      <c r="AD133" t="n">
        <v>8.17</v>
      </c>
      <c r="AE133" t="n">
        <v>0</v>
      </c>
      <c r="AF133" t="n">
        <v>0</v>
      </c>
      <c r="AG133" t="n">
        <v>0</v>
      </c>
      <c r="AH133" t="n">
        <v>8.17</v>
      </c>
      <c r="AI133" t="n">
        <v>1</v>
      </c>
      <c r="AJ133" t="n">
        <v>1</v>
      </c>
      <c r="AK133" t="n">
        <v>1</v>
      </c>
      <c r="AL133" t="n">
        <v>1</v>
      </c>
      <c r="AM133" t="n">
        <v>-2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32.2</v>
      </c>
      <c r="AU133" t="inlineStr"/>
      <c r="AV133" t="n">
        <v>1</v>
      </c>
      <c r="AW133" t="n">
        <v>2</v>
      </c>
      <c r="AX133" t="n">
        <v>78869921</v>
      </c>
      <c r="AY133" t="n">
        <v>1</v>
      </c>
      <c r="AZ133" t="n">
        <v>0</v>
      </c>
      <c r="BA133" t="n">
        <v>125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U133">
        <f>ROUND(AT133*Source!I289*AH133*AL133,0)</f>
        <v/>
      </c>
      <c r="CV133">
        <f>ROUND(Y133*Source!I289,7)</f>
        <v/>
      </c>
      <c r="CW133" t="n">
        <v>0</v>
      </c>
      <c r="CX133">
        <f>ROUND(Y133*Source!I289,7)</f>
        <v/>
      </c>
      <c r="CY133">
        <f>AD133</f>
        <v/>
      </c>
      <c r="CZ133">
        <f>AH133</f>
        <v/>
      </c>
      <c r="DA133">
        <f>AL133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DI133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ROW(Source!A289)</f>
        <v/>
      </c>
      <c r="B134" t="n">
        <v>78869116</v>
      </c>
      <c r="C134" t="n">
        <v>78869915</v>
      </c>
      <c r="D134" t="n">
        <v>29174913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400001</t>
        </is>
      </c>
      <c r="J134" t="inlineStr">
        <is>
          <t>ТСЭМ Московской обл., 400001, приказ Минстроя России №675/пр от 28.02.2017 № 264/пр</t>
        </is>
      </c>
      <c r="K134" t="inlineStr">
        <is>
          <t>Автомобили бортовые, грузоподъемность до 5 т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W134" t="n">
        <v>0</v>
      </c>
      <c r="X134" t="n">
        <v>1230759911</v>
      </c>
      <c r="Y134">
        <f>AT134</f>
        <v/>
      </c>
      <c r="AA134" t="n">
        <v>0</v>
      </c>
      <c r="AB134" t="n">
        <v>2177.51</v>
      </c>
      <c r="AC134" t="n">
        <v>606.1</v>
      </c>
      <c r="AD134" t="n">
        <v>0</v>
      </c>
      <c r="AE134" t="n">
        <v>0</v>
      </c>
      <c r="AF134" t="n">
        <v>87.17</v>
      </c>
      <c r="AG134" t="n">
        <v>11.6</v>
      </c>
      <c r="AH134" t="n">
        <v>0</v>
      </c>
      <c r="AI134" t="n">
        <v>1</v>
      </c>
      <c r="AJ134" t="n">
        <v>24.98</v>
      </c>
      <c r="AK134" t="n">
        <v>52.25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0.01</v>
      </c>
      <c r="AU134" t="inlineStr"/>
      <c r="AV134" t="n">
        <v>0</v>
      </c>
      <c r="AW134" t="n">
        <v>2</v>
      </c>
      <c r="AX134" t="n">
        <v>78869922</v>
      </c>
      <c r="AY134" t="n">
        <v>1</v>
      </c>
      <c r="AZ134" t="n">
        <v>0</v>
      </c>
      <c r="BA134" t="n">
        <v>126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>
        <f>ROUND(Y134*Source!I289*DO134,7)</f>
        <v/>
      </c>
      <c r="CX134">
        <f>ROUND(Y134*Source!I289,7)</f>
        <v/>
      </c>
      <c r="CY134">
        <f>AB134</f>
        <v/>
      </c>
      <c r="CZ134">
        <f>AF134</f>
        <v/>
      </c>
      <c r="DA134">
        <f>AJ134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ROUND(ROUND(AE134,0)*CX134,0)</f>
        <v/>
      </c>
      <c r="DG134">
        <f>ROUND(ROUND(AF134*AJ134,0)*CX134,0)</f>
        <v/>
      </c>
      <c r="DH134">
        <f>ROUND(ROUND(AG134*AK134,0)*CX134,0)</f>
        <v/>
      </c>
      <c r="DI134">
        <f>ROUND(ROUND(AH134,0)*CX134,0)</f>
        <v/>
      </c>
      <c r="DJ134">
        <f>DG134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ROW(Source!A289)</f>
        <v/>
      </c>
      <c r="B135" t="n">
        <v>78869116</v>
      </c>
      <c r="C135" t="n">
        <v>78869915</v>
      </c>
      <c r="D135" t="n">
        <v>29110139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101-1703</t>
        </is>
      </c>
      <c r="J135" t="inlineStr">
        <is>
          <t>ТССЦ Московской обл., 101-1703, приказ Минстроя России №675/пр от 28.02.2017 № 254/пр</t>
        </is>
      </c>
      <c r="K135" t="inlineStr">
        <is>
          <t>Прокладки резиновые (пластина техническая прессованная)</t>
        </is>
      </c>
      <c r="L135" t="n">
        <v>1346</v>
      </c>
      <c r="N135" t="n">
        <v>1009</v>
      </c>
      <c r="O135" t="inlineStr">
        <is>
          <t>кг</t>
        </is>
      </c>
      <c r="P135" t="inlineStr">
        <is>
          <t>кг</t>
        </is>
      </c>
      <c r="Q135" t="n">
        <v>1</v>
      </c>
      <c r="W135" t="n">
        <v>0</v>
      </c>
      <c r="X135" t="n">
        <v>-1947909329</v>
      </c>
      <c r="Y135">
        <f>AT135</f>
        <v/>
      </c>
      <c r="AA135" t="n">
        <v>341.04</v>
      </c>
      <c r="AB135" t="n">
        <v>0</v>
      </c>
      <c r="AC135" t="n">
        <v>0</v>
      </c>
      <c r="AD135" t="n">
        <v>0</v>
      </c>
      <c r="AE135" t="n">
        <v>23.09</v>
      </c>
      <c r="AF135" t="n">
        <v>0</v>
      </c>
      <c r="AG135" t="n">
        <v>0</v>
      </c>
      <c r="AH135" t="n">
        <v>0</v>
      </c>
      <c r="AI135" t="n">
        <v>14.77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2</v>
      </c>
      <c r="AU135" t="inlineStr"/>
      <c r="AV135" t="n">
        <v>0</v>
      </c>
      <c r="AW135" t="n">
        <v>2</v>
      </c>
      <c r="AX135" t="n">
        <v>78869923</v>
      </c>
      <c r="AY135" t="n">
        <v>1</v>
      </c>
      <c r="AZ135" t="n">
        <v>0</v>
      </c>
      <c r="BA135" t="n">
        <v>127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ROUND(Y135*Source!I289,7)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ROW(Source!A289)</f>
        <v/>
      </c>
      <c r="B136" t="n">
        <v>78869116</v>
      </c>
      <c r="C136" t="n">
        <v>78869915</v>
      </c>
      <c r="D136" t="n">
        <v>29114240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101-2576</t>
        </is>
      </c>
      <c r="J136" t="inlineStr">
        <is>
          <t>ТССЦ Московской обл., 101-2576, приказ Минстроя России №675/пр от 28.02.2017 № 254/пр</t>
        </is>
      </c>
      <c r="K136" t="inlineStr">
        <is>
          <t>Болты с гайками и шайбами для санитарно-технических работ диаметром 16 мм</t>
        </is>
      </c>
      <c r="L136" t="n">
        <v>1348</v>
      </c>
      <c r="N136" t="n">
        <v>1009</v>
      </c>
      <c r="O136" t="inlineStr">
        <is>
          <t>т</t>
        </is>
      </c>
      <c r="P136" t="inlineStr">
        <is>
          <t>т</t>
        </is>
      </c>
      <c r="Q136" t="n">
        <v>1000</v>
      </c>
      <c r="W136" t="n">
        <v>0</v>
      </c>
      <c r="X136" t="n">
        <v>-1701539228</v>
      </c>
      <c r="Y136">
        <f>AT136</f>
        <v/>
      </c>
      <c r="AA136" t="n">
        <v>145037.4</v>
      </c>
      <c r="AB136" t="n">
        <v>0</v>
      </c>
      <c r="AC136" t="n">
        <v>0</v>
      </c>
      <c r="AD136" t="n">
        <v>0</v>
      </c>
      <c r="AE136" t="n">
        <v>14830</v>
      </c>
      <c r="AF136" t="n">
        <v>0</v>
      </c>
      <c r="AG136" t="n">
        <v>0</v>
      </c>
      <c r="AH136" t="n">
        <v>0</v>
      </c>
      <c r="AI136" t="n">
        <v>9.779999999999999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0.005</v>
      </c>
      <c r="AU136" t="inlineStr"/>
      <c r="AV136" t="n">
        <v>0</v>
      </c>
      <c r="AW136" t="n">
        <v>2</v>
      </c>
      <c r="AX136" t="n">
        <v>78869924</v>
      </c>
      <c r="AY136" t="n">
        <v>1</v>
      </c>
      <c r="AZ136" t="n">
        <v>0</v>
      </c>
      <c r="BA136" t="n">
        <v>128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ROUND(Y136*Source!I289,7)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ROW(Source!A289)</f>
        <v/>
      </c>
      <c r="B137" t="n">
        <v>78869116</v>
      </c>
      <c r="C137" t="n">
        <v>78869915</v>
      </c>
      <c r="D137" t="n">
        <v>29150040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411-0001</t>
        </is>
      </c>
      <c r="J137" t="inlineStr">
        <is>
          <t>ТССЦ Московской обл., 411-0001, приказ Минстроя России №675/пр от 28.02.2017 № 257/пр</t>
        </is>
      </c>
      <c r="K137" t="inlineStr">
        <is>
          <t>Вода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W137" t="n">
        <v>0</v>
      </c>
      <c r="X137" t="n">
        <v>619799737</v>
      </c>
      <c r="Y137">
        <f>AT137</f>
        <v/>
      </c>
      <c r="AA137" t="n">
        <v>31.28</v>
      </c>
      <c r="AB137" t="n">
        <v>0</v>
      </c>
      <c r="AC137" t="n">
        <v>0</v>
      </c>
      <c r="AD137" t="n">
        <v>0</v>
      </c>
      <c r="AE137" t="n">
        <v>2.44</v>
      </c>
      <c r="AF137" t="n">
        <v>0</v>
      </c>
      <c r="AG137" t="n">
        <v>0</v>
      </c>
      <c r="AH137" t="n">
        <v>0</v>
      </c>
      <c r="AI137" t="n">
        <v>12.82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7.8</v>
      </c>
      <c r="AU137" t="inlineStr"/>
      <c r="AV137" t="n">
        <v>0</v>
      </c>
      <c r="AW137" t="n">
        <v>2</v>
      </c>
      <c r="AX137" t="n">
        <v>78869925</v>
      </c>
      <c r="AY137" t="n">
        <v>1</v>
      </c>
      <c r="AZ137" t="n">
        <v>0</v>
      </c>
      <c r="BA137" t="n">
        <v>129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ROUND(Y137*Source!I289,7)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ROW(Source!A290)</f>
        <v/>
      </c>
      <c r="B138" t="n">
        <v>78869116</v>
      </c>
      <c r="C138" t="n">
        <v>78869926</v>
      </c>
      <c r="D138" t="n">
        <v>18407150</v>
      </c>
      <c r="E138" t="n">
        <v>1</v>
      </c>
      <c r="F138" t="n">
        <v>1</v>
      </c>
      <c r="G138" t="n">
        <v>1</v>
      </c>
      <c r="H138" t="n">
        <v>1</v>
      </c>
      <c r="I138" t="inlineStr">
        <is>
          <t>1-1030-90</t>
        </is>
      </c>
      <c r="J138" t="inlineStr"/>
      <c r="K138" t="inlineStr">
        <is>
          <t>Рабочий строитель среднего разряда 3</t>
        </is>
      </c>
      <c r="L138" t="n">
        <v>1369</v>
      </c>
      <c r="N138" t="n">
        <v>1013</v>
      </c>
      <c r="O138" t="inlineStr">
        <is>
          <t>чел.-ч</t>
        </is>
      </c>
      <c r="P138" t="inlineStr">
        <is>
          <t>чел.-ч</t>
        </is>
      </c>
      <c r="Q138" t="n">
        <v>1</v>
      </c>
      <c r="W138" t="n">
        <v>0</v>
      </c>
      <c r="X138" t="n">
        <v>-931037793</v>
      </c>
      <c r="Y138">
        <f>AT138</f>
        <v/>
      </c>
      <c r="AA138" t="n">
        <v>0</v>
      </c>
      <c r="AB138" t="n">
        <v>0</v>
      </c>
      <c r="AC138" t="n">
        <v>0</v>
      </c>
      <c r="AD138" t="n">
        <v>8.529999999999999</v>
      </c>
      <c r="AE138" t="n">
        <v>0</v>
      </c>
      <c r="AF138" t="n">
        <v>0</v>
      </c>
      <c r="AG138" t="n">
        <v>0</v>
      </c>
      <c r="AH138" t="n">
        <v>8.529999999999999</v>
      </c>
      <c r="AI138" t="n">
        <v>1</v>
      </c>
      <c r="AJ138" t="n">
        <v>1</v>
      </c>
      <c r="AK138" t="n">
        <v>1</v>
      </c>
      <c r="AL138" t="n">
        <v>1</v>
      </c>
      <c r="AM138" t="n">
        <v>-2</v>
      </c>
      <c r="AN138" t="n">
        <v>0</v>
      </c>
      <c r="AO138" t="n">
        <v>1</v>
      </c>
      <c r="AP138" t="n">
        <v>0</v>
      </c>
      <c r="AQ138" t="n">
        <v>0</v>
      </c>
      <c r="AR138" t="n">
        <v>0</v>
      </c>
      <c r="AS138" t="inlineStr"/>
      <c r="AT138" t="n">
        <v>13.9</v>
      </c>
      <c r="AU138" t="inlineStr"/>
      <c r="AV138" t="n">
        <v>1</v>
      </c>
      <c r="AW138" t="n">
        <v>2</v>
      </c>
      <c r="AX138" t="n">
        <v>78869930</v>
      </c>
      <c r="AY138" t="n">
        <v>1</v>
      </c>
      <c r="AZ138" t="n">
        <v>0</v>
      </c>
      <c r="BA138" t="n">
        <v>130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U138">
        <f>ROUND(AT138*Source!I290*AH138*AL138,0)</f>
        <v/>
      </c>
      <c r="CV138">
        <f>ROUND(Y138*Source!I290,7)</f>
        <v/>
      </c>
      <c r="CW138" t="n">
        <v>0</v>
      </c>
      <c r="CX138">
        <f>ROUND(Y138*Source!I290,7)</f>
        <v/>
      </c>
      <c r="CY138">
        <f>AD138</f>
        <v/>
      </c>
      <c r="CZ138">
        <f>AH138</f>
        <v/>
      </c>
      <c r="DA138">
        <f>AL138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DI138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ROW(Source!A290)</f>
        <v/>
      </c>
      <c r="B139" t="n">
        <v>78869116</v>
      </c>
      <c r="C139" t="n">
        <v>78869926</v>
      </c>
      <c r="D139" t="n">
        <v>29169821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509-0696</t>
        </is>
      </c>
      <c r="J139" t="inlineStr">
        <is>
          <t>ТССЦ Московской обл., 509-0696, приказ Минстроя России №675/пр от 28.02.2017 № 258/пр</t>
        </is>
      </c>
      <c r="K139" t="inlineStr">
        <is>
          <t>Лампы люминесцентные ртутные низкого давления типа ЛБ, ЛД, ЛДЦ, ЛТВ, ЛБХ 20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-1187244712</v>
      </c>
      <c r="Y139">
        <f>AT139</f>
        <v/>
      </c>
      <c r="AA139" t="n">
        <v>352.73</v>
      </c>
      <c r="AB139" t="n">
        <v>0</v>
      </c>
      <c r="AC139" t="n">
        <v>0</v>
      </c>
      <c r="AD139" t="n">
        <v>0</v>
      </c>
      <c r="AE139" t="n">
        <v>85.2</v>
      </c>
      <c r="AF139" t="n">
        <v>0</v>
      </c>
      <c r="AG139" t="n">
        <v>0</v>
      </c>
      <c r="AH139" t="n">
        <v>0</v>
      </c>
      <c r="AI139" t="n">
        <v>4.14</v>
      </c>
      <c r="AJ139" t="n">
        <v>1</v>
      </c>
      <c r="AK139" t="n">
        <v>1</v>
      </c>
      <c r="AL139" t="n">
        <v>1</v>
      </c>
      <c r="AM139" t="n">
        <v>2</v>
      </c>
      <c r="AN139" t="n">
        <v>0</v>
      </c>
      <c r="AO139" t="n">
        <v>1</v>
      </c>
      <c r="AP139" t="n">
        <v>0</v>
      </c>
      <c r="AQ139" t="n">
        <v>0</v>
      </c>
      <c r="AR139" t="n">
        <v>0</v>
      </c>
      <c r="AS139" t="inlineStr"/>
      <c r="AT139" t="n">
        <v>10</v>
      </c>
      <c r="AU139" t="inlineStr"/>
      <c r="AV139" t="n">
        <v>0</v>
      </c>
      <c r="AW139" t="n">
        <v>2</v>
      </c>
      <c r="AX139" t="n">
        <v>78869931</v>
      </c>
      <c r="AY139" t="n">
        <v>1</v>
      </c>
      <c r="AZ139" t="n">
        <v>0</v>
      </c>
      <c r="BA139" t="n">
        <v>131</v>
      </c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ROUND(Y139*Source!I290,7)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ROW(Source!A290)</f>
        <v/>
      </c>
      <c r="B140" t="n">
        <v>78869116</v>
      </c>
      <c r="C140" t="n">
        <v>78869926</v>
      </c>
      <c r="D140" t="n">
        <v>29169828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509-6744</t>
        </is>
      </c>
      <c r="J140" t="inlineStr">
        <is>
          <t>ТССЦ Московской обл., 509-6744, приказ Минстроя России №675/пр от 28.02.2017 № 258/пр</t>
        </is>
      </c>
      <c r="K140" t="inlineStr">
        <is>
          <t>Лампы люминесцентные компактные энергосберегающие с цоколем Е27 мощностью 55 Вт</t>
        </is>
      </c>
      <c r="L140" t="n">
        <v>1354</v>
      </c>
      <c r="N140" t="n">
        <v>1010</v>
      </c>
      <c r="O140" t="inlineStr">
        <is>
          <t>шт.</t>
        </is>
      </c>
      <c r="P140" t="inlineStr">
        <is>
          <t>шт.</t>
        </is>
      </c>
      <c r="Q140" t="n">
        <v>1</v>
      </c>
      <c r="W140" t="n">
        <v>0</v>
      </c>
      <c r="X140" t="n">
        <v>-228955380</v>
      </c>
      <c r="Y140">
        <f>AT140</f>
        <v/>
      </c>
      <c r="AA140" t="n">
        <v>237.77</v>
      </c>
      <c r="AB140" t="n">
        <v>0</v>
      </c>
      <c r="AC140" t="n">
        <v>0</v>
      </c>
      <c r="AD140" t="n">
        <v>0</v>
      </c>
      <c r="AE140" t="n">
        <v>140.69</v>
      </c>
      <c r="AF140" t="n">
        <v>0</v>
      </c>
      <c r="AG140" t="n">
        <v>0</v>
      </c>
      <c r="AH140" t="n">
        <v>0</v>
      </c>
      <c r="AI140" t="n">
        <v>1.69</v>
      </c>
      <c r="AJ140" t="n">
        <v>1</v>
      </c>
      <c r="AK140" t="n">
        <v>1</v>
      </c>
      <c r="AL140" t="n">
        <v>1</v>
      </c>
      <c r="AM140" t="n">
        <v>0</v>
      </c>
      <c r="AN140" t="n">
        <v>0</v>
      </c>
      <c r="AO140" t="n">
        <v>0</v>
      </c>
      <c r="AP140" t="n">
        <v>1</v>
      </c>
      <c r="AQ140" t="n">
        <v>0</v>
      </c>
      <c r="AR140" t="n">
        <v>0</v>
      </c>
      <c r="AS140" t="inlineStr"/>
      <c r="AT140" t="n">
        <v>100</v>
      </c>
      <c r="AU140" t="inlineStr"/>
      <c r="AV140" t="n">
        <v>0</v>
      </c>
      <c r="AW140" t="n">
        <v>1</v>
      </c>
      <c r="AX140" t="n">
        <v>-1</v>
      </c>
      <c r="AY140" t="n">
        <v>0</v>
      </c>
      <c r="AZ140" t="n">
        <v>0</v>
      </c>
      <c r="BA140" t="inlineStr"/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V140" t="n">
        <v>0</v>
      </c>
      <c r="CW140" t="n">
        <v>0</v>
      </c>
      <c r="CX140">
        <f>ROUND(Y140*Source!I290,7)</f>
        <v/>
      </c>
      <c r="CY140">
        <f>AA140</f>
        <v/>
      </c>
      <c r="CZ140">
        <f>AE140</f>
        <v/>
      </c>
      <c r="DA140">
        <f>AI140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ROUND(ROUND(AE140*AI140,0)*CX140,0)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DF140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ROW(Source!A292)</f>
        <v/>
      </c>
      <c r="B141" t="n">
        <v>78869116</v>
      </c>
      <c r="C141" t="n">
        <v>78869933</v>
      </c>
      <c r="D141" t="n">
        <v>18409850</v>
      </c>
      <c r="E141" t="n">
        <v>1</v>
      </c>
      <c r="F141" t="n">
        <v>1</v>
      </c>
      <c r="G141" t="n">
        <v>1</v>
      </c>
      <c r="H141" t="n">
        <v>1</v>
      </c>
      <c r="I141" t="inlineStr">
        <is>
          <t>1-1035-90</t>
        </is>
      </c>
      <c r="J141" t="inlineStr"/>
      <c r="K141" t="inlineStr">
        <is>
          <t>Рабочий строитель среднего разряда 3,5</t>
        </is>
      </c>
      <c r="L141" t="n">
        <v>1369</v>
      </c>
      <c r="N141" t="n">
        <v>1013</v>
      </c>
      <c r="O141" t="inlineStr">
        <is>
          <t>чел.-ч</t>
        </is>
      </c>
      <c r="P141" t="inlineStr">
        <is>
          <t>чел.-ч</t>
        </is>
      </c>
      <c r="Q141" t="n">
        <v>1</v>
      </c>
      <c r="W141" t="n">
        <v>0</v>
      </c>
      <c r="X141" t="n">
        <v>855544366</v>
      </c>
      <c r="Y141">
        <f>AT141</f>
        <v/>
      </c>
      <c r="AA141" t="n">
        <v>0</v>
      </c>
      <c r="AB141" t="n">
        <v>0</v>
      </c>
      <c r="AC141" t="n">
        <v>0</v>
      </c>
      <c r="AD141" t="n">
        <v>9.07</v>
      </c>
      <c r="AE141" t="n">
        <v>0</v>
      </c>
      <c r="AF141" t="n">
        <v>0</v>
      </c>
      <c r="AG141" t="n">
        <v>0</v>
      </c>
      <c r="AH141" t="n">
        <v>9.07</v>
      </c>
      <c r="AI141" t="n">
        <v>1</v>
      </c>
      <c r="AJ141" t="n">
        <v>1</v>
      </c>
      <c r="AK141" t="n">
        <v>1</v>
      </c>
      <c r="AL141" t="n">
        <v>1</v>
      </c>
      <c r="AM141" t="n">
        <v>-2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81</v>
      </c>
      <c r="AU141" t="inlineStr"/>
      <c r="AV141" t="n">
        <v>1</v>
      </c>
      <c r="AW141" t="n">
        <v>2</v>
      </c>
      <c r="AX141" t="n">
        <v>78869942</v>
      </c>
      <c r="AY141" t="n">
        <v>1</v>
      </c>
      <c r="AZ141" t="n">
        <v>0</v>
      </c>
      <c r="BA141" t="n">
        <v>132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U141">
        <f>ROUND(AT141*Source!I292*AH141*AL141,0)</f>
        <v/>
      </c>
      <c r="CV141">
        <f>ROUND(Y141*Source!I292,7)</f>
        <v/>
      </c>
      <c r="CW141" t="n">
        <v>0</v>
      </c>
      <c r="CX141">
        <f>ROUND(Y141*Source!I292,7)</f>
        <v/>
      </c>
      <c r="CY141">
        <f>AD141</f>
        <v/>
      </c>
      <c r="CZ141">
        <f>AH141</f>
        <v/>
      </c>
      <c r="DA141">
        <f>AL141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ROUND(ROUND(AF141,0)*CX141,0)</f>
        <v/>
      </c>
      <c r="DH141">
        <f>ROUND(ROUND(AG141,0)*CX141,0)</f>
        <v/>
      </c>
      <c r="DI141">
        <f>ROUND(ROUND(AH141,0)*CX141,0)</f>
        <v/>
      </c>
      <c r="DJ141">
        <f>DI141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ROW(Source!A292)</f>
        <v/>
      </c>
      <c r="B142" t="n">
        <v>78869116</v>
      </c>
      <c r="C142" t="n">
        <v>78869933</v>
      </c>
      <c r="D142" t="n">
        <v>29174913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400001</t>
        </is>
      </c>
      <c r="J142" t="inlineStr">
        <is>
          <t>ТСЭМ Московской обл., 400001, приказ Минстроя России №675/пр от 28.02.2017 № 264/пр</t>
        </is>
      </c>
      <c r="K142" t="inlineStr">
        <is>
          <t>Автомобили бортовые, грузоподъемность до 5 т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1230759911</v>
      </c>
      <c r="Y142">
        <f>AT142</f>
        <v/>
      </c>
      <c r="AA142" t="n">
        <v>0</v>
      </c>
      <c r="AB142" t="n">
        <v>2177.51</v>
      </c>
      <c r="AC142" t="n">
        <v>606.1</v>
      </c>
      <c r="AD142" t="n">
        <v>0</v>
      </c>
      <c r="AE142" t="n">
        <v>0</v>
      </c>
      <c r="AF142" t="n">
        <v>87.17</v>
      </c>
      <c r="AG142" t="n">
        <v>11.6</v>
      </c>
      <c r="AH142" t="n">
        <v>0</v>
      </c>
      <c r="AI142" t="n">
        <v>1</v>
      </c>
      <c r="AJ142" t="n">
        <v>24.98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0.05</v>
      </c>
      <c r="AU142" t="inlineStr"/>
      <c r="AV142" t="n">
        <v>0</v>
      </c>
      <c r="AW142" t="n">
        <v>2</v>
      </c>
      <c r="AX142" t="n">
        <v>78869943</v>
      </c>
      <c r="AY142" t="n">
        <v>1</v>
      </c>
      <c r="AZ142" t="n">
        <v>0</v>
      </c>
      <c r="BA142" t="n">
        <v>133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ROUND(Y142*Source!I292*DO142,7)</f>
        <v/>
      </c>
      <c r="CX142">
        <f>ROUND(Y142*Source!I292,7)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ROW(Source!A292)</f>
        <v/>
      </c>
      <c r="B143" t="n">
        <v>78869116</v>
      </c>
      <c r="C143" t="n">
        <v>78869933</v>
      </c>
      <c r="D143" t="n">
        <v>29110398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101-0388</t>
        </is>
      </c>
      <c r="J143" t="inlineStr">
        <is>
          <t>ТССЦ Московской обл., 101-0388, приказ Минстроя России №675/пр от 28.02.2017 № 254/пр</t>
        </is>
      </c>
      <c r="K143" t="inlineStr">
        <is>
          <t>Краски масляные земляные марки МА-0115 мумия, сурик железный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W143" t="n">
        <v>0</v>
      </c>
      <c r="X143" t="n">
        <v>1625292450</v>
      </c>
      <c r="Y143">
        <f>AT143</f>
        <v/>
      </c>
      <c r="AA143" t="n">
        <v>76804.47</v>
      </c>
      <c r="AB143" t="n">
        <v>0</v>
      </c>
      <c r="AC143" t="n">
        <v>0</v>
      </c>
      <c r="AD143" t="n">
        <v>0</v>
      </c>
      <c r="AE143" t="n">
        <v>15118.99</v>
      </c>
      <c r="AF143" t="n">
        <v>0</v>
      </c>
      <c r="AG143" t="n">
        <v>0</v>
      </c>
      <c r="AH143" t="n">
        <v>0</v>
      </c>
      <c r="AI143" t="n">
        <v>5.08</v>
      </c>
      <c r="AJ143" t="n">
        <v>1</v>
      </c>
      <c r="AK143" t="n">
        <v>1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0.0014</v>
      </c>
      <c r="AU143" t="inlineStr"/>
      <c r="AV143" t="n">
        <v>0</v>
      </c>
      <c r="AW143" t="n">
        <v>2</v>
      </c>
      <c r="AX143" t="n">
        <v>78869944</v>
      </c>
      <c r="AY143" t="n">
        <v>1</v>
      </c>
      <c r="AZ143" t="n">
        <v>0</v>
      </c>
      <c r="BA143" t="n">
        <v>134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 t="n">
        <v>0</v>
      </c>
      <c r="CX143">
        <f>ROUND(Y143*Source!I292,7)</f>
        <v/>
      </c>
      <c r="CY143">
        <f>AA143</f>
        <v/>
      </c>
      <c r="CZ143">
        <f>AE143</f>
        <v/>
      </c>
      <c r="DA143">
        <f>AI143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ROUND(ROUND(AE143*AI143,0)*CX143,0)</f>
        <v/>
      </c>
      <c r="DG143">
        <f>ROUND(ROUND(AF143,0)*CX143,0)</f>
        <v/>
      </c>
      <c r="DH143">
        <f>ROUND(ROUND(AG143,0)*CX143,0)</f>
        <v/>
      </c>
      <c r="DI143">
        <f>ROUND(ROUND(AH143,0)*CX143,0)</f>
        <v/>
      </c>
      <c r="DJ143">
        <f>DF143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ROW(Source!A292)</f>
        <v/>
      </c>
      <c r="B144" t="n">
        <v>78869116</v>
      </c>
      <c r="C144" t="n">
        <v>78869933</v>
      </c>
      <c r="D144" t="n">
        <v>29110573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101-0628</t>
        </is>
      </c>
      <c r="J144" t="inlineStr">
        <is>
          <t>ТССЦ Московской обл., 101-0628, приказ Минстроя России №675/пр от 28.02.2017 № 254/пр</t>
        </is>
      </c>
      <c r="K144" t="inlineStr">
        <is>
          <t>Олифа комбинированная, марки К-3</t>
        </is>
      </c>
      <c r="L144" t="n">
        <v>1348</v>
      </c>
      <c r="N144" t="n">
        <v>1009</v>
      </c>
      <c r="O144" t="inlineStr">
        <is>
          <t>т</t>
        </is>
      </c>
      <c r="P144" t="inlineStr">
        <is>
          <t>т</t>
        </is>
      </c>
      <c r="Q144" t="n">
        <v>1000</v>
      </c>
      <c r="W144" t="n">
        <v>0</v>
      </c>
      <c r="X144" t="n">
        <v>24062879</v>
      </c>
      <c r="Y144">
        <f>AT144</f>
        <v/>
      </c>
      <c r="AA144" t="n">
        <v>87631.5</v>
      </c>
      <c r="AB144" t="n">
        <v>0</v>
      </c>
      <c r="AC144" t="n">
        <v>0</v>
      </c>
      <c r="AD144" t="n">
        <v>0</v>
      </c>
      <c r="AE144" t="n">
        <v>16950</v>
      </c>
      <c r="AF144" t="n">
        <v>0</v>
      </c>
      <c r="AG144" t="n">
        <v>0</v>
      </c>
      <c r="AH144" t="n">
        <v>0</v>
      </c>
      <c r="AI144" t="n">
        <v>5.17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0.0007</v>
      </c>
      <c r="AU144" t="inlineStr"/>
      <c r="AV144" t="n">
        <v>0</v>
      </c>
      <c r="AW144" t="n">
        <v>2</v>
      </c>
      <c r="AX144" t="n">
        <v>78869945</v>
      </c>
      <c r="AY144" t="n">
        <v>1</v>
      </c>
      <c r="AZ144" t="n">
        <v>0</v>
      </c>
      <c r="BA144" t="n">
        <v>135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ROUND(Y144*Source!I292,7)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ROW(Source!A292)</f>
        <v/>
      </c>
      <c r="B145" t="n">
        <v>78869116</v>
      </c>
      <c r="C145" t="n">
        <v>78869933</v>
      </c>
      <c r="D145" t="n">
        <v>29107963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101-1669</t>
        </is>
      </c>
      <c r="J145" t="inlineStr">
        <is>
          <t>ТССЦ Московской обл., 101-1669, приказ Минстроя России №675/пр от 28.02.2017 № 254/пр</t>
        </is>
      </c>
      <c r="K145" t="inlineStr">
        <is>
          <t>Очес льняной</t>
        </is>
      </c>
      <c r="L145" t="n">
        <v>1346</v>
      </c>
      <c r="N145" t="n">
        <v>1009</v>
      </c>
      <c r="O145" t="inlineStr">
        <is>
          <t>кг</t>
        </is>
      </c>
      <c r="P145" t="inlineStr">
        <is>
          <t>кг</t>
        </is>
      </c>
      <c r="Q145" t="n">
        <v>1</v>
      </c>
      <c r="W145" t="n">
        <v>0</v>
      </c>
      <c r="X145" t="n">
        <v>-2113933962</v>
      </c>
      <c r="Y145">
        <f>AT145</f>
        <v/>
      </c>
      <c r="AA145" t="n">
        <v>590.67</v>
      </c>
      <c r="AB145" t="n">
        <v>0</v>
      </c>
      <c r="AC145" t="n">
        <v>0</v>
      </c>
      <c r="AD145" t="n">
        <v>0</v>
      </c>
      <c r="AE145" t="n">
        <v>37.29</v>
      </c>
      <c r="AF145" t="n">
        <v>0</v>
      </c>
      <c r="AG145" t="n">
        <v>0</v>
      </c>
      <c r="AH145" t="n">
        <v>0</v>
      </c>
      <c r="AI145" t="n">
        <v>15.84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0.7</v>
      </c>
      <c r="AU145" t="inlineStr"/>
      <c r="AV145" t="n">
        <v>0</v>
      </c>
      <c r="AW145" t="n">
        <v>2</v>
      </c>
      <c r="AX145" t="n">
        <v>78869946</v>
      </c>
      <c r="AY145" t="n">
        <v>1</v>
      </c>
      <c r="AZ145" t="n">
        <v>0</v>
      </c>
      <c r="BA145" t="n">
        <v>136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ROUND(Y145*Source!I292,7)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ROW(Source!A292)</f>
        <v/>
      </c>
      <c r="B146" t="n">
        <v>78869116</v>
      </c>
      <c r="C146" t="n">
        <v>78869933</v>
      </c>
      <c r="D146" t="n">
        <v>29143378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302-0062</t>
        </is>
      </c>
      <c r="J146" t="inlineStr">
        <is>
          <t>ТССЦ Московской обл., 302-0062, приказ Минстроя России №675/пр от 28.02.2017 № 256/пр</t>
        </is>
      </c>
      <c r="K146" t="inlineStr">
        <is>
          <t>Кран шаровый муфтовый Valtec для воды диаметром 15 мм, тип в/в</t>
        </is>
      </c>
      <c r="L146" t="n">
        <v>1354</v>
      </c>
      <c r="N146" t="n">
        <v>1010</v>
      </c>
      <c r="O146" t="inlineStr">
        <is>
          <t>шт.</t>
        </is>
      </c>
      <c r="P146" t="inlineStr">
        <is>
          <t>шт.</t>
        </is>
      </c>
      <c r="Q146" t="n">
        <v>1</v>
      </c>
      <c r="W146" t="n">
        <v>0</v>
      </c>
      <c r="X146" t="n">
        <v>-1687406522</v>
      </c>
      <c r="Y146">
        <f>AT146</f>
        <v/>
      </c>
      <c r="AA146" t="n">
        <v>384.3</v>
      </c>
      <c r="AB146" t="n">
        <v>0</v>
      </c>
      <c r="AC146" t="n">
        <v>0</v>
      </c>
      <c r="AD146" t="n">
        <v>0</v>
      </c>
      <c r="AE146" t="n">
        <v>28.53</v>
      </c>
      <c r="AF146" t="n">
        <v>0</v>
      </c>
      <c r="AG146" t="n">
        <v>0</v>
      </c>
      <c r="AH146" t="n">
        <v>0</v>
      </c>
      <c r="AI146" t="n">
        <v>13.47</v>
      </c>
      <c r="AJ146" t="n">
        <v>1</v>
      </c>
      <c r="AK146" t="n">
        <v>1</v>
      </c>
      <c r="AL146" t="n">
        <v>1</v>
      </c>
      <c r="AM146" t="n">
        <v>0</v>
      </c>
      <c r="AN146" t="n">
        <v>0</v>
      </c>
      <c r="AO146" t="n">
        <v>0</v>
      </c>
      <c r="AP146" t="n">
        <v>1</v>
      </c>
      <c r="AQ146" t="n">
        <v>0</v>
      </c>
      <c r="AR146" t="n">
        <v>0</v>
      </c>
      <c r="AS146" t="inlineStr"/>
      <c r="AT146" t="n">
        <v>100</v>
      </c>
      <c r="AU146" t="inlineStr"/>
      <c r="AV146" t="n">
        <v>0</v>
      </c>
      <c r="AW146" t="n">
        <v>1</v>
      </c>
      <c r="AX146" t="n">
        <v>-1</v>
      </c>
      <c r="AY146" t="n">
        <v>0</v>
      </c>
      <c r="AZ146" t="n">
        <v>0</v>
      </c>
      <c r="BA146" t="inlineStr"/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ROUND(Y146*Source!I292,7)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ROW(Source!A292)</f>
        <v/>
      </c>
      <c r="B147" t="n">
        <v>78869116</v>
      </c>
      <c r="C147" t="n">
        <v>78869933</v>
      </c>
      <c r="D147" t="n">
        <v>29142465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302-1342</t>
        </is>
      </c>
      <c r="J147" t="inlineStr">
        <is>
          <t>ТССЦ Московской обл., 302-1342, приказ Минстроя России №675/пр от 28.02.2017 № 256/пр</t>
        </is>
      </c>
      <c r="K147" t="inlineStr">
        <is>
          <t>Вентили проходные муфтовые 15кч18п для воды давлением 1,6 МПа (16 кгс/см2), диаметром 20 мм</t>
        </is>
      </c>
      <c r="L147" t="n">
        <v>1354</v>
      </c>
      <c r="N147" t="n">
        <v>1010</v>
      </c>
      <c r="O147" t="inlineStr">
        <is>
          <t>шт.</t>
        </is>
      </c>
      <c r="P147" t="inlineStr">
        <is>
          <t>шт.</t>
        </is>
      </c>
      <c r="Q147" t="n">
        <v>1</v>
      </c>
      <c r="W147" t="n">
        <v>0</v>
      </c>
      <c r="X147" t="n">
        <v>-852705161</v>
      </c>
      <c r="Y147">
        <f>AT147</f>
        <v/>
      </c>
      <c r="AA147" t="n">
        <v>221.81</v>
      </c>
      <c r="AB147" t="n">
        <v>0</v>
      </c>
      <c r="AC147" t="n">
        <v>0</v>
      </c>
      <c r="AD147" t="n">
        <v>0</v>
      </c>
      <c r="AE147" t="n">
        <v>21.81</v>
      </c>
      <c r="AF147" t="n">
        <v>0</v>
      </c>
      <c r="AG147" t="n">
        <v>0</v>
      </c>
      <c r="AH147" t="n">
        <v>0</v>
      </c>
      <c r="AI147" t="n">
        <v>10.17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100</v>
      </c>
      <c r="AU147" t="inlineStr"/>
      <c r="AV147" t="n">
        <v>0</v>
      </c>
      <c r="AW147" t="n">
        <v>2</v>
      </c>
      <c r="AX147" t="n">
        <v>78869947</v>
      </c>
      <c r="AY147" t="n">
        <v>1</v>
      </c>
      <c r="AZ147" t="n">
        <v>0</v>
      </c>
      <c r="BA147" t="n">
        <v>137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ROUND(Y147*Source!I292,7)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ROW(Source!A292)</f>
        <v/>
      </c>
      <c r="B148" t="n">
        <v>78869116</v>
      </c>
      <c r="C148" t="n">
        <v>78869933</v>
      </c>
      <c r="D148" t="n">
        <v>29164350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509-9899</t>
        </is>
      </c>
      <c r="J148" t="inlineStr">
        <is>
          <t>ТССЦ Московской обл., 509-9899, приказ Минстроя России №675/пр от 28.02.2017 № 258/пр</t>
        </is>
      </c>
      <c r="K148" t="inlineStr">
        <is>
          <t>Строительный мусор и масса возвратных материалов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W148" t="n">
        <v>0</v>
      </c>
      <c r="X148" t="n">
        <v>1839160745</v>
      </c>
      <c r="Y148">
        <f>AT148</f>
        <v/>
      </c>
      <c r="AA148" t="n">
        <v>0</v>
      </c>
      <c r="AB148" t="n">
        <v>0</v>
      </c>
      <c r="AC148" t="n">
        <v>0</v>
      </c>
      <c r="AD148" t="n">
        <v>0</v>
      </c>
      <c r="AE148" t="n">
        <v>0</v>
      </c>
      <c r="AF148" t="n">
        <v>0</v>
      </c>
      <c r="AG148" t="n">
        <v>0</v>
      </c>
      <c r="AH148" t="n">
        <v>0</v>
      </c>
      <c r="AI148" t="n">
        <v>1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1</v>
      </c>
      <c r="AQ148" t="n">
        <v>0</v>
      </c>
      <c r="AR148" t="n">
        <v>0</v>
      </c>
      <c r="AS148" t="inlineStr"/>
      <c r="AT148" t="n">
        <v>0.04</v>
      </c>
      <c r="AU148" t="inlineStr"/>
      <c r="AV148" t="n">
        <v>0</v>
      </c>
      <c r="AW148" t="n">
        <v>2</v>
      </c>
      <c r="AX148" t="n">
        <v>78869948</v>
      </c>
      <c r="AY148" t="n">
        <v>1</v>
      </c>
      <c r="AZ148" t="n">
        <v>0</v>
      </c>
      <c r="BA148" t="n">
        <v>138</v>
      </c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ROUND(Y148*Source!I292,7)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ROW(Source!A295)</f>
        <v/>
      </c>
      <c r="B149" t="n">
        <v>78869116</v>
      </c>
      <c r="C149" t="n">
        <v>78869951</v>
      </c>
      <c r="D149" t="n">
        <v>18442827</v>
      </c>
      <c r="E149" t="n">
        <v>1</v>
      </c>
      <c r="F149" t="n">
        <v>1</v>
      </c>
      <c r="G149" t="n">
        <v>1</v>
      </c>
      <c r="H149" t="n">
        <v>1</v>
      </c>
      <c r="I149" t="inlineStr">
        <is>
          <t>1-1053-90</t>
        </is>
      </c>
      <c r="J149" t="inlineStr"/>
      <c r="K149" t="inlineStr">
        <is>
          <t>Рабочий строитель среднего разряда 5,3</t>
        </is>
      </c>
      <c r="L149" t="n">
        <v>1369</v>
      </c>
      <c r="N149" t="n">
        <v>1013</v>
      </c>
      <c r="O149" t="inlineStr">
        <is>
          <t>чел.-ч</t>
        </is>
      </c>
      <c r="P149" t="inlineStr">
        <is>
          <t>чел.-ч</t>
        </is>
      </c>
      <c r="Q149" t="n">
        <v>1</v>
      </c>
      <c r="W149" t="n">
        <v>0</v>
      </c>
      <c r="X149" t="n">
        <v>717490484</v>
      </c>
      <c r="Y149">
        <f>(AT149*ROUND(6,7))</f>
        <v/>
      </c>
      <c r="AA149" t="n">
        <v>0</v>
      </c>
      <c r="AB149" t="n">
        <v>0</v>
      </c>
      <c r="AC149" t="n">
        <v>0</v>
      </c>
      <c r="AD149" t="n">
        <v>11.64</v>
      </c>
      <c r="AE149" t="n">
        <v>0</v>
      </c>
      <c r="AF149" t="n">
        <v>0</v>
      </c>
      <c r="AG149" t="n">
        <v>0</v>
      </c>
      <c r="AH149" t="n">
        <v>11.64</v>
      </c>
      <c r="AI149" t="n">
        <v>1</v>
      </c>
      <c r="AJ149" t="n">
        <v>1</v>
      </c>
      <c r="AK149" t="n">
        <v>1</v>
      </c>
      <c r="AL149" t="n">
        <v>1</v>
      </c>
      <c r="AM149" t="n">
        <v>-2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5.01</v>
      </c>
      <c r="AU149" t="inlineStr">
        <is>
          <t>)*6</t>
        </is>
      </c>
      <c r="AV149" t="n">
        <v>1</v>
      </c>
      <c r="AW149" t="n">
        <v>2</v>
      </c>
      <c r="AX149" t="n">
        <v>78869958</v>
      </c>
      <c r="AY149" t="n">
        <v>1</v>
      </c>
      <c r="AZ149" t="n">
        <v>0</v>
      </c>
      <c r="BA149" t="n">
        <v>139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U149">
        <f>ROUND(AT149*Source!I295*AH149*AL149,0)</f>
        <v/>
      </c>
      <c r="CV149">
        <f>ROUND(Y149*Source!I295,7)</f>
        <v/>
      </c>
      <c r="CW149" t="n">
        <v>0</v>
      </c>
      <c r="CX149">
        <f>ROUND(Y149*Source!I295,7)</f>
        <v/>
      </c>
      <c r="CY149">
        <f>AD149</f>
        <v/>
      </c>
      <c r="CZ149">
        <f>AH149</f>
        <v/>
      </c>
      <c r="DA149">
        <f>AL149</f>
        <v/>
      </c>
      <c r="DB149">
        <f>ROUND((ROUND(AT149*CZ149,2)*ROUND(6,7)),2)</f>
        <v/>
      </c>
      <c r="DC149">
        <f>ROUND((ROUND(AT149*AG149,2)*ROUND(6,7)),2)</f>
        <v/>
      </c>
      <c r="DD149" t="inlineStr"/>
      <c r="DE149" t="inlineStr"/>
      <c r="DF149">
        <f>ROUND(ROUND(AE149,0)*CX149,0)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DI149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ROW(Source!A295)</f>
        <v/>
      </c>
      <c r="B150" t="n">
        <v>78869116</v>
      </c>
      <c r="C150" t="n">
        <v>78869951</v>
      </c>
      <c r="D150" t="n">
        <v>29172703</v>
      </c>
      <c r="E150" t="n">
        <v>1</v>
      </c>
      <c r="F150" t="n">
        <v>1</v>
      </c>
      <c r="G150" t="n">
        <v>1</v>
      </c>
      <c r="H150" t="n">
        <v>2</v>
      </c>
      <c r="I150" t="inlineStr">
        <is>
          <t>042900</t>
        </is>
      </c>
      <c r="J150" t="inlineStr">
        <is>
          <t>ТСЭМ Московской обл., 042900, приказ Минстроя России №675/пр от 28.02.2017 № 264/пр</t>
        </is>
      </c>
      <c r="K15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50" t="n">
        <v>1368</v>
      </c>
      <c r="N150" t="n">
        <v>1011</v>
      </c>
      <c r="O150" t="inlineStr">
        <is>
          <t>маш.-ч</t>
        </is>
      </c>
      <c r="P150" t="inlineStr">
        <is>
          <t>маш.-ч</t>
        </is>
      </c>
      <c r="Q150" t="n">
        <v>1</v>
      </c>
      <c r="W150" t="n">
        <v>0</v>
      </c>
      <c r="X150" t="n">
        <v>1695838894</v>
      </c>
      <c r="Y150">
        <f>(AT150*ROUND(6,7))</f>
        <v/>
      </c>
      <c r="AA150" t="n">
        <v>0</v>
      </c>
      <c r="AB150" t="n">
        <v>177.13</v>
      </c>
      <c r="AC150" t="n">
        <v>0</v>
      </c>
      <c r="AD150" t="n">
        <v>0</v>
      </c>
      <c r="AE150" t="n">
        <v>0</v>
      </c>
      <c r="AF150" t="n">
        <v>29.67</v>
      </c>
      <c r="AG150" t="n">
        <v>0</v>
      </c>
      <c r="AH150" t="n">
        <v>0</v>
      </c>
      <c r="AI150" t="n">
        <v>1</v>
      </c>
      <c r="AJ150" t="n">
        <v>5.97</v>
      </c>
      <c r="AK150" t="n">
        <v>52.25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1.5</v>
      </c>
      <c r="AU150" t="inlineStr">
        <is>
          <t>)*6</t>
        </is>
      </c>
      <c r="AV150" t="n">
        <v>0</v>
      </c>
      <c r="AW150" t="n">
        <v>2</v>
      </c>
      <c r="AX150" t="n">
        <v>78869959</v>
      </c>
      <c r="AY150" t="n">
        <v>1</v>
      </c>
      <c r="AZ150" t="n">
        <v>0</v>
      </c>
      <c r="BA150" t="n">
        <v>140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>
        <f>ROUND(Y150*Source!I295*DO150,7)</f>
        <v/>
      </c>
      <c r="CX150">
        <f>ROUND(Y150*Source!I295,7)</f>
        <v/>
      </c>
      <c r="CY150">
        <f>AB150</f>
        <v/>
      </c>
      <c r="CZ150">
        <f>AF150</f>
        <v/>
      </c>
      <c r="DA150">
        <f>AJ150</f>
        <v/>
      </c>
      <c r="DB150">
        <f>ROUND((ROUND(AT150*CZ150,2)*ROUND(6,7)),2)</f>
        <v/>
      </c>
      <c r="DC150">
        <f>ROUND((ROUND(AT150*AG150,2)*ROUND(6,7)),2)</f>
        <v/>
      </c>
      <c r="DD150" t="inlineStr"/>
      <c r="DE150" t="inlineStr"/>
      <c r="DF150">
        <f>ROUND(ROUND(AE150,0)*CX150,0)</f>
        <v/>
      </c>
      <c r="DG150">
        <f>ROUND(ROUND(AF150*AJ150,0)*CX150,0)</f>
        <v/>
      </c>
      <c r="DH150">
        <f>ROUND(ROUND(AG150*AK150,0)*CX150,0)</f>
        <v/>
      </c>
      <c r="DI150">
        <f>ROUND(ROUND(AH150,0)*CX150,0)</f>
        <v/>
      </c>
      <c r="DJ150">
        <f>DG150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ROW(Source!A295)</f>
        <v/>
      </c>
      <c r="B151" t="n">
        <v>78869116</v>
      </c>
      <c r="C151" t="n">
        <v>78869951</v>
      </c>
      <c r="D151" t="n">
        <v>29110398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101-0388</t>
        </is>
      </c>
      <c r="J151" t="inlineStr">
        <is>
          <t>ТССЦ Московской обл., 101-0388, приказ Минстроя России №675/пр от 28.02.2017 № 254/пр</t>
        </is>
      </c>
      <c r="K151" t="inlineStr">
        <is>
          <t>Краски масляные земляные марки МА-0115 мумия, сурик железный</t>
        </is>
      </c>
      <c r="L151" t="n">
        <v>1348</v>
      </c>
      <c r="N151" t="n">
        <v>1009</v>
      </c>
      <c r="O151" t="inlineStr">
        <is>
          <t>т</t>
        </is>
      </c>
      <c r="P151" t="inlineStr">
        <is>
          <t>т</t>
        </is>
      </c>
      <c r="Q151" t="n">
        <v>1000</v>
      </c>
      <c r="W151" t="n">
        <v>0</v>
      </c>
      <c r="X151" t="n">
        <v>1625292450</v>
      </c>
      <c r="Y151">
        <f>(AT151*ROUND(6,7))</f>
        <v/>
      </c>
      <c r="AA151" t="n">
        <v>76804.47</v>
      </c>
      <c r="AB151" t="n">
        <v>0</v>
      </c>
      <c r="AC151" t="n">
        <v>0</v>
      </c>
      <c r="AD151" t="n">
        <v>0</v>
      </c>
      <c r="AE151" t="n">
        <v>15118.99</v>
      </c>
      <c r="AF151" t="n">
        <v>0</v>
      </c>
      <c r="AG151" t="n">
        <v>0</v>
      </c>
      <c r="AH151" t="n">
        <v>0</v>
      </c>
      <c r="AI151" t="n">
        <v>5.08</v>
      </c>
      <c r="AJ151" t="n">
        <v>1</v>
      </c>
      <c r="AK151" t="n">
        <v>1</v>
      </c>
      <c r="AL151" t="n">
        <v>1</v>
      </c>
      <c r="AM151" t="n">
        <v>2</v>
      </c>
      <c r="AN151" t="n">
        <v>0</v>
      </c>
      <c r="AO151" t="n">
        <v>1</v>
      </c>
      <c r="AP151" t="n">
        <v>1</v>
      </c>
      <c r="AQ151" t="n">
        <v>0</v>
      </c>
      <c r="AR151" t="n">
        <v>0</v>
      </c>
      <c r="AS151" t="inlineStr"/>
      <c r="AT151" t="n">
        <v>5e-05</v>
      </c>
      <c r="AU151" t="inlineStr">
        <is>
          <t>)*6</t>
        </is>
      </c>
      <c r="AV151" t="n">
        <v>0</v>
      </c>
      <c r="AW151" t="n">
        <v>2</v>
      </c>
      <c r="AX151" t="n">
        <v>78869960</v>
      </c>
      <c r="AY151" t="n">
        <v>1</v>
      </c>
      <c r="AZ151" t="n">
        <v>2048</v>
      </c>
      <c r="BA151" t="n">
        <v>141</v>
      </c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ROUND(Y151*Source!I295,7)</f>
        <v/>
      </c>
      <c r="CY151">
        <f>AA151</f>
        <v/>
      </c>
      <c r="CZ151">
        <f>AE151</f>
        <v/>
      </c>
      <c r="DA151">
        <f>AI151</f>
        <v/>
      </c>
      <c r="DB151">
        <f>ROUND((ROUND(AT151*CZ151,2)*ROUND(6,7)),2)</f>
        <v/>
      </c>
      <c r="DC151">
        <f>ROUND((ROUND(AT151*AG151,2)*ROUND(6,7)),2)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ROW(Source!A295)</f>
        <v/>
      </c>
      <c r="B152" t="n">
        <v>78869116</v>
      </c>
      <c r="C152" t="n">
        <v>78869951</v>
      </c>
      <c r="D152" t="n">
        <v>29110573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101-0628</t>
        </is>
      </c>
      <c r="J152" t="inlineStr">
        <is>
          <t>ТССЦ Московской обл., 101-0628, приказ Минстроя России №675/пр от 28.02.2017 № 254/пр</t>
        </is>
      </c>
      <c r="K152" t="inlineStr">
        <is>
          <t>Олифа комбинированная, марки К-3</t>
        </is>
      </c>
      <c r="L152" t="n">
        <v>1348</v>
      </c>
      <c r="N152" t="n">
        <v>1009</v>
      </c>
      <c r="O152" t="inlineStr">
        <is>
          <t>т</t>
        </is>
      </c>
      <c r="P152" t="inlineStr">
        <is>
          <t>т</t>
        </is>
      </c>
      <c r="Q152" t="n">
        <v>1000</v>
      </c>
      <c r="W152" t="n">
        <v>0</v>
      </c>
      <c r="X152" t="n">
        <v>24062879</v>
      </c>
      <c r="Y152">
        <f>(AT152*ROUND(6,7))</f>
        <v/>
      </c>
      <c r="AA152" t="n">
        <v>87631.5</v>
      </c>
      <c r="AB152" t="n">
        <v>0</v>
      </c>
      <c r="AC152" t="n">
        <v>0</v>
      </c>
      <c r="AD152" t="n">
        <v>0</v>
      </c>
      <c r="AE152" t="n">
        <v>16950</v>
      </c>
      <c r="AF152" t="n">
        <v>0</v>
      </c>
      <c r="AG152" t="n">
        <v>0</v>
      </c>
      <c r="AH152" t="n">
        <v>0</v>
      </c>
      <c r="AI152" t="n">
        <v>5.17</v>
      </c>
      <c r="AJ152" t="n">
        <v>1</v>
      </c>
      <c r="AK152" t="n">
        <v>1</v>
      </c>
      <c r="AL152" t="n">
        <v>1</v>
      </c>
      <c r="AM152" t="n">
        <v>2</v>
      </c>
      <c r="AN152" t="n">
        <v>0</v>
      </c>
      <c r="AO152" t="n">
        <v>1</v>
      </c>
      <c r="AP152" t="n">
        <v>1</v>
      </c>
      <c r="AQ152" t="n">
        <v>0</v>
      </c>
      <c r="AR152" t="n">
        <v>0</v>
      </c>
      <c r="AS152" t="inlineStr"/>
      <c r="AT152" t="n">
        <v>2e-05</v>
      </c>
      <c r="AU152" t="inlineStr">
        <is>
          <t>)*6</t>
        </is>
      </c>
      <c r="AV152" t="n">
        <v>0</v>
      </c>
      <c r="AW152" t="n">
        <v>2</v>
      </c>
      <c r="AX152" t="n">
        <v>78869961</v>
      </c>
      <c r="AY152" t="n">
        <v>1</v>
      </c>
      <c r="AZ152" t="n">
        <v>2048</v>
      </c>
      <c r="BA152" t="n">
        <v>142</v>
      </c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ROUND(Y152*Source!I295,7)</f>
        <v/>
      </c>
      <c r="CY152">
        <f>AA152</f>
        <v/>
      </c>
      <c r="CZ152">
        <f>AE152</f>
        <v/>
      </c>
      <c r="DA152">
        <f>AI152</f>
        <v/>
      </c>
      <c r="DB152">
        <f>ROUND((ROUND(AT152*CZ152,2)*ROUND(6,7)),2)</f>
        <v/>
      </c>
      <c r="DC152">
        <f>ROUND((ROUND(AT152*AG152,2)*ROUND(6,7)),2)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ROW(Source!A295)</f>
        <v/>
      </c>
      <c r="B153" t="n">
        <v>78869116</v>
      </c>
      <c r="C153" t="n">
        <v>78869951</v>
      </c>
      <c r="D153" t="n">
        <v>29107963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101-1669</t>
        </is>
      </c>
      <c r="J153" t="inlineStr">
        <is>
          <t>ТССЦ Московской обл., 101-1669, приказ Минстроя России №675/пр от 28.02.2017 № 254/пр</t>
        </is>
      </c>
      <c r="K153" t="inlineStr">
        <is>
          <t>Очес льняной</t>
        </is>
      </c>
      <c r="L153" t="n">
        <v>1346</v>
      </c>
      <c r="N153" t="n">
        <v>1009</v>
      </c>
      <c r="O153" t="inlineStr">
        <is>
          <t>кг</t>
        </is>
      </c>
      <c r="P153" t="inlineStr">
        <is>
          <t>кг</t>
        </is>
      </c>
      <c r="Q153" t="n">
        <v>1</v>
      </c>
      <c r="W153" t="n">
        <v>0</v>
      </c>
      <c r="X153" t="n">
        <v>-2113933962</v>
      </c>
      <c r="Y153">
        <f>(AT153*ROUND(6,7))</f>
        <v/>
      </c>
      <c r="AA153" t="n">
        <v>590.67</v>
      </c>
      <c r="AB153" t="n">
        <v>0</v>
      </c>
      <c r="AC153" t="n">
        <v>0</v>
      </c>
      <c r="AD153" t="n">
        <v>0</v>
      </c>
      <c r="AE153" t="n">
        <v>37.29</v>
      </c>
      <c r="AF153" t="n">
        <v>0</v>
      </c>
      <c r="AG153" t="n">
        <v>0</v>
      </c>
      <c r="AH153" t="n">
        <v>0</v>
      </c>
      <c r="AI153" t="n">
        <v>15.84</v>
      </c>
      <c r="AJ153" t="n">
        <v>1</v>
      </c>
      <c r="AK153" t="n">
        <v>1</v>
      </c>
      <c r="AL153" t="n">
        <v>1</v>
      </c>
      <c r="AM153" t="n">
        <v>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0.02</v>
      </c>
      <c r="AU153" t="inlineStr">
        <is>
          <t>)*6</t>
        </is>
      </c>
      <c r="AV153" t="n">
        <v>0</v>
      </c>
      <c r="AW153" t="n">
        <v>2</v>
      </c>
      <c r="AX153" t="n">
        <v>78869962</v>
      </c>
      <c r="AY153" t="n">
        <v>1</v>
      </c>
      <c r="AZ153" t="n">
        <v>0</v>
      </c>
      <c r="BA153" t="n">
        <v>143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V153" t="n">
        <v>0</v>
      </c>
      <c r="CW153" t="n">
        <v>0</v>
      </c>
      <c r="CX153">
        <f>ROUND(Y153*Source!I295,7)</f>
        <v/>
      </c>
      <c r="CY153">
        <f>AA153</f>
        <v/>
      </c>
      <c r="CZ153">
        <f>AE153</f>
        <v/>
      </c>
      <c r="DA153">
        <f>AI153</f>
        <v/>
      </c>
      <c r="DB153">
        <f>ROUND((ROUND(AT153*CZ153,2)*ROUND(6,7)),2)</f>
        <v/>
      </c>
      <c r="DC153">
        <f>ROUND((ROUND(AT153*AG153,2)*ROUND(6,7)),2)</f>
        <v/>
      </c>
      <c r="DD153" t="inlineStr"/>
      <c r="DE153" t="inlineStr"/>
      <c r="DF153">
        <f>ROUND(ROUND(AE153*AI153,0)*CX153,0)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DF153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ROW(Source!A295)</f>
        <v/>
      </c>
      <c r="B154" t="n">
        <v>78869116</v>
      </c>
      <c r="C154" t="n">
        <v>78869951</v>
      </c>
      <c r="D154" t="n">
        <v>29150040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411-0001</t>
        </is>
      </c>
      <c r="J154" t="inlineStr">
        <is>
          <t>ТССЦ Московской обл., 411-0001, приказ Минстроя России №675/пр от 28.02.2017 № 257/пр</t>
        </is>
      </c>
      <c r="K154" t="inlineStr">
        <is>
          <t>Вода</t>
        </is>
      </c>
      <c r="L154" t="n">
        <v>1339</v>
      </c>
      <c r="N154" t="n">
        <v>1007</v>
      </c>
      <c r="O154" t="inlineStr">
        <is>
          <t>м3</t>
        </is>
      </c>
      <c r="P154" t="inlineStr">
        <is>
          <t>м3</t>
        </is>
      </c>
      <c r="Q154" t="n">
        <v>1</v>
      </c>
      <c r="W154" t="n">
        <v>0</v>
      </c>
      <c r="X154" t="n">
        <v>619799737</v>
      </c>
      <c r="Y154">
        <f>(AT154*ROUND(6,7))</f>
        <v/>
      </c>
      <c r="AA154" t="n">
        <v>31.28</v>
      </c>
      <c r="AB154" t="n">
        <v>0</v>
      </c>
      <c r="AC154" t="n">
        <v>0</v>
      </c>
      <c r="AD154" t="n">
        <v>0</v>
      </c>
      <c r="AE154" t="n">
        <v>2.44</v>
      </c>
      <c r="AF154" t="n">
        <v>0</v>
      </c>
      <c r="AG154" t="n">
        <v>0</v>
      </c>
      <c r="AH154" t="n">
        <v>0</v>
      </c>
      <c r="AI154" t="n">
        <v>12.82</v>
      </c>
      <c r="AJ154" t="n">
        <v>1</v>
      </c>
      <c r="AK154" t="n">
        <v>1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1</v>
      </c>
      <c r="AU154" t="inlineStr">
        <is>
          <t>)*6</t>
        </is>
      </c>
      <c r="AV154" t="n">
        <v>0</v>
      </c>
      <c r="AW154" t="n">
        <v>2</v>
      </c>
      <c r="AX154" t="n">
        <v>78869963</v>
      </c>
      <c r="AY154" t="n">
        <v>1</v>
      </c>
      <c r="AZ154" t="n">
        <v>0</v>
      </c>
      <c r="BA154" t="n">
        <v>144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 t="n">
        <v>0</v>
      </c>
      <c r="CX154">
        <f>ROUND(Y154*Source!I295,7)</f>
        <v/>
      </c>
      <c r="CY154">
        <f>AA154</f>
        <v/>
      </c>
      <c r="CZ154">
        <f>AE154</f>
        <v/>
      </c>
      <c r="DA154">
        <f>AI154</f>
        <v/>
      </c>
      <c r="DB154">
        <f>ROUND((ROUND(AT154*CZ154,2)*ROUND(6,7)),2)</f>
        <v/>
      </c>
      <c r="DC154">
        <f>ROUND((ROUND(AT154*AG154,2)*ROUND(6,7)),2)</f>
        <v/>
      </c>
      <c r="DD154" t="inlineStr"/>
      <c r="DE154" t="inlineStr"/>
      <c r="DF154">
        <f>ROUND(ROUND(AE154*AI154,0)*CX154,0)</f>
        <v/>
      </c>
      <c r="DG154">
        <f>ROUND(ROUND(AF154,0)*CX154,0)</f>
        <v/>
      </c>
      <c r="DH154">
        <f>ROUND(ROUND(AG154,0)*CX154,0)</f>
        <v/>
      </c>
      <c r="DI154">
        <f>ROUND(ROUND(AH154,0)*CX154,0)</f>
        <v/>
      </c>
      <c r="DJ154">
        <f>DF154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ROW(Source!A334)</f>
        <v/>
      </c>
      <c r="B155" t="n">
        <v>78869116</v>
      </c>
      <c r="C155" t="n">
        <v>78870027</v>
      </c>
      <c r="D155" t="n">
        <v>18408291</v>
      </c>
      <c r="E155" t="n">
        <v>1</v>
      </c>
      <c r="F155" t="n">
        <v>1</v>
      </c>
      <c r="G155" t="n">
        <v>1</v>
      </c>
      <c r="H155" t="n">
        <v>1</v>
      </c>
      <c r="I155" t="inlineStr">
        <is>
          <t>1-1025-90</t>
        </is>
      </c>
      <c r="J155" t="inlineStr"/>
      <c r="K155" t="inlineStr">
        <is>
          <t>Рабочий строитель среднего разряда 2,5</t>
        </is>
      </c>
      <c r="L155" t="n">
        <v>1369</v>
      </c>
      <c r="N155" t="n">
        <v>1013</v>
      </c>
      <c r="O155" t="inlineStr">
        <is>
          <t>чел.-ч</t>
        </is>
      </c>
      <c r="P155" t="inlineStr">
        <is>
          <t>чел.-ч</t>
        </is>
      </c>
      <c r="Q155" t="n">
        <v>1</v>
      </c>
      <c r="W155" t="n">
        <v>0</v>
      </c>
      <c r="X155" t="n">
        <v>1933892413</v>
      </c>
      <c r="Y155">
        <f>AT155</f>
        <v/>
      </c>
      <c r="AA155" t="n">
        <v>0</v>
      </c>
      <c r="AB155" t="n">
        <v>0</v>
      </c>
      <c r="AC155" t="n">
        <v>0</v>
      </c>
      <c r="AD155" t="n">
        <v>8.17</v>
      </c>
      <c r="AE155" t="n">
        <v>0</v>
      </c>
      <c r="AF155" t="n">
        <v>0</v>
      </c>
      <c r="AG155" t="n">
        <v>0</v>
      </c>
      <c r="AH155" t="n">
        <v>8.17</v>
      </c>
      <c r="AI155" t="n">
        <v>1</v>
      </c>
      <c r="AJ155" t="n">
        <v>1</v>
      </c>
      <c r="AK155" t="n">
        <v>1</v>
      </c>
      <c r="AL155" t="n">
        <v>1</v>
      </c>
      <c r="AM155" t="n">
        <v>-2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32.2</v>
      </c>
      <c r="AU155" t="inlineStr"/>
      <c r="AV155" t="n">
        <v>1</v>
      </c>
      <c r="AW155" t="n">
        <v>2</v>
      </c>
      <c r="AX155" t="n">
        <v>78870033</v>
      </c>
      <c r="AY155" t="n">
        <v>1</v>
      </c>
      <c r="AZ155" t="n">
        <v>0</v>
      </c>
      <c r="BA155" t="n">
        <v>145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U155">
        <f>ROUND(AT155*Source!I334*AH155*AL155,0)</f>
        <v/>
      </c>
      <c r="CV155">
        <f>ROUND(Y155*Source!I334,7)</f>
        <v/>
      </c>
      <c r="CW155" t="n">
        <v>0</v>
      </c>
      <c r="CX155">
        <f>ROUND(Y155*Source!I334,7)</f>
        <v/>
      </c>
      <c r="CY155">
        <f>AD155</f>
        <v/>
      </c>
      <c r="CZ155">
        <f>AH155</f>
        <v/>
      </c>
      <c r="DA155">
        <f>AL155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DI155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ROW(Source!A334)</f>
        <v/>
      </c>
      <c r="B156" t="n">
        <v>78869116</v>
      </c>
      <c r="C156" t="n">
        <v>78870027</v>
      </c>
      <c r="D156" t="n">
        <v>29174913</v>
      </c>
      <c r="E156" t="n">
        <v>1</v>
      </c>
      <c r="F156" t="n">
        <v>1</v>
      </c>
      <c r="G156" t="n">
        <v>1</v>
      </c>
      <c r="H156" t="n">
        <v>2</v>
      </c>
      <c r="I156" t="inlineStr">
        <is>
          <t>400001</t>
        </is>
      </c>
      <c r="J156" t="inlineStr">
        <is>
          <t>ТСЭМ Московской обл., 400001, приказ Минстроя России №675/пр от 28.02.2017 № 264/пр</t>
        </is>
      </c>
      <c r="K156" t="inlineStr">
        <is>
          <t>Автомобили бортовые, грузоподъемность до 5 т</t>
        </is>
      </c>
      <c r="L156" t="n">
        <v>1368</v>
      </c>
      <c r="N156" t="n">
        <v>1011</v>
      </c>
      <c r="O156" t="inlineStr">
        <is>
          <t>маш.-ч</t>
        </is>
      </c>
      <c r="P156" t="inlineStr">
        <is>
          <t>маш.-ч</t>
        </is>
      </c>
      <c r="Q156" t="n">
        <v>1</v>
      </c>
      <c r="W156" t="n">
        <v>0</v>
      </c>
      <c r="X156" t="n">
        <v>1230759911</v>
      </c>
      <c r="Y156">
        <f>AT156</f>
        <v/>
      </c>
      <c r="AA156" t="n">
        <v>0</v>
      </c>
      <c r="AB156" t="n">
        <v>2177.51</v>
      </c>
      <c r="AC156" t="n">
        <v>606.1</v>
      </c>
      <c r="AD156" t="n">
        <v>0</v>
      </c>
      <c r="AE156" t="n">
        <v>0</v>
      </c>
      <c r="AF156" t="n">
        <v>87.17</v>
      </c>
      <c r="AG156" t="n">
        <v>11.6</v>
      </c>
      <c r="AH156" t="n">
        <v>0</v>
      </c>
      <c r="AI156" t="n">
        <v>1</v>
      </c>
      <c r="AJ156" t="n">
        <v>24.98</v>
      </c>
      <c r="AK156" t="n">
        <v>52.25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0.01</v>
      </c>
      <c r="AU156" t="inlineStr"/>
      <c r="AV156" t="n">
        <v>0</v>
      </c>
      <c r="AW156" t="n">
        <v>2</v>
      </c>
      <c r="AX156" t="n">
        <v>78870034</v>
      </c>
      <c r="AY156" t="n">
        <v>1</v>
      </c>
      <c r="AZ156" t="n">
        <v>0</v>
      </c>
      <c r="BA156" t="n">
        <v>146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>
        <f>ROUND(Y156*Source!I334*DO156,7)</f>
        <v/>
      </c>
      <c r="CX156">
        <f>ROUND(Y156*Source!I334,7)</f>
        <v/>
      </c>
      <c r="CY156">
        <f>AB156</f>
        <v/>
      </c>
      <c r="CZ156">
        <f>AF156</f>
        <v/>
      </c>
      <c r="DA156">
        <f>AJ156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ROUND(ROUND(AE156,0)*CX156,0)</f>
        <v/>
      </c>
      <c r="DG156">
        <f>ROUND(ROUND(AF156*AJ156,0)*CX156,0)</f>
        <v/>
      </c>
      <c r="DH156">
        <f>ROUND(ROUND(AG156*AK156,0)*CX156,0)</f>
        <v/>
      </c>
      <c r="DI156">
        <f>ROUND(ROUND(AH156,0)*CX156,0)</f>
        <v/>
      </c>
      <c r="DJ156">
        <f>DG156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ROW(Source!A334)</f>
        <v/>
      </c>
      <c r="B157" t="n">
        <v>78869116</v>
      </c>
      <c r="C157" t="n">
        <v>78870027</v>
      </c>
      <c r="D157" t="n">
        <v>29110139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101-1703</t>
        </is>
      </c>
      <c r="J157" t="inlineStr">
        <is>
          <t>ТССЦ Московской обл., 101-1703, приказ Минстроя России №675/пр от 28.02.2017 № 254/пр</t>
        </is>
      </c>
      <c r="K157" t="inlineStr">
        <is>
          <t>Прокладки резиновые (пластина техническая прессованная)</t>
        </is>
      </c>
      <c r="L157" t="n">
        <v>1346</v>
      </c>
      <c r="N157" t="n">
        <v>1009</v>
      </c>
      <c r="O157" t="inlineStr">
        <is>
          <t>кг</t>
        </is>
      </c>
      <c r="P157" t="inlineStr">
        <is>
          <t>кг</t>
        </is>
      </c>
      <c r="Q157" t="n">
        <v>1</v>
      </c>
      <c r="W157" t="n">
        <v>0</v>
      </c>
      <c r="X157" t="n">
        <v>-1947909329</v>
      </c>
      <c r="Y157">
        <f>AT157</f>
        <v/>
      </c>
      <c r="AA157" t="n">
        <v>341.04</v>
      </c>
      <c r="AB157" t="n">
        <v>0</v>
      </c>
      <c r="AC157" t="n">
        <v>0</v>
      </c>
      <c r="AD157" t="n">
        <v>0</v>
      </c>
      <c r="AE157" t="n">
        <v>23.09</v>
      </c>
      <c r="AF157" t="n">
        <v>0</v>
      </c>
      <c r="AG157" t="n">
        <v>0</v>
      </c>
      <c r="AH157" t="n">
        <v>0</v>
      </c>
      <c r="AI157" t="n">
        <v>14.77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2</v>
      </c>
      <c r="AU157" t="inlineStr"/>
      <c r="AV157" t="n">
        <v>0</v>
      </c>
      <c r="AW157" t="n">
        <v>2</v>
      </c>
      <c r="AX157" t="n">
        <v>78870035</v>
      </c>
      <c r="AY157" t="n">
        <v>1</v>
      </c>
      <c r="AZ157" t="n">
        <v>0</v>
      </c>
      <c r="BA157" t="n">
        <v>147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ROUND(Y157*Source!I334,7)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ROW(Source!A334)</f>
        <v/>
      </c>
      <c r="B158" t="n">
        <v>78869116</v>
      </c>
      <c r="C158" t="n">
        <v>78870027</v>
      </c>
      <c r="D158" t="n">
        <v>29114240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101-2576</t>
        </is>
      </c>
      <c r="J158" t="inlineStr">
        <is>
          <t>ТССЦ Московской обл., 101-2576, приказ Минстроя России №675/пр от 28.02.2017 № 254/пр</t>
        </is>
      </c>
      <c r="K158" t="inlineStr">
        <is>
          <t>Болты с гайками и шайбами для санитарно-технических работ диаметром 16 мм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W158" t="n">
        <v>0</v>
      </c>
      <c r="X158" t="n">
        <v>-1701539228</v>
      </c>
      <c r="Y158">
        <f>AT158</f>
        <v/>
      </c>
      <c r="AA158" t="n">
        <v>145037.4</v>
      </c>
      <c r="AB158" t="n">
        <v>0</v>
      </c>
      <c r="AC158" t="n">
        <v>0</v>
      </c>
      <c r="AD158" t="n">
        <v>0</v>
      </c>
      <c r="AE158" t="n">
        <v>14830</v>
      </c>
      <c r="AF158" t="n">
        <v>0</v>
      </c>
      <c r="AG158" t="n">
        <v>0</v>
      </c>
      <c r="AH158" t="n">
        <v>0</v>
      </c>
      <c r="AI158" t="n">
        <v>9.779999999999999</v>
      </c>
      <c r="AJ158" t="n">
        <v>1</v>
      </c>
      <c r="AK158" t="n">
        <v>1</v>
      </c>
      <c r="AL158" t="n">
        <v>1</v>
      </c>
      <c r="AM158" t="n">
        <v>2</v>
      </c>
      <c r="AN158" t="n">
        <v>0</v>
      </c>
      <c r="AO158" t="n">
        <v>1</v>
      </c>
      <c r="AP158" t="n">
        <v>1</v>
      </c>
      <c r="AQ158" t="n">
        <v>0</v>
      </c>
      <c r="AR158" t="n">
        <v>0</v>
      </c>
      <c r="AS158" t="inlineStr"/>
      <c r="AT158" t="n">
        <v>0.005</v>
      </c>
      <c r="AU158" t="inlineStr"/>
      <c r="AV158" t="n">
        <v>0</v>
      </c>
      <c r="AW158" t="n">
        <v>2</v>
      </c>
      <c r="AX158" t="n">
        <v>78870036</v>
      </c>
      <c r="AY158" t="n">
        <v>1</v>
      </c>
      <c r="AZ158" t="n">
        <v>0</v>
      </c>
      <c r="BA158" t="n">
        <v>148</v>
      </c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ROUND(Y158*Source!I334,7)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ROUND(ROUND(AE158*AI158,0)*CX158,0)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ROW(Source!A334)</f>
        <v/>
      </c>
      <c r="B159" t="n">
        <v>78869116</v>
      </c>
      <c r="C159" t="n">
        <v>78870027</v>
      </c>
      <c r="D159" t="n">
        <v>29150040</v>
      </c>
      <c r="E159" t="n">
        <v>1</v>
      </c>
      <c r="F159" t="n">
        <v>1</v>
      </c>
      <c r="G159" t="n">
        <v>1</v>
      </c>
      <c r="H159" t="n">
        <v>3</v>
      </c>
      <c r="I159" t="inlineStr">
        <is>
          <t>411-0001</t>
        </is>
      </c>
      <c r="J159" t="inlineStr">
        <is>
          <t>ТССЦ Московской обл., 411-0001, приказ Минстроя России №675/пр от 28.02.2017 № 257/пр</t>
        </is>
      </c>
      <c r="K159" t="inlineStr">
        <is>
          <t>Вода</t>
        </is>
      </c>
      <c r="L159" t="n">
        <v>1339</v>
      </c>
      <c r="N159" t="n">
        <v>1007</v>
      </c>
      <c r="O159" t="inlineStr">
        <is>
          <t>м3</t>
        </is>
      </c>
      <c r="P159" t="inlineStr">
        <is>
          <t>м3</t>
        </is>
      </c>
      <c r="Q159" t="n">
        <v>1</v>
      </c>
      <c r="W159" t="n">
        <v>0</v>
      </c>
      <c r="X159" t="n">
        <v>619799737</v>
      </c>
      <c r="Y159">
        <f>AT159</f>
        <v/>
      </c>
      <c r="AA159" t="n">
        <v>31.28</v>
      </c>
      <c r="AB159" t="n">
        <v>0</v>
      </c>
      <c r="AC159" t="n">
        <v>0</v>
      </c>
      <c r="AD159" t="n">
        <v>0</v>
      </c>
      <c r="AE159" t="n">
        <v>2.44</v>
      </c>
      <c r="AF159" t="n">
        <v>0</v>
      </c>
      <c r="AG159" t="n">
        <v>0</v>
      </c>
      <c r="AH159" t="n">
        <v>0</v>
      </c>
      <c r="AI159" t="n">
        <v>12.82</v>
      </c>
      <c r="AJ159" t="n">
        <v>1</v>
      </c>
      <c r="AK159" t="n">
        <v>1</v>
      </c>
      <c r="AL159" t="n">
        <v>1</v>
      </c>
      <c r="AM159" t="n">
        <v>2</v>
      </c>
      <c r="AN159" t="n">
        <v>0</v>
      </c>
      <c r="AO159" t="n">
        <v>1</v>
      </c>
      <c r="AP159" t="n">
        <v>1</v>
      </c>
      <c r="AQ159" t="n">
        <v>0</v>
      </c>
      <c r="AR159" t="n">
        <v>0</v>
      </c>
      <c r="AS159" t="inlineStr"/>
      <c r="AT159" t="n">
        <v>7.8</v>
      </c>
      <c r="AU159" t="inlineStr"/>
      <c r="AV159" t="n">
        <v>0</v>
      </c>
      <c r="AW159" t="n">
        <v>2</v>
      </c>
      <c r="AX159" t="n">
        <v>78870037</v>
      </c>
      <c r="AY159" t="n">
        <v>1</v>
      </c>
      <c r="AZ159" t="n">
        <v>0</v>
      </c>
      <c r="BA159" t="n">
        <v>149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V159" t="n">
        <v>0</v>
      </c>
      <c r="CW159" t="n">
        <v>0</v>
      </c>
      <c r="CX159">
        <f>ROUND(Y159*Source!I334,7)</f>
        <v/>
      </c>
      <c r="CY159">
        <f>AA159</f>
        <v/>
      </c>
      <c r="CZ159">
        <f>AE159</f>
        <v/>
      </c>
      <c r="DA159">
        <f>AI159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ROUND(ROUND(AE159*AI159,0)*CX159,0)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DF159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ROW(Source!A335)</f>
        <v/>
      </c>
      <c r="B160" t="n">
        <v>78869116</v>
      </c>
      <c r="C160" t="n">
        <v>78870038</v>
      </c>
      <c r="D160" t="n">
        <v>18407150</v>
      </c>
      <c r="E160" t="n">
        <v>1</v>
      </c>
      <c r="F160" t="n">
        <v>1</v>
      </c>
      <c r="G160" t="n">
        <v>1</v>
      </c>
      <c r="H160" t="n">
        <v>1</v>
      </c>
      <c r="I160" t="inlineStr">
        <is>
          <t>1-1030-90</t>
        </is>
      </c>
      <c r="J160" t="inlineStr"/>
      <c r="K160" t="inlineStr">
        <is>
          <t>Рабочий строитель среднего разряда 3</t>
        </is>
      </c>
      <c r="L160" t="n">
        <v>1369</v>
      </c>
      <c r="N160" t="n">
        <v>1013</v>
      </c>
      <c r="O160" t="inlineStr">
        <is>
          <t>чел.-ч</t>
        </is>
      </c>
      <c r="P160" t="inlineStr">
        <is>
          <t>чел.-ч</t>
        </is>
      </c>
      <c r="Q160" t="n">
        <v>1</v>
      </c>
      <c r="W160" t="n">
        <v>0</v>
      </c>
      <c r="X160" t="n">
        <v>-931037793</v>
      </c>
      <c r="Y160">
        <f>AT160</f>
        <v/>
      </c>
      <c r="AA160" t="n">
        <v>0</v>
      </c>
      <c r="AB160" t="n">
        <v>0</v>
      </c>
      <c r="AC160" t="n">
        <v>0</v>
      </c>
      <c r="AD160" t="n">
        <v>8.529999999999999</v>
      </c>
      <c r="AE160" t="n">
        <v>0</v>
      </c>
      <c r="AF160" t="n">
        <v>0</v>
      </c>
      <c r="AG160" t="n">
        <v>0</v>
      </c>
      <c r="AH160" t="n">
        <v>8.529999999999999</v>
      </c>
      <c r="AI160" t="n">
        <v>1</v>
      </c>
      <c r="AJ160" t="n">
        <v>1</v>
      </c>
      <c r="AK160" t="n">
        <v>1</v>
      </c>
      <c r="AL160" t="n">
        <v>1</v>
      </c>
      <c r="AM160" t="n">
        <v>-2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13.9</v>
      </c>
      <c r="AU160" t="inlineStr"/>
      <c r="AV160" t="n">
        <v>1</v>
      </c>
      <c r="AW160" t="n">
        <v>2</v>
      </c>
      <c r="AX160" t="n">
        <v>78870042</v>
      </c>
      <c r="AY160" t="n">
        <v>1</v>
      </c>
      <c r="AZ160" t="n">
        <v>0</v>
      </c>
      <c r="BA160" t="n">
        <v>150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U160">
        <f>ROUND(AT160*Source!I335*AH160*AL160,0)</f>
        <v/>
      </c>
      <c r="CV160">
        <f>ROUND(Y160*Source!I335,7)</f>
        <v/>
      </c>
      <c r="CW160" t="n">
        <v>0</v>
      </c>
      <c r="CX160">
        <f>ROUND(Y160*Source!I335,7)</f>
        <v/>
      </c>
      <c r="CY160">
        <f>AD160</f>
        <v/>
      </c>
      <c r="CZ160">
        <f>AH160</f>
        <v/>
      </c>
      <c r="DA160">
        <f>AL160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ROUND(ROUND(AF160,0)*CX160,0)</f>
        <v/>
      </c>
      <c r="DH160">
        <f>ROUND(ROUND(AG160,0)*CX160,0)</f>
        <v/>
      </c>
      <c r="DI160">
        <f>ROUND(ROUND(AH160,0)*CX160,0)</f>
        <v/>
      </c>
      <c r="DJ160">
        <f>DI160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ROW(Source!A335)</f>
        <v/>
      </c>
      <c r="B161" t="n">
        <v>78869116</v>
      </c>
      <c r="C161" t="n">
        <v>78870038</v>
      </c>
      <c r="D161" t="n">
        <v>29169821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509-0696</t>
        </is>
      </c>
      <c r="J161" t="inlineStr">
        <is>
          <t>ТССЦ Московской обл., 509-0696, приказ Минстроя России №675/пр от 28.02.2017 № 258/пр</t>
        </is>
      </c>
      <c r="K161" t="inlineStr">
        <is>
          <t>Лампы люминесцентные ртутные низкого давления типа ЛБ, ЛД, ЛДЦ, ЛТВ, ЛБХ 20</t>
        </is>
      </c>
      <c r="L161" t="n">
        <v>1358</v>
      </c>
      <c r="N161" t="n">
        <v>1010</v>
      </c>
      <c r="O161" t="inlineStr">
        <is>
          <t>10 шт.</t>
        </is>
      </c>
      <c r="P161" t="inlineStr">
        <is>
          <t>10 шт.</t>
        </is>
      </c>
      <c r="Q161" t="n">
        <v>10</v>
      </c>
      <c r="W161" t="n">
        <v>0</v>
      </c>
      <c r="X161" t="n">
        <v>-1187244712</v>
      </c>
      <c r="Y161">
        <f>AT161</f>
        <v/>
      </c>
      <c r="AA161" t="n">
        <v>352.73</v>
      </c>
      <c r="AB161" t="n">
        <v>0</v>
      </c>
      <c r="AC161" t="n">
        <v>0</v>
      </c>
      <c r="AD161" t="n">
        <v>0</v>
      </c>
      <c r="AE161" t="n">
        <v>85.2</v>
      </c>
      <c r="AF161" t="n">
        <v>0</v>
      </c>
      <c r="AG161" t="n">
        <v>0</v>
      </c>
      <c r="AH161" t="n">
        <v>0</v>
      </c>
      <c r="AI161" t="n">
        <v>4.14</v>
      </c>
      <c r="AJ161" t="n">
        <v>1</v>
      </c>
      <c r="AK161" t="n">
        <v>1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10</v>
      </c>
      <c r="AU161" t="inlineStr"/>
      <c r="AV161" t="n">
        <v>0</v>
      </c>
      <c r="AW161" t="n">
        <v>2</v>
      </c>
      <c r="AX161" t="n">
        <v>78870043</v>
      </c>
      <c r="AY161" t="n">
        <v>1</v>
      </c>
      <c r="AZ161" t="n">
        <v>0</v>
      </c>
      <c r="BA161" t="n">
        <v>151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 t="n">
        <v>0</v>
      </c>
      <c r="CX161">
        <f>ROUND(Y161*Source!I335,7)</f>
        <v/>
      </c>
      <c r="CY161">
        <f>AA161</f>
        <v/>
      </c>
      <c r="CZ161">
        <f>AE161</f>
        <v/>
      </c>
      <c r="DA161">
        <f>AI161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ROUND(ROUND(AE161*AI161,0)*CX161,0)</f>
        <v/>
      </c>
      <c r="DG161">
        <f>ROUND(ROUND(AF161,0)*CX161,0)</f>
        <v/>
      </c>
      <c r="DH161">
        <f>ROUND(ROUND(AG161,0)*CX161,0)</f>
        <v/>
      </c>
      <c r="DI161">
        <f>ROUND(ROUND(AH161,0)*CX161,0)</f>
        <v/>
      </c>
      <c r="DJ161">
        <f>DF161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ROW(Source!A335)</f>
        <v/>
      </c>
      <c r="B162" t="n">
        <v>78869116</v>
      </c>
      <c r="C162" t="n">
        <v>78870038</v>
      </c>
      <c r="D162" t="n">
        <v>29169828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509-6744</t>
        </is>
      </c>
      <c r="J162" t="inlineStr">
        <is>
          <t>ТССЦ Московской обл., 509-6744, приказ Минстроя России №675/пр от 28.02.2017 № 258/пр</t>
        </is>
      </c>
      <c r="K162" t="inlineStr">
        <is>
          <t>Лампы люминесцентные компактные энергосберегающие с цоколем Е27 мощностью 55 Вт</t>
        </is>
      </c>
      <c r="L162" t="n">
        <v>1354</v>
      </c>
      <c r="N162" t="n">
        <v>1010</v>
      </c>
      <c r="O162" t="inlineStr">
        <is>
          <t>шт.</t>
        </is>
      </c>
      <c r="P162" t="inlineStr">
        <is>
          <t>шт.</t>
        </is>
      </c>
      <c r="Q162" t="n">
        <v>1</v>
      </c>
      <c r="W162" t="n">
        <v>0</v>
      </c>
      <c r="X162" t="n">
        <v>-228955380</v>
      </c>
      <c r="Y162">
        <f>AT162</f>
        <v/>
      </c>
      <c r="AA162" t="n">
        <v>237.77</v>
      </c>
      <c r="AB162" t="n">
        <v>0</v>
      </c>
      <c r="AC162" t="n">
        <v>0</v>
      </c>
      <c r="AD162" t="n">
        <v>0</v>
      </c>
      <c r="AE162" t="n">
        <v>140.69</v>
      </c>
      <c r="AF162" t="n">
        <v>0</v>
      </c>
      <c r="AG162" t="n">
        <v>0</v>
      </c>
      <c r="AH162" t="n">
        <v>0</v>
      </c>
      <c r="AI162" t="n">
        <v>1.69</v>
      </c>
      <c r="AJ162" t="n">
        <v>1</v>
      </c>
      <c r="AK162" t="n">
        <v>1</v>
      </c>
      <c r="AL162" t="n">
        <v>1</v>
      </c>
      <c r="AM162" t="n">
        <v>0</v>
      </c>
      <c r="AN162" t="n">
        <v>0</v>
      </c>
      <c r="AO162" t="n">
        <v>0</v>
      </c>
      <c r="AP162" t="n">
        <v>1</v>
      </c>
      <c r="AQ162" t="n">
        <v>0</v>
      </c>
      <c r="AR162" t="n">
        <v>0</v>
      </c>
      <c r="AS162" t="inlineStr"/>
      <c r="AT162" t="n">
        <v>100</v>
      </c>
      <c r="AU162" t="inlineStr"/>
      <c r="AV162" t="n">
        <v>0</v>
      </c>
      <c r="AW162" t="n">
        <v>1</v>
      </c>
      <c r="AX162" t="n">
        <v>-1</v>
      </c>
      <c r="AY162" t="n">
        <v>0</v>
      </c>
      <c r="AZ162" t="n">
        <v>0</v>
      </c>
      <c r="BA162" t="inlineStr"/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 t="n">
        <v>0</v>
      </c>
      <c r="CX162">
        <f>ROUND(Y162*Source!I335,7)</f>
        <v/>
      </c>
      <c r="CY162">
        <f>AA162</f>
        <v/>
      </c>
      <c r="CZ162">
        <f>AE162</f>
        <v/>
      </c>
      <c r="DA162">
        <f>AI162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ROUND(ROUND(AE162*AI162,0)*CX162,0)</f>
        <v/>
      </c>
      <c r="DG162">
        <f>ROUND(ROUND(AF162,0)*CX162,0)</f>
        <v/>
      </c>
      <c r="DH162">
        <f>ROUND(ROUND(AG162,0)*CX162,0)</f>
        <v/>
      </c>
      <c r="DI162">
        <f>ROUND(ROUND(AH162,0)*CX162,0)</f>
        <v/>
      </c>
      <c r="DJ162">
        <f>DF162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ROW(Source!A337)</f>
        <v/>
      </c>
      <c r="B163" t="n">
        <v>78869116</v>
      </c>
      <c r="C163" t="n">
        <v>78870045</v>
      </c>
      <c r="D163" t="n">
        <v>18409850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1-1035-90</t>
        </is>
      </c>
      <c r="J163" t="inlineStr"/>
      <c r="K163" t="inlineStr">
        <is>
          <t>Рабочий строитель среднего разряда 3,5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W163" t="n">
        <v>0</v>
      </c>
      <c r="X163" t="n">
        <v>855544366</v>
      </c>
      <c r="Y163">
        <f>AT163</f>
        <v/>
      </c>
      <c r="AA163" t="n">
        <v>0</v>
      </c>
      <c r="AB163" t="n">
        <v>0</v>
      </c>
      <c r="AC163" t="n">
        <v>0</v>
      </c>
      <c r="AD163" t="n">
        <v>9.07</v>
      </c>
      <c r="AE163" t="n">
        <v>0</v>
      </c>
      <c r="AF163" t="n">
        <v>0</v>
      </c>
      <c r="AG163" t="n">
        <v>0</v>
      </c>
      <c r="AH163" t="n">
        <v>9.07</v>
      </c>
      <c r="AI163" t="n">
        <v>1</v>
      </c>
      <c r="AJ163" t="n">
        <v>1</v>
      </c>
      <c r="AK163" t="n">
        <v>1</v>
      </c>
      <c r="AL163" t="n">
        <v>1</v>
      </c>
      <c r="AM163" t="n">
        <v>-2</v>
      </c>
      <c r="AN163" t="n">
        <v>0</v>
      </c>
      <c r="AO163" t="n">
        <v>1</v>
      </c>
      <c r="AP163" t="n">
        <v>1</v>
      </c>
      <c r="AQ163" t="n">
        <v>0</v>
      </c>
      <c r="AR163" t="n">
        <v>0</v>
      </c>
      <c r="AS163" t="inlineStr"/>
      <c r="AT163" t="n">
        <v>81</v>
      </c>
      <c r="AU163" t="inlineStr"/>
      <c r="AV163" t="n">
        <v>1</v>
      </c>
      <c r="AW163" t="n">
        <v>2</v>
      </c>
      <c r="AX163" t="n">
        <v>78870054</v>
      </c>
      <c r="AY163" t="n">
        <v>1</v>
      </c>
      <c r="AZ163" t="n">
        <v>0</v>
      </c>
      <c r="BA163" t="n">
        <v>152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U163">
        <f>ROUND(AT163*Source!I337*AH163*AL163,0)</f>
        <v/>
      </c>
      <c r="CV163">
        <f>ROUND(Y163*Source!I337,7)</f>
        <v/>
      </c>
      <c r="CW163" t="n">
        <v>0</v>
      </c>
      <c r="CX163">
        <f>ROUND(Y163*Source!I337,7)</f>
        <v/>
      </c>
      <c r="CY163">
        <f>AD163</f>
        <v/>
      </c>
      <c r="CZ163">
        <f>AH163</f>
        <v/>
      </c>
      <c r="DA163">
        <f>AL163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DI163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ROW(Source!A337)</f>
        <v/>
      </c>
      <c r="B164" t="n">
        <v>78869116</v>
      </c>
      <c r="C164" t="n">
        <v>78870045</v>
      </c>
      <c r="D164" t="n">
        <v>29174913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400001</t>
        </is>
      </c>
      <c r="J164" t="inlineStr">
        <is>
          <t>ТСЭМ Московской обл., 400001, приказ Минстроя России №675/пр от 28.02.2017 № 264/пр</t>
        </is>
      </c>
      <c r="K164" t="inlineStr">
        <is>
          <t>Автомобили бортовые, грузоподъемность до 5 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W164" t="n">
        <v>0</v>
      </c>
      <c r="X164" t="n">
        <v>1230759911</v>
      </c>
      <c r="Y164">
        <f>AT164</f>
        <v/>
      </c>
      <c r="AA164" t="n">
        <v>0</v>
      </c>
      <c r="AB164" t="n">
        <v>2177.51</v>
      </c>
      <c r="AC164" t="n">
        <v>606.1</v>
      </c>
      <c r="AD164" t="n">
        <v>0</v>
      </c>
      <c r="AE164" t="n">
        <v>0</v>
      </c>
      <c r="AF164" t="n">
        <v>87.17</v>
      </c>
      <c r="AG164" t="n">
        <v>11.6</v>
      </c>
      <c r="AH164" t="n">
        <v>0</v>
      </c>
      <c r="AI164" t="n">
        <v>1</v>
      </c>
      <c r="AJ164" t="n">
        <v>24.98</v>
      </c>
      <c r="AK164" t="n">
        <v>52.25</v>
      </c>
      <c r="AL164" t="n">
        <v>1</v>
      </c>
      <c r="AM164" t="n">
        <v>2</v>
      </c>
      <c r="AN164" t="n">
        <v>0</v>
      </c>
      <c r="AO164" t="n">
        <v>1</v>
      </c>
      <c r="AP164" t="n">
        <v>1</v>
      </c>
      <c r="AQ164" t="n">
        <v>0</v>
      </c>
      <c r="AR164" t="n">
        <v>0</v>
      </c>
      <c r="AS164" t="inlineStr"/>
      <c r="AT164" t="n">
        <v>0.05</v>
      </c>
      <c r="AU164" t="inlineStr"/>
      <c r="AV164" t="n">
        <v>0</v>
      </c>
      <c r="AW164" t="n">
        <v>2</v>
      </c>
      <c r="AX164" t="n">
        <v>78870055</v>
      </c>
      <c r="AY164" t="n">
        <v>1</v>
      </c>
      <c r="AZ164" t="n">
        <v>0</v>
      </c>
      <c r="BA164" t="n">
        <v>153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>
        <f>ROUND(Y164*Source!I337*DO164,7)</f>
        <v/>
      </c>
      <c r="CX164">
        <f>ROUND(Y164*Source!I337,7)</f>
        <v/>
      </c>
      <c r="CY164">
        <f>AB164</f>
        <v/>
      </c>
      <c r="CZ164">
        <f>AF164</f>
        <v/>
      </c>
      <c r="DA164">
        <f>AJ164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ROUND(ROUND(AF164*AJ164,0)*CX164,0)</f>
        <v/>
      </c>
      <c r="DH164">
        <f>ROUND(ROUND(AG164*AK164,0)*CX164,0)</f>
        <v/>
      </c>
      <c r="DI164">
        <f>ROUND(ROUND(AH164,0)*CX164,0)</f>
        <v/>
      </c>
      <c r="DJ164">
        <f>DG164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ROW(Source!A337)</f>
        <v/>
      </c>
      <c r="B165" t="n">
        <v>78869116</v>
      </c>
      <c r="C165" t="n">
        <v>78870045</v>
      </c>
      <c r="D165" t="n">
        <v>29110398</v>
      </c>
      <c r="E165" t="n">
        <v>1</v>
      </c>
      <c r="F165" t="n">
        <v>1</v>
      </c>
      <c r="G165" t="n">
        <v>1</v>
      </c>
      <c r="H165" t="n">
        <v>3</v>
      </c>
      <c r="I165" t="inlineStr">
        <is>
          <t>101-0388</t>
        </is>
      </c>
      <c r="J165" t="inlineStr">
        <is>
          <t>ТССЦ Московской обл., 101-0388, приказ Минстроя России №675/пр от 28.02.2017 № 254/пр</t>
        </is>
      </c>
      <c r="K165" t="inlineStr">
        <is>
          <t>Краски масляные земляные марки МА-0115 мумия, сурик железный</t>
        </is>
      </c>
      <c r="L165" t="n">
        <v>1348</v>
      </c>
      <c r="N165" t="n">
        <v>1009</v>
      </c>
      <c r="O165" t="inlineStr">
        <is>
          <t>т</t>
        </is>
      </c>
      <c r="P165" t="inlineStr">
        <is>
          <t>т</t>
        </is>
      </c>
      <c r="Q165" t="n">
        <v>1000</v>
      </c>
      <c r="W165" t="n">
        <v>0</v>
      </c>
      <c r="X165" t="n">
        <v>1625292450</v>
      </c>
      <c r="Y165">
        <f>AT165</f>
        <v/>
      </c>
      <c r="AA165" t="n">
        <v>76804.47</v>
      </c>
      <c r="AB165" t="n">
        <v>0</v>
      </c>
      <c r="AC165" t="n">
        <v>0</v>
      </c>
      <c r="AD165" t="n">
        <v>0</v>
      </c>
      <c r="AE165" t="n">
        <v>15118.99</v>
      </c>
      <c r="AF165" t="n">
        <v>0</v>
      </c>
      <c r="AG165" t="n">
        <v>0</v>
      </c>
      <c r="AH165" t="n">
        <v>0</v>
      </c>
      <c r="AI165" t="n">
        <v>5.08</v>
      </c>
      <c r="AJ165" t="n">
        <v>1</v>
      </c>
      <c r="AK165" t="n">
        <v>1</v>
      </c>
      <c r="AL165" t="n">
        <v>1</v>
      </c>
      <c r="AM165" t="n">
        <v>2</v>
      </c>
      <c r="AN165" t="n">
        <v>0</v>
      </c>
      <c r="AO165" t="n">
        <v>1</v>
      </c>
      <c r="AP165" t="n">
        <v>1</v>
      </c>
      <c r="AQ165" t="n">
        <v>0</v>
      </c>
      <c r="AR165" t="n">
        <v>0</v>
      </c>
      <c r="AS165" t="inlineStr"/>
      <c r="AT165" t="n">
        <v>0.0014</v>
      </c>
      <c r="AU165" t="inlineStr"/>
      <c r="AV165" t="n">
        <v>0</v>
      </c>
      <c r="AW165" t="n">
        <v>2</v>
      </c>
      <c r="AX165" t="n">
        <v>78870056</v>
      </c>
      <c r="AY165" t="n">
        <v>1</v>
      </c>
      <c r="AZ165" t="n">
        <v>0</v>
      </c>
      <c r="BA165" t="n">
        <v>154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V165" t="n">
        <v>0</v>
      </c>
      <c r="CW165" t="n">
        <v>0</v>
      </c>
      <c r="CX165">
        <f>ROUND(Y165*Source!I337,7)</f>
        <v/>
      </c>
      <c r="CY165">
        <f>AA165</f>
        <v/>
      </c>
      <c r="CZ165">
        <f>AE165</f>
        <v/>
      </c>
      <c r="DA165">
        <f>AI165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ROUND(ROUND(AE165*AI165,0)*CX165,0)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DF165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ROW(Source!A337)</f>
        <v/>
      </c>
      <c r="B166" t="n">
        <v>78869116</v>
      </c>
      <c r="C166" t="n">
        <v>78870045</v>
      </c>
      <c r="D166" t="n">
        <v>29110573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101-0628</t>
        </is>
      </c>
      <c r="J166" t="inlineStr">
        <is>
          <t>ТССЦ Московской обл., 101-0628, приказ Минстроя России №675/пр от 28.02.2017 № 254/пр</t>
        </is>
      </c>
      <c r="K166" t="inlineStr">
        <is>
          <t>Олифа комбинированная, марки К-3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24062879</v>
      </c>
      <c r="Y166">
        <f>AT166</f>
        <v/>
      </c>
      <c r="AA166" t="n">
        <v>87631.5</v>
      </c>
      <c r="AB166" t="n">
        <v>0</v>
      </c>
      <c r="AC166" t="n">
        <v>0</v>
      </c>
      <c r="AD166" t="n">
        <v>0</v>
      </c>
      <c r="AE166" t="n">
        <v>16950</v>
      </c>
      <c r="AF166" t="n">
        <v>0</v>
      </c>
      <c r="AG166" t="n">
        <v>0</v>
      </c>
      <c r="AH166" t="n">
        <v>0</v>
      </c>
      <c r="AI166" t="n">
        <v>5.17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1</v>
      </c>
      <c r="AQ166" t="n">
        <v>0</v>
      </c>
      <c r="AR166" t="n">
        <v>0</v>
      </c>
      <c r="AS166" t="inlineStr"/>
      <c r="AT166" t="n">
        <v>0.0007</v>
      </c>
      <c r="AU166" t="inlineStr"/>
      <c r="AV166" t="n">
        <v>0</v>
      </c>
      <c r="AW166" t="n">
        <v>2</v>
      </c>
      <c r="AX166" t="n">
        <v>78870057</v>
      </c>
      <c r="AY166" t="n">
        <v>1</v>
      </c>
      <c r="AZ166" t="n">
        <v>0</v>
      </c>
      <c r="BA166" t="n">
        <v>155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ROUND(Y166*Source!I337,7)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ROW(Source!A337)</f>
        <v/>
      </c>
      <c r="B167" t="n">
        <v>78869116</v>
      </c>
      <c r="C167" t="n">
        <v>78870045</v>
      </c>
      <c r="D167" t="n">
        <v>29107963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101-1669</t>
        </is>
      </c>
      <c r="J167" t="inlineStr">
        <is>
          <t>ТССЦ Московской обл., 101-1669, приказ Минстроя России №675/пр от 28.02.2017 № 254/пр</t>
        </is>
      </c>
      <c r="K167" t="inlineStr">
        <is>
          <t>Очес льняной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W167" t="n">
        <v>0</v>
      </c>
      <c r="X167" t="n">
        <v>-2113933962</v>
      </c>
      <c r="Y167">
        <f>AT167</f>
        <v/>
      </c>
      <c r="AA167" t="n">
        <v>590.67</v>
      </c>
      <c r="AB167" t="n">
        <v>0</v>
      </c>
      <c r="AC167" t="n">
        <v>0</v>
      </c>
      <c r="AD167" t="n">
        <v>0</v>
      </c>
      <c r="AE167" t="n">
        <v>37.29</v>
      </c>
      <c r="AF167" t="n">
        <v>0</v>
      </c>
      <c r="AG167" t="n">
        <v>0</v>
      </c>
      <c r="AH167" t="n">
        <v>0</v>
      </c>
      <c r="AI167" t="n">
        <v>15.84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1</v>
      </c>
      <c r="AQ167" t="n">
        <v>0</v>
      </c>
      <c r="AR167" t="n">
        <v>0</v>
      </c>
      <c r="AS167" t="inlineStr"/>
      <c r="AT167" t="n">
        <v>0.7</v>
      </c>
      <c r="AU167" t="inlineStr"/>
      <c r="AV167" t="n">
        <v>0</v>
      </c>
      <c r="AW167" t="n">
        <v>2</v>
      </c>
      <c r="AX167" t="n">
        <v>78870058</v>
      </c>
      <c r="AY167" t="n">
        <v>1</v>
      </c>
      <c r="AZ167" t="n">
        <v>0</v>
      </c>
      <c r="BA167" t="n">
        <v>156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ROUND(Y167*Source!I337,7)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ROW(Source!A337)</f>
        <v/>
      </c>
      <c r="B168" t="n">
        <v>78869116</v>
      </c>
      <c r="C168" t="n">
        <v>78870045</v>
      </c>
      <c r="D168" t="n">
        <v>29143378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302-0062</t>
        </is>
      </c>
      <c r="J168" t="inlineStr">
        <is>
          <t>ТССЦ Московской обл., 302-0062, приказ Минстроя России №675/пр от 28.02.2017 № 256/пр</t>
        </is>
      </c>
      <c r="K168" t="inlineStr">
        <is>
          <t>Кран шаровый муфтовый Valtec для воды диаметром 15 мм, тип в/в</t>
        </is>
      </c>
      <c r="L168" t="n">
        <v>1354</v>
      </c>
      <c r="N168" t="n">
        <v>1010</v>
      </c>
      <c r="O168" t="inlineStr">
        <is>
          <t>шт.</t>
        </is>
      </c>
      <c r="P168" t="inlineStr">
        <is>
          <t>шт.</t>
        </is>
      </c>
      <c r="Q168" t="n">
        <v>1</v>
      </c>
      <c r="W168" t="n">
        <v>0</v>
      </c>
      <c r="X168" t="n">
        <v>-1687406522</v>
      </c>
      <c r="Y168">
        <f>AT168</f>
        <v/>
      </c>
      <c r="AA168" t="n">
        <v>384.3</v>
      </c>
      <c r="AB168" t="n">
        <v>0</v>
      </c>
      <c r="AC168" t="n">
        <v>0</v>
      </c>
      <c r="AD168" t="n">
        <v>0</v>
      </c>
      <c r="AE168" t="n">
        <v>28.53</v>
      </c>
      <c r="AF168" t="n">
        <v>0</v>
      </c>
      <c r="AG168" t="n">
        <v>0</v>
      </c>
      <c r="AH168" t="n">
        <v>0</v>
      </c>
      <c r="AI168" t="n">
        <v>13.47</v>
      </c>
      <c r="AJ168" t="n">
        <v>1</v>
      </c>
      <c r="AK168" t="n">
        <v>1</v>
      </c>
      <c r="AL168" t="n">
        <v>1</v>
      </c>
      <c r="AM168" t="n">
        <v>0</v>
      </c>
      <c r="AN168" t="n">
        <v>0</v>
      </c>
      <c r="AO168" t="n">
        <v>0</v>
      </c>
      <c r="AP168" t="n">
        <v>1</v>
      </c>
      <c r="AQ168" t="n">
        <v>0</v>
      </c>
      <c r="AR168" t="n">
        <v>0</v>
      </c>
      <c r="AS168" t="inlineStr"/>
      <c r="AT168" t="n">
        <v>100</v>
      </c>
      <c r="AU168" t="inlineStr"/>
      <c r="AV168" t="n">
        <v>0</v>
      </c>
      <c r="AW168" t="n">
        <v>1</v>
      </c>
      <c r="AX168" t="n">
        <v>-1</v>
      </c>
      <c r="AY168" t="n">
        <v>0</v>
      </c>
      <c r="AZ168" t="n">
        <v>0</v>
      </c>
      <c r="BA168" t="inlineStr"/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V168" t="n">
        <v>0</v>
      </c>
      <c r="CW168" t="n">
        <v>0</v>
      </c>
      <c r="CX168">
        <f>ROUND(Y168*Source!I337,7)</f>
        <v/>
      </c>
      <c r="CY168">
        <f>AA168</f>
        <v/>
      </c>
      <c r="CZ168">
        <f>AE168</f>
        <v/>
      </c>
      <c r="DA168">
        <f>AI168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ROUND(ROUND(AE168*AI168,0)*CX168,0)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DF168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ROW(Source!A337)</f>
        <v/>
      </c>
      <c r="B169" t="n">
        <v>78869116</v>
      </c>
      <c r="C169" t="n">
        <v>78870045</v>
      </c>
      <c r="D169" t="n">
        <v>29142465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302-1342</t>
        </is>
      </c>
      <c r="J169" t="inlineStr">
        <is>
          <t>ТССЦ Московской обл., 302-1342, приказ Минстроя России №675/пр от 28.02.2017 № 256/пр</t>
        </is>
      </c>
      <c r="K169" t="inlineStr">
        <is>
          <t>Вентили проходные муфтовые 15кч18п для воды давлением 1,6 МПа (16 кгс/см2), диаметром 20 мм</t>
        </is>
      </c>
      <c r="L169" t="n">
        <v>1354</v>
      </c>
      <c r="N169" t="n">
        <v>1010</v>
      </c>
      <c r="O169" t="inlineStr">
        <is>
          <t>шт.</t>
        </is>
      </c>
      <c r="P169" t="inlineStr">
        <is>
          <t>шт.</t>
        </is>
      </c>
      <c r="Q169" t="n">
        <v>1</v>
      </c>
      <c r="W169" t="n">
        <v>0</v>
      </c>
      <c r="X169" t="n">
        <v>-852705161</v>
      </c>
      <c r="Y169">
        <f>AT169</f>
        <v/>
      </c>
      <c r="AA169" t="n">
        <v>221.81</v>
      </c>
      <c r="AB169" t="n">
        <v>0</v>
      </c>
      <c r="AC169" t="n">
        <v>0</v>
      </c>
      <c r="AD169" t="n">
        <v>0</v>
      </c>
      <c r="AE169" t="n">
        <v>21.81</v>
      </c>
      <c r="AF169" t="n">
        <v>0</v>
      </c>
      <c r="AG169" t="n">
        <v>0</v>
      </c>
      <c r="AH169" t="n">
        <v>0</v>
      </c>
      <c r="AI169" t="n">
        <v>10.17</v>
      </c>
      <c r="AJ169" t="n">
        <v>1</v>
      </c>
      <c r="AK169" t="n">
        <v>1</v>
      </c>
      <c r="AL169" t="n">
        <v>1</v>
      </c>
      <c r="AM169" t="n">
        <v>2</v>
      </c>
      <c r="AN169" t="n">
        <v>0</v>
      </c>
      <c r="AO169" t="n">
        <v>1</v>
      </c>
      <c r="AP169" t="n">
        <v>1</v>
      </c>
      <c r="AQ169" t="n">
        <v>0</v>
      </c>
      <c r="AR169" t="n">
        <v>0</v>
      </c>
      <c r="AS169" t="inlineStr"/>
      <c r="AT169" t="n">
        <v>100</v>
      </c>
      <c r="AU169" t="inlineStr"/>
      <c r="AV169" t="n">
        <v>0</v>
      </c>
      <c r="AW169" t="n">
        <v>2</v>
      </c>
      <c r="AX169" t="n">
        <v>78870059</v>
      </c>
      <c r="AY169" t="n">
        <v>1</v>
      </c>
      <c r="AZ169" t="n">
        <v>0</v>
      </c>
      <c r="BA169" t="n">
        <v>157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V169" t="n">
        <v>0</v>
      </c>
      <c r="CW169" t="n">
        <v>0</v>
      </c>
      <c r="CX169">
        <f>ROUND(Y169*Source!I337,7)</f>
        <v/>
      </c>
      <c r="CY169">
        <f>AA169</f>
        <v/>
      </c>
      <c r="CZ169">
        <f>AE169</f>
        <v/>
      </c>
      <c r="DA169">
        <f>AI169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ROUND(ROUND(AE169*AI169,0)*CX169,0)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DF169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ROW(Source!A337)</f>
        <v/>
      </c>
      <c r="B170" t="n">
        <v>78869116</v>
      </c>
      <c r="C170" t="n">
        <v>78870045</v>
      </c>
      <c r="D170" t="n">
        <v>29164350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509-9899</t>
        </is>
      </c>
      <c r="J170" t="inlineStr">
        <is>
          <t>ТССЦ Московской обл., 509-9899, приказ Минстроя России №675/пр от 28.02.2017 № 258/пр</t>
        </is>
      </c>
      <c r="K170" t="inlineStr">
        <is>
          <t>Строительный мусор и масса возвратных материалов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W170" t="n">
        <v>0</v>
      </c>
      <c r="X170" t="n">
        <v>1839160745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0</v>
      </c>
      <c r="AN170" t="n">
        <v>0</v>
      </c>
      <c r="AO170" t="n">
        <v>0</v>
      </c>
      <c r="AP170" t="n">
        <v>1</v>
      </c>
      <c r="AQ170" t="n">
        <v>0</v>
      </c>
      <c r="AR170" t="n">
        <v>0</v>
      </c>
      <c r="AS170" t="inlineStr"/>
      <c r="AT170" t="n">
        <v>0.04</v>
      </c>
      <c r="AU170" t="inlineStr"/>
      <c r="AV170" t="n">
        <v>0</v>
      </c>
      <c r="AW170" t="n">
        <v>2</v>
      </c>
      <c r="AX170" t="n">
        <v>78870060</v>
      </c>
      <c r="AY170" t="n">
        <v>1</v>
      </c>
      <c r="AZ170" t="n">
        <v>0</v>
      </c>
      <c r="BA170" t="n">
        <v>158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ROUND(Y170*Source!I337,7)</f>
        <v/>
      </c>
      <c r="CY170">
        <f>AA170</f>
        <v/>
      </c>
      <c r="CZ170">
        <f>AE170</f>
        <v/>
      </c>
      <c r="DA170">
        <f>AI170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DF170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ROW(Source!A340)</f>
        <v/>
      </c>
      <c r="B171" t="n">
        <v>78869116</v>
      </c>
      <c r="C171" t="n">
        <v>78870063</v>
      </c>
      <c r="D171" t="n">
        <v>18442827</v>
      </c>
      <c r="E171" t="n">
        <v>1</v>
      </c>
      <c r="F171" t="n">
        <v>1</v>
      </c>
      <c r="G171" t="n">
        <v>1</v>
      </c>
      <c r="H171" t="n">
        <v>1</v>
      </c>
      <c r="I171" t="inlineStr">
        <is>
          <t>1-1053-90</t>
        </is>
      </c>
      <c r="J171" t="inlineStr"/>
      <c r="K171" t="inlineStr">
        <is>
          <t>Рабочий строитель среднего разряда 5,3</t>
        </is>
      </c>
      <c r="L171" t="n">
        <v>1369</v>
      </c>
      <c r="N171" t="n">
        <v>1013</v>
      </c>
      <c r="O171" t="inlineStr">
        <is>
          <t>чел.-ч</t>
        </is>
      </c>
      <c r="P171" t="inlineStr">
        <is>
          <t>чел.-ч</t>
        </is>
      </c>
      <c r="Q171" t="n">
        <v>1</v>
      </c>
      <c r="W171" t="n">
        <v>0</v>
      </c>
      <c r="X171" t="n">
        <v>717490484</v>
      </c>
      <c r="Y171">
        <f>(AT171*ROUND(4,7))</f>
        <v/>
      </c>
      <c r="AA171" t="n">
        <v>0</v>
      </c>
      <c r="AB171" t="n">
        <v>0</v>
      </c>
      <c r="AC171" t="n">
        <v>0</v>
      </c>
      <c r="AD171" t="n">
        <v>11.64</v>
      </c>
      <c r="AE171" t="n">
        <v>0</v>
      </c>
      <c r="AF171" t="n">
        <v>0</v>
      </c>
      <c r="AG171" t="n">
        <v>0</v>
      </c>
      <c r="AH171" t="n">
        <v>11.64</v>
      </c>
      <c r="AI171" t="n">
        <v>1</v>
      </c>
      <c r="AJ171" t="n">
        <v>1</v>
      </c>
      <c r="AK171" t="n">
        <v>1</v>
      </c>
      <c r="AL171" t="n">
        <v>1</v>
      </c>
      <c r="AM171" t="n">
        <v>-2</v>
      </c>
      <c r="AN171" t="n">
        <v>0</v>
      </c>
      <c r="AO171" t="n">
        <v>1</v>
      </c>
      <c r="AP171" t="n">
        <v>1</v>
      </c>
      <c r="AQ171" t="n">
        <v>0</v>
      </c>
      <c r="AR171" t="n">
        <v>0</v>
      </c>
      <c r="AS171" t="inlineStr"/>
      <c r="AT171" t="n">
        <v>5.01</v>
      </c>
      <c r="AU171" t="inlineStr">
        <is>
          <t>)*4</t>
        </is>
      </c>
      <c r="AV171" t="n">
        <v>1</v>
      </c>
      <c r="AW171" t="n">
        <v>2</v>
      </c>
      <c r="AX171" t="n">
        <v>78870070</v>
      </c>
      <c r="AY171" t="n">
        <v>1</v>
      </c>
      <c r="AZ171" t="n">
        <v>0</v>
      </c>
      <c r="BA171" t="n">
        <v>159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U171">
        <f>ROUND(AT171*Source!I340*AH171*AL171,0)</f>
        <v/>
      </c>
      <c r="CV171">
        <f>ROUND(Y171*Source!I340,7)</f>
        <v/>
      </c>
      <c r="CW171" t="n">
        <v>0</v>
      </c>
      <c r="CX171">
        <f>ROUND(Y171*Source!I340,7)</f>
        <v/>
      </c>
      <c r="CY171">
        <f>AD171</f>
        <v/>
      </c>
      <c r="CZ171">
        <f>AH171</f>
        <v/>
      </c>
      <c r="DA171">
        <f>AL171</f>
        <v/>
      </c>
      <c r="DB171">
        <f>ROUND((ROUND(AT171*CZ171,2)*ROUND(4,7)),2)</f>
        <v/>
      </c>
      <c r="DC171">
        <f>ROUND((ROUND(AT171*AG171,2)*ROUND(4,7)),2)</f>
        <v/>
      </c>
      <c r="DD171" t="inlineStr"/>
      <c r="DE171" t="inlineStr"/>
      <c r="DF171">
        <f>ROUND(ROUND(AE171,0)*CX171,0)</f>
        <v/>
      </c>
      <c r="DG171">
        <f>ROUND(ROUND(AF171,0)*CX171,0)</f>
        <v/>
      </c>
      <c r="DH171">
        <f>ROUND(ROUND(AG171,0)*CX171,0)</f>
        <v/>
      </c>
      <c r="DI171">
        <f>ROUND(ROUND(AH171,0)*CX171,0)</f>
        <v/>
      </c>
      <c r="DJ171">
        <f>DI171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ROW(Source!A340)</f>
        <v/>
      </c>
      <c r="B172" t="n">
        <v>78869116</v>
      </c>
      <c r="C172" t="n">
        <v>78870063</v>
      </c>
      <c r="D172" t="n">
        <v>29172703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042900</t>
        </is>
      </c>
      <c r="J172" t="inlineStr">
        <is>
          <t>ТСЭМ Московской обл., 042900, приказ Минстроя России №675/пр от 28.02.2017 № 264/пр</t>
        </is>
      </c>
      <c r="K17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1695838894</v>
      </c>
      <c r="Y172">
        <f>(AT172*ROUND(4,7))</f>
        <v/>
      </c>
      <c r="AA172" t="n">
        <v>0</v>
      </c>
      <c r="AB172" t="n">
        <v>177.13</v>
      </c>
      <c r="AC172" t="n">
        <v>0</v>
      </c>
      <c r="AD172" t="n">
        <v>0</v>
      </c>
      <c r="AE172" t="n">
        <v>0</v>
      </c>
      <c r="AF172" t="n">
        <v>29.67</v>
      </c>
      <c r="AG172" t="n">
        <v>0</v>
      </c>
      <c r="AH172" t="n">
        <v>0</v>
      </c>
      <c r="AI172" t="n">
        <v>1</v>
      </c>
      <c r="AJ172" t="n">
        <v>5.97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1</v>
      </c>
      <c r="AQ172" t="n">
        <v>0</v>
      </c>
      <c r="AR172" t="n">
        <v>0</v>
      </c>
      <c r="AS172" t="inlineStr"/>
      <c r="AT172" t="n">
        <v>1.5</v>
      </c>
      <c r="AU172" t="inlineStr">
        <is>
          <t>)*4</t>
        </is>
      </c>
      <c r="AV172" t="n">
        <v>0</v>
      </c>
      <c r="AW172" t="n">
        <v>2</v>
      </c>
      <c r="AX172" t="n">
        <v>78870071</v>
      </c>
      <c r="AY172" t="n">
        <v>1</v>
      </c>
      <c r="AZ172" t="n">
        <v>0</v>
      </c>
      <c r="BA172" t="n">
        <v>160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ROUND(Y172*Source!I340*DO172,7)</f>
        <v/>
      </c>
      <c r="CX172">
        <f>ROUND(Y172*Source!I340,7)</f>
        <v/>
      </c>
      <c r="CY172">
        <f>AB172</f>
        <v/>
      </c>
      <c r="CZ172">
        <f>AF172</f>
        <v/>
      </c>
      <c r="DA172">
        <f>AJ172</f>
        <v/>
      </c>
      <c r="DB172">
        <f>ROUND((ROUND(AT172*CZ172,2)*ROUND(4,7)),2)</f>
        <v/>
      </c>
      <c r="DC172">
        <f>ROUND((ROUND(AT172*AG172,2)*ROUND(4,7)),2)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ROW(Source!A340)</f>
        <v/>
      </c>
      <c r="B173" t="n">
        <v>78869116</v>
      </c>
      <c r="C173" t="n">
        <v>78870063</v>
      </c>
      <c r="D173" t="n">
        <v>29110398</v>
      </c>
      <c r="E173" t="n">
        <v>1</v>
      </c>
      <c r="F173" t="n">
        <v>1</v>
      </c>
      <c r="G173" t="n">
        <v>1</v>
      </c>
      <c r="H173" t="n">
        <v>3</v>
      </c>
      <c r="I173" t="inlineStr">
        <is>
          <t>101-0388</t>
        </is>
      </c>
      <c r="J173" t="inlineStr">
        <is>
          <t>ТССЦ Московской обл., 101-0388, приказ Минстроя России №675/пр от 28.02.2017 № 254/пр</t>
        </is>
      </c>
      <c r="K173" t="inlineStr">
        <is>
          <t>Краски масляные земляные марки МА-0115 мумия, сурик железный</t>
        </is>
      </c>
      <c r="L173" t="n">
        <v>1348</v>
      </c>
      <c r="N173" t="n">
        <v>1009</v>
      </c>
      <c r="O173" t="inlineStr">
        <is>
          <t>т</t>
        </is>
      </c>
      <c r="P173" t="inlineStr">
        <is>
          <t>т</t>
        </is>
      </c>
      <c r="Q173" t="n">
        <v>1000</v>
      </c>
      <c r="W173" t="n">
        <v>0</v>
      </c>
      <c r="X173" t="n">
        <v>1625292450</v>
      </c>
      <c r="Y173">
        <f>(AT173*ROUND(4,7))</f>
        <v/>
      </c>
      <c r="AA173" t="n">
        <v>76804.47</v>
      </c>
      <c r="AB173" t="n">
        <v>0</v>
      </c>
      <c r="AC173" t="n">
        <v>0</v>
      </c>
      <c r="AD173" t="n">
        <v>0</v>
      </c>
      <c r="AE173" t="n">
        <v>15118.99</v>
      </c>
      <c r="AF173" t="n">
        <v>0</v>
      </c>
      <c r="AG173" t="n">
        <v>0</v>
      </c>
      <c r="AH173" t="n">
        <v>0</v>
      </c>
      <c r="AI173" t="n">
        <v>5.08</v>
      </c>
      <c r="AJ173" t="n">
        <v>1</v>
      </c>
      <c r="AK173" t="n">
        <v>1</v>
      </c>
      <c r="AL173" t="n">
        <v>1</v>
      </c>
      <c r="AM173" t="n">
        <v>2</v>
      </c>
      <c r="AN173" t="n">
        <v>0</v>
      </c>
      <c r="AO173" t="n">
        <v>1</v>
      </c>
      <c r="AP173" t="n">
        <v>1</v>
      </c>
      <c r="AQ173" t="n">
        <v>0</v>
      </c>
      <c r="AR173" t="n">
        <v>0</v>
      </c>
      <c r="AS173" t="inlineStr"/>
      <c r="AT173" t="n">
        <v>5e-05</v>
      </c>
      <c r="AU173" t="inlineStr">
        <is>
          <t>)*4</t>
        </is>
      </c>
      <c r="AV173" t="n">
        <v>0</v>
      </c>
      <c r="AW173" t="n">
        <v>2</v>
      </c>
      <c r="AX173" t="n">
        <v>78870072</v>
      </c>
      <c r="AY173" t="n">
        <v>1</v>
      </c>
      <c r="AZ173" t="n">
        <v>0</v>
      </c>
      <c r="BA173" t="n">
        <v>161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 t="n">
        <v>0</v>
      </c>
      <c r="CX173">
        <f>ROUND(Y173*Source!I340,7)</f>
        <v/>
      </c>
      <c r="CY173">
        <f>AA173</f>
        <v/>
      </c>
      <c r="CZ173">
        <f>AE173</f>
        <v/>
      </c>
      <c r="DA173">
        <f>AI173</f>
        <v/>
      </c>
      <c r="DB173">
        <f>ROUND((ROUND(AT173*CZ173,2)*ROUND(4,7)),2)</f>
        <v/>
      </c>
      <c r="DC173">
        <f>ROUND((ROUND(AT173*AG173,2)*ROUND(4,7)),2)</f>
        <v/>
      </c>
      <c r="DD173" t="inlineStr"/>
      <c r="DE173" t="inlineStr"/>
      <c r="DF173">
        <f>ROUND(ROUND(AE173*AI173,0)*CX173,0)</f>
        <v/>
      </c>
      <c r="DG173">
        <f>ROUND(ROUND(AF173,0)*CX173,0)</f>
        <v/>
      </c>
      <c r="DH173">
        <f>ROUND(ROUND(AG173,0)*CX173,0)</f>
        <v/>
      </c>
      <c r="DI173">
        <f>ROUND(ROUND(AH173,0)*CX173,0)</f>
        <v/>
      </c>
      <c r="DJ173">
        <f>DF173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ROW(Source!A340)</f>
        <v/>
      </c>
      <c r="B174" t="n">
        <v>78869116</v>
      </c>
      <c r="C174" t="n">
        <v>78870063</v>
      </c>
      <c r="D174" t="n">
        <v>29110573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101-0628</t>
        </is>
      </c>
      <c r="J174" t="inlineStr">
        <is>
          <t>ТССЦ Московской обл., 101-0628, приказ Минстроя России №675/пр от 28.02.2017 № 254/пр</t>
        </is>
      </c>
      <c r="K174" t="inlineStr">
        <is>
          <t>Олифа комбинированная, марки К-3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W174" t="n">
        <v>0</v>
      </c>
      <c r="X174" t="n">
        <v>24062879</v>
      </c>
      <c r="Y174">
        <f>(AT174*ROUND(4,7))</f>
        <v/>
      </c>
      <c r="AA174" t="n">
        <v>87631.5</v>
      </c>
      <c r="AB174" t="n">
        <v>0</v>
      </c>
      <c r="AC174" t="n">
        <v>0</v>
      </c>
      <c r="AD174" t="n">
        <v>0</v>
      </c>
      <c r="AE174" t="n">
        <v>16950</v>
      </c>
      <c r="AF174" t="n">
        <v>0</v>
      </c>
      <c r="AG174" t="n">
        <v>0</v>
      </c>
      <c r="AH174" t="n">
        <v>0</v>
      </c>
      <c r="AI174" t="n">
        <v>5.17</v>
      </c>
      <c r="AJ174" t="n">
        <v>1</v>
      </c>
      <c r="AK174" t="n">
        <v>1</v>
      </c>
      <c r="AL174" t="n">
        <v>1</v>
      </c>
      <c r="AM174" t="n">
        <v>2</v>
      </c>
      <c r="AN174" t="n">
        <v>0</v>
      </c>
      <c r="AO174" t="n">
        <v>1</v>
      </c>
      <c r="AP174" t="n">
        <v>1</v>
      </c>
      <c r="AQ174" t="n">
        <v>0</v>
      </c>
      <c r="AR174" t="n">
        <v>0</v>
      </c>
      <c r="AS174" t="inlineStr"/>
      <c r="AT174" t="n">
        <v>2e-05</v>
      </c>
      <c r="AU174" t="inlineStr">
        <is>
          <t>)*4</t>
        </is>
      </c>
      <c r="AV174" t="n">
        <v>0</v>
      </c>
      <c r="AW174" t="n">
        <v>2</v>
      </c>
      <c r="AX174" t="n">
        <v>78870073</v>
      </c>
      <c r="AY174" t="n">
        <v>1</v>
      </c>
      <c r="AZ174" t="n">
        <v>0</v>
      </c>
      <c r="BA174" t="n">
        <v>162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 t="n">
        <v>0</v>
      </c>
      <c r="CX174">
        <f>ROUND(Y174*Source!I340,7)</f>
        <v/>
      </c>
      <c r="CY174">
        <f>AA174</f>
        <v/>
      </c>
      <c r="CZ174">
        <f>AE174</f>
        <v/>
      </c>
      <c r="DA174">
        <f>AI174</f>
        <v/>
      </c>
      <c r="DB174">
        <f>ROUND((ROUND(AT174*CZ174,2)*ROUND(4,7)),2)</f>
        <v/>
      </c>
      <c r="DC174">
        <f>ROUND((ROUND(AT174*AG174,2)*ROUND(4,7)),2)</f>
        <v/>
      </c>
      <c r="DD174" t="inlineStr"/>
      <c r="DE174" t="inlineStr"/>
      <c r="DF174">
        <f>ROUND(ROUND(AE174*AI174,0)*CX174,0)</f>
        <v/>
      </c>
      <c r="DG174">
        <f>ROUND(ROUND(AF174,0)*CX174,0)</f>
        <v/>
      </c>
      <c r="DH174">
        <f>ROUND(ROUND(AG174,0)*CX174,0)</f>
        <v/>
      </c>
      <c r="DI174">
        <f>ROUND(ROUND(AH174,0)*CX174,0)</f>
        <v/>
      </c>
      <c r="DJ174">
        <f>DF174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ROW(Source!A340)</f>
        <v/>
      </c>
      <c r="B175" t="n">
        <v>78869116</v>
      </c>
      <c r="C175" t="n">
        <v>78870063</v>
      </c>
      <c r="D175" t="n">
        <v>29107963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101-1669</t>
        </is>
      </c>
      <c r="J175" t="inlineStr">
        <is>
          <t>ТССЦ Московской обл., 101-1669, приказ Минстроя России №675/пр от 28.02.2017 № 254/пр</t>
        </is>
      </c>
      <c r="K175" t="inlineStr">
        <is>
          <t>Очес льняной</t>
        </is>
      </c>
      <c r="L175" t="n">
        <v>1346</v>
      </c>
      <c r="N175" t="n">
        <v>1009</v>
      </c>
      <c r="O175" t="inlineStr">
        <is>
          <t>кг</t>
        </is>
      </c>
      <c r="P175" t="inlineStr">
        <is>
          <t>кг</t>
        </is>
      </c>
      <c r="Q175" t="n">
        <v>1</v>
      </c>
      <c r="W175" t="n">
        <v>0</v>
      </c>
      <c r="X175" t="n">
        <v>-2113933962</v>
      </c>
      <c r="Y175">
        <f>(AT175*ROUND(4,7))</f>
        <v/>
      </c>
      <c r="AA175" t="n">
        <v>590.67</v>
      </c>
      <c r="AB175" t="n">
        <v>0</v>
      </c>
      <c r="AC175" t="n">
        <v>0</v>
      </c>
      <c r="AD175" t="n">
        <v>0</v>
      </c>
      <c r="AE175" t="n">
        <v>37.29</v>
      </c>
      <c r="AF175" t="n">
        <v>0</v>
      </c>
      <c r="AG175" t="n">
        <v>0</v>
      </c>
      <c r="AH175" t="n">
        <v>0</v>
      </c>
      <c r="AI175" t="n">
        <v>15.84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1</v>
      </c>
      <c r="AQ175" t="n">
        <v>0</v>
      </c>
      <c r="AR175" t="n">
        <v>0</v>
      </c>
      <c r="AS175" t="inlineStr"/>
      <c r="AT175" t="n">
        <v>0.02</v>
      </c>
      <c r="AU175" t="inlineStr">
        <is>
          <t>)*4</t>
        </is>
      </c>
      <c r="AV175" t="n">
        <v>0</v>
      </c>
      <c r="AW175" t="n">
        <v>2</v>
      </c>
      <c r="AX175" t="n">
        <v>78870074</v>
      </c>
      <c r="AY175" t="n">
        <v>1</v>
      </c>
      <c r="AZ175" t="n">
        <v>0</v>
      </c>
      <c r="BA175" t="n">
        <v>163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ROUND(Y175*Source!I340,7)</f>
        <v/>
      </c>
      <c r="CY175">
        <f>AA175</f>
        <v/>
      </c>
      <c r="CZ175">
        <f>AE175</f>
        <v/>
      </c>
      <c r="DA175">
        <f>AI175</f>
        <v/>
      </c>
      <c r="DB175">
        <f>ROUND((ROUND(AT175*CZ175,2)*ROUND(4,7)),2)</f>
        <v/>
      </c>
      <c r="DC175">
        <f>ROUND((ROUND(AT175*AG175,2)*ROUND(4,7)),2)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ROW(Source!A340)</f>
        <v/>
      </c>
      <c r="B176" t="n">
        <v>78869116</v>
      </c>
      <c r="C176" t="n">
        <v>78870063</v>
      </c>
      <c r="D176" t="n">
        <v>29150040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411-0001</t>
        </is>
      </c>
      <c r="J176" t="inlineStr">
        <is>
          <t>ТССЦ Московской обл., 411-0001, приказ Минстроя России №675/пр от 28.02.2017 № 257/пр</t>
        </is>
      </c>
      <c r="K176" t="inlineStr">
        <is>
          <t>Вода</t>
        </is>
      </c>
      <c r="L176" t="n">
        <v>1339</v>
      </c>
      <c r="N176" t="n">
        <v>1007</v>
      </c>
      <c r="O176" t="inlineStr">
        <is>
          <t>м3</t>
        </is>
      </c>
      <c r="P176" t="inlineStr">
        <is>
          <t>м3</t>
        </is>
      </c>
      <c r="Q176" t="n">
        <v>1</v>
      </c>
      <c r="W176" t="n">
        <v>0</v>
      </c>
      <c r="X176" t="n">
        <v>619799737</v>
      </c>
      <c r="Y176">
        <f>(AT176*ROUND(4,7))</f>
        <v/>
      </c>
      <c r="AA176" t="n">
        <v>31.28</v>
      </c>
      <c r="AB176" t="n">
        <v>0</v>
      </c>
      <c r="AC176" t="n">
        <v>0</v>
      </c>
      <c r="AD176" t="n">
        <v>0</v>
      </c>
      <c r="AE176" t="n">
        <v>2.44</v>
      </c>
      <c r="AF176" t="n">
        <v>0</v>
      </c>
      <c r="AG176" t="n">
        <v>0</v>
      </c>
      <c r="AH176" t="n">
        <v>0</v>
      </c>
      <c r="AI176" t="n">
        <v>12.82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1</v>
      </c>
      <c r="AQ176" t="n">
        <v>0</v>
      </c>
      <c r="AR176" t="n">
        <v>0</v>
      </c>
      <c r="AS176" t="inlineStr"/>
      <c r="AT176" t="n">
        <v>1</v>
      </c>
      <c r="AU176" t="inlineStr">
        <is>
          <t>)*4</t>
        </is>
      </c>
      <c r="AV176" t="n">
        <v>0</v>
      </c>
      <c r="AW176" t="n">
        <v>2</v>
      </c>
      <c r="AX176" t="n">
        <v>78870075</v>
      </c>
      <c r="AY176" t="n">
        <v>1</v>
      </c>
      <c r="AZ176" t="n">
        <v>0</v>
      </c>
      <c r="BA176" t="n">
        <v>164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ROUND(Y176*Source!I340,7)</f>
        <v/>
      </c>
      <c r="CY176">
        <f>AA176</f>
        <v/>
      </c>
      <c r="CZ176">
        <f>AE176</f>
        <v/>
      </c>
      <c r="DA176">
        <f>AI176</f>
        <v/>
      </c>
      <c r="DB176">
        <f>ROUND((ROUND(AT176*CZ176,2)*ROUND(4,7)),2)</f>
        <v/>
      </c>
      <c r="DC176">
        <f>ROUND((ROUND(AT176*AG176,2)*ROUND(4,7)),2)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ROW(Source!A379)</f>
        <v/>
      </c>
      <c r="B177" t="n">
        <v>78869116</v>
      </c>
      <c r="C177" t="n">
        <v>78870133</v>
      </c>
      <c r="D177" t="n">
        <v>18408291</v>
      </c>
      <c r="E177" t="n">
        <v>1</v>
      </c>
      <c r="F177" t="n">
        <v>1</v>
      </c>
      <c r="G177" t="n">
        <v>1</v>
      </c>
      <c r="H177" t="n">
        <v>1</v>
      </c>
      <c r="I177" t="inlineStr">
        <is>
          <t>1-1025-90</t>
        </is>
      </c>
      <c r="J177" t="inlineStr"/>
      <c r="K177" t="inlineStr">
        <is>
          <t>Рабочий строитель среднего разряда 2,5</t>
        </is>
      </c>
      <c r="L177" t="n">
        <v>1369</v>
      </c>
      <c r="N177" t="n">
        <v>1013</v>
      </c>
      <c r="O177" t="inlineStr">
        <is>
          <t>чел.-ч</t>
        </is>
      </c>
      <c r="P177" t="inlineStr">
        <is>
          <t>чел.-ч</t>
        </is>
      </c>
      <c r="Q177" t="n">
        <v>1</v>
      </c>
      <c r="W177" t="n">
        <v>0</v>
      </c>
      <c r="X177" t="n">
        <v>1933892413</v>
      </c>
      <c r="Y177">
        <f>AT177</f>
        <v/>
      </c>
      <c r="AA177" t="n">
        <v>0</v>
      </c>
      <c r="AB177" t="n">
        <v>0</v>
      </c>
      <c r="AC177" t="n">
        <v>0</v>
      </c>
      <c r="AD177" t="n">
        <v>8.17</v>
      </c>
      <c r="AE177" t="n">
        <v>0</v>
      </c>
      <c r="AF177" t="n">
        <v>0</v>
      </c>
      <c r="AG177" t="n">
        <v>0</v>
      </c>
      <c r="AH177" t="n">
        <v>8.17</v>
      </c>
      <c r="AI177" t="n">
        <v>1</v>
      </c>
      <c r="AJ177" t="n">
        <v>1</v>
      </c>
      <c r="AK177" t="n">
        <v>1</v>
      </c>
      <c r="AL177" t="n">
        <v>1</v>
      </c>
      <c r="AM177" t="n">
        <v>-2</v>
      </c>
      <c r="AN177" t="n">
        <v>0</v>
      </c>
      <c r="AO177" t="n">
        <v>1</v>
      </c>
      <c r="AP177" t="n">
        <v>1</v>
      </c>
      <c r="AQ177" t="n">
        <v>0</v>
      </c>
      <c r="AR177" t="n">
        <v>0</v>
      </c>
      <c r="AS177" t="inlineStr"/>
      <c r="AT177" t="n">
        <v>32.2</v>
      </c>
      <c r="AU177" t="inlineStr"/>
      <c r="AV177" t="n">
        <v>1</v>
      </c>
      <c r="AW177" t="n">
        <v>2</v>
      </c>
      <c r="AX177" t="n">
        <v>78870139</v>
      </c>
      <c r="AY177" t="n">
        <v>1</v>
      </c>
      <c r="AZ177" t="n">
        <v>0</v>
      </c>
      <c r="BA177" t="n">
        <v>165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U177">
        <f>ROUND(AT177*Source!I379*AH177*AL177,0)</f>
        <v/>
      </c>
      <c r="CV177">
        <f>ROUND(Y177*Source!I379,7)</f>
        <v/>
      </c>
      <c r="CW177" t="n">
        <v>0</v>
      </c>
      <c r="CX177">
        <f>ROUND(Y177*Source!I379,7)</f>
        <v/>
      </c>
      <c r="CY177">
        <f>AD177</f>
        <v/>
      </c>
      <c r="CZ177">
        <f>AH177</f>
        <v/>
      </c>
      <c r="DA177">
        <f>AL177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DI177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ROW(Source!A379)</f>
        <v/>
      </c>
      <c r="B178" t="n">
        <v>78869116</v>
      </c>
      <c r="C178" t="n">
        <v>78870133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W178" t="n">
        <v>0</v>
      </c>
      <c r="X178" t="n">
        <v>1230759911</v>
      </c>
      <c r="Y178">
        <f>AT178</f>
        <v/>
      </c>
      <c r="AA178" t="n">
        <v>0</v>
      </c>
      <c r="AB178" t="n">
        <v>2177.51</v>
      </c>
      <c r="AC178" t="n">
        <v>606.1</v>
      </c>
      <c r="AD178" t="n">
        <v>0</v>
      </c>
      <c r="AE178" t="n">
        <v>0</v>
      </c>
      <c r="AF178" t="n">
        <v>87.17</v>
      </c>
      <c r="AG178" t="n">
        <v>11.6</v>
      </c>
      <c r="AH178" t="n">
        <v>0</v>
      </c>
      <c r="AI178" t="n">
        <v>1</v>
      </c>
      <c r="AJ178" t="n">
        <v>24.98</v>
      </c>
      <c r="AK178" t="n">
        <v>52.25</v>
      </c>
      <c r="AL178" t="n">
        <v>1</v>
      </c>
      <c r="AM178" t="n">
        <v>2</v>
      </c>
      <c r="AN178" t="n">
        <v>0</v>
      </c>
      <c r="AO178" t="n">
        <v>1</v>
      </c>
      <c r="AP178" t="n">
        <v>1</v>
      </c>
      <c r="AQ178" t="n">
        <v>0</v>
      </c>
      <c r="AR178" t="n">
        <v>0</v>
      </c>
      <c r="AS178" t="inlineStr"/>
      <c r="AT178" t="n">
        <v>0.01</v>
      </c>
      <c r="AU178" t="inlineStr"/>
      <c r="AV178" t="n">
        <v>0</v>
      </c>
      <c r="AW178" t="n">
        <v>2</v>
      </c>
      <c r="AX178" t="n">
        <v>78870140</v>
      </c>
      <c r="AY178" t="n">
        <v>1</v>
      </c>
      <c r="AZ178" t="n">
        <v>0</v>
      </c>
      <c r="BA178" t="n">
        <v>166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>
        <f>ROUND(Y178*Source!I379*DO178,7)</f>
        <v/>
      </c>
      <c r="CX178">
        <f>ROUND(Y178*Source!I379,7)</f>
        <v/>
      </c>
      <c r="CY178">
        <f>AB178</f>
        <v/>
      </c>
      <c r="CZ178">
        <f>AF178</f>
        <v/>
      </c>
      <c r="DA178">
        <f>AJ178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ROUND(ROUND(AE178,0)*CX178,0)</f>
        <v/>
      </c>
      <c r="DG178">
        <f>ROUND(ROUND(AF178*AJ178,0)*CX178,0)</f>
        <v/>
      </c>
      <c r="DH178">
        <f>ROUND(ROUND(AG178*AK178,0)*CX178,0)</f>
        <v/>
      </c>
      <c r="DI178">
        <f>ROUND(ROUND(AH178,0)*CX178,0)</f>
        <v/>
      </c>
      <c r="DJ178">
        <f>DG178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ROW(Source!A379)</f>
        <v/>
      </c>
      <c r="B179" t="n">
        <v>78869116</v>
      </c>
      <c r="C179" t="n">
        <v>78870133</v>
      </c>
      <c r="D179" t="n">
        <v>29110139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101-1703</t>
        </is>
      </c>
      <c r="J179" t="inlineStr">
        <is>
          <t>ТССЦ Московской обл., 101-1703, приказ Минстроя России №675/пр от 28.02.2017 № 254/пр</t>
        </is>
      </c>
      <c r="K179" t="inlineStr">
        <is>
          <t>Прокладки резиновые (пластина техническая прессованная)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-1947909329</v>
      </c>
      <c r="Y179">
        <f>AT179</f>
        <v/>
      </c>
      <c r="AA179" t="n">
        <v>341.04</v>
      </c>
      <c r="AB179" t="n">
        <v>0</v>
      </c>
      <c r="AC179" t="n">
        <v>0</v>
      </c>
      <c r="AD179" t="n">
        <v>0</v>
      </c>
      <c r="AE179" t="n">
        <v>23.09</v>
      </c>
      <c r="AF179" t="n">
        <v>0</v>
      </c>
      <c r="AG179" t="n">
        <v>0</v>
      </c>
      <c r="AH179" t="n">
        <v>0</v>
      </c>
      <c r="AI179" t="n">
        <v>14.77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1</v>
      </c>
      <c r="AQ179" t="n">
        <v>0</v>
      </c>
      <c r="AR179" t="n">
        <v>0</v>
      </c>
      <c r="AS179" t="inlineStr"/>
      <c r="AT179" t="n">
        <v>2</v>
      </c>
      <c r="AU179" t="inlineStr"/>
      <c r="AV179" t="n">
        <v>0</v>
      </c>
      <c r="AW179" t="n">
        <v>2</v>
      </c>
      <c r="AX179" t="n">
        <v>78870141</v>
      </c>
      <c r="AY179" t="n">
        <v>1</v>
      </c>
      <c r="AZ179" t="n">
        <v>0</v>
      </c>
      <c r="BA179" t="n">
        <v>167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ROUND(Y179*Source!I379,7)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ROW(Source!A379)</f>
        <v/>
      </c>
      <c r="B180" t="n">
        <v>78869116</v>
      </c>
      <c r="C180" t="n">
        <v>78870133</v>
      </c>
      <c r="D180" t="n">
        <v>29114240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101-2576</t>
        </is>
      </c>
      <c r="J180" t="inlineStr">
        <is>
          <t>ТССЦ Московской обл., 101-2576, приказ Минстроя России №675/пр от 28.02.2017 № 254/пр</t>
        </is>
      </c>
      <c r="K180" t="inlineStr">
        <is>
          <t>Болты с гайками и шайбами для санитарно-технических работ диаметром 16 мм</t>
        </is>
      </c>
      <c r="L180" t="n">
        <v>1348</v>
      </c>
      <c r="N180" t="n">
        <v>1009</v>
      </c>
      <c r="O180" t="inlineStr">
        <is>
          <t>т</t>
        </is>
      </c>
      <c r="P180" t="inlineStr">
        <is>
          <t>т</t>
        </is>
      </c>
      <c r="Q180" t="n">
        <v>1000</v>
      </c>
      <c r="W180" t="n">
        <v>0</v>
      </c>
      <c r="X180" t="n">
        <v>-1701539228</v>
      </c>
      <c r="Y180">
        <f>AT180</f>
        <v/>
      </c>
      <c r="AA180" t="n">
        <v>145037.4</v>
      </c>
      <c r="AB180" t="n">
        <v>0</v>
      </c>
      <c r="AC180" t="n">
        <v>0</v>
      </c>
      <c r="AD180" t="n">
        <v>0</v>
      </c>
      <c r="AE180" t="n">
        <v>14830</v>
      </c>
      <c r="AF180" t="n">
        <v>0</v>
      </c>
      <c r="AG180" t="n">
        <v>0</v>
      </c>
      <c r="AH180" t="n">
        <v>0</v>
      </c>
      <c r="AI180" t="n">
        <v>9.779999999999999</v>
      </c>
      <c r="AJ180" t="n">
        <v>1</v>
      </c>
      <c r="AK180" t="n">
        <v>1</v>
      </c>
      <c r="AL180" t="n">
        <v>1</v>
      </c>
      <c r="AM180" t="n">
        <v>2</v>
      </c>
      <c r="AN180" t="n">
        <v>0</v>
      </c>
      <c r="AO180" t="n">
        <v>1</v>
      </c>
      <c r="AP180" t="n">
        <v>1</v>
      </c>
      <c r="AQ180" t="n">
        <v>0</v>
      </c>
      <c r="AR180" t="n">
        <v>0</v>
      </c>
      <c r="AS180" t="inlineStr"/>
      <c r="AT180" t="n">
        <v>0.005</v>
      </c>
      <c r="AU180" t="inlineStr"/>
      <c r="AV180" t="n">
        <v>0</v>
      </c>
      <c r="AW180" t="n">
        <v>2</v>
      </c>
      <c r="AX180" t="n">
        <v>78870142</v>
      </c>
      <c r="AY180" t="n">
        <v>1</v>
      </c>
      <c r="AZ180" t="n">
        <v>0</v>
      </c>
      <c r="BA180" t="n">
        <v>168</v>
      </c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ROUND(Y180*Source!I379,7)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ROW(Source!A379)</f>
        <v/>
      </c>
      <c r="B181" t="n">
        <v>78869116</v>
      </c>
      <c r="C181" t="n">
        <v>78870133</v>
      </c>
      <c r="D181" t="n">
        <v>29150040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411-0001</t>
        </is>
      </c>
      <c r="J181" t="inlineStr">
        <is>
          <t>ТССЦ Московской обл., 411-0001, приказ Минстроя России №675/пр от 28.02.2017 № 257/пр</t>
        </is>
      </c>
      <c r="K181" t="inlineStr">
        <is>
          <t>Вода</t>
        </is>
      </c>
      <c r="L181" t="n">
        <v>1339</v>
      </c>
      <c r="N181" t="n">
        <v>1007</v>
      </c>
      <c r="O181" t="inlineStr">
        <is>
          <t>м3</t>
        </is>
      </c>
      <c r="P181" t="inlineStr">
        <is>
          <t>м3</t>
        </is>
      </c>
      <c r="Q181" t="n">
        <v>1</v>
      </c>
      <c r="W181" t="n">
        <v>0</v>
      </c>
      <c r="X181" t="n">
        <v>619799737</v>
      </c>
      <c r="Y181">
        <f>AT181</f>
        <v/>
      </c>
      <c r="AA181" t="n">
        <v>31.28</v>
      </c>
      <c r="AB181" t="n">
        <v>0</v>
      </c>
      <c r="AC181" t="n">
        <v>0</v>
      </c>
      <c r="AD181" t="n">
        <v>0</v>
      </c>
      <c r="AE181" t="n">
        <v>2.44</v>
      </c>
      <c r="AF181" t="n">
        <v>0</v>
      </c>
      <c r="AG181" t="n">
        <v>0</v>
      </c>
      <c r="AH181" t="n">
        <v>0</v>
      </c>
      <c r="AI181" t="n">
        <v>12.82</v>
      </c>
      <c r="AJ181" t="n">
        <v>1</v>
      </c>
      <c r="AK181" t="n">
        <v>1</v>
      </c>
      <c r="AL181" t="n">
        <v>1</v>
      </c>
      <c r="AM181" t="n">
        <v>2</v>
      </c>
      <c r="AN181" t="n">
        <v>0</v>
      </c>
      <c r="AO181" t="n">
        <v>1</v>
      </c>
      <c r="AP181" t="n">
        <v>1</v>
      </c>
      <c r="AQ181" t="n">
        <v>0</v>
      </c>
      <c r="AR181" t="n">
        <v>0</v>
      </c>
      <c r="AS181" t="inlineStr"/>
      <c r="AT181" t="n">
        <v>7.8</v>
      </c>
      <c r="AU181" t="inlineStr"/>
      <c r="AV181" t="n">
        <v>0</v>
      </c>
      <c r="AW181" t="n">
        <v>2</v>
      </c>
      <c r="AX181" t="n">
        <v>78870143</v>
      </c>
      <c r="AY181" t="n">
        <v>1</v>
      </c>
      <c r="AZ181" t="n">
        <v>0</v>
      </c>
      <c r="BA181" t="n">
        <v>169</v>
      </c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ROUND(Y181*Source!I379,7)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ROW(Source!A380)</f>
        <v/>
      </c>
      <c r="B182" t="n">
        <v>78869116</v>
      </c>
      <c r="C182" t="n">
        <v>78870144</v>
      </c>
      <c r="D182" t="n">
        <v>18407150</v>
      </c>
      <c r="E182" t="n">
        <v>1</v>
      </c>
      <c r="F182" t="n">
        <v>1</v>
      </c>
      <c r="G182" t="n">
        <v>1</v>
      </c>
      <c r="H182" t="n">
        <v>1</v>
      </c>
      <c r="I182" t="inlineStr">
        <is>
          <t>1-1030-90</t>
        </is>
      </c>
      <c r="J182" t="inlineStr"/>
      <c r="K182" t="inlineStr">
        <is>
          <t>Рабочий строитель среднего разряда 3</t>
        </is>
      </c>
      <c r="L182" t="n">
        <v>1369</v>
      </c>
      <c r="N182" t="n">
        <v>1013</v>
      </c>
      <c r="O182" t="inlineStr">
        <is>
          <t>чел.-ч</t>
        </is>
      </c>
      <c r="P182" t="inlineStr">
        <is>
          <t>чел.-ч</t>
        </is>
      </c>
      <c r="Q182" t="n">
        <v>1</v>
      </c>
      <c r="W182" t="n">
        <v>0</v>
      </c>
      <c r="X182" t="n">
        <v>-931037793</v>
      </c>
      <c r="Y182">
        <f>AT182</f>
        <v/>
      </c>
      <c r="AA182" t="n">
        <v>0</v>
      </c>
      <c r="AB182" t="n">
        <v>0</v>
      </c>
      <c r="AC182" t="n">
        <v>0</v>
      </c>
      <c r="AD182" t="n">
        <v>8.529999999999999</v>
      </c>
      <c r="AE182" t="n">
        <v>0</v>
      </c>
      <c r="AF182" t="n">
        <v>0</v>
      </c>
      <c r="AG182" t="n">
        <v>0</v>
      </c>
      <c r="AH182" t="n">
        <v>8.529999999999999</v>
      </c>
      <c r="AI182" t="n">
        <v>1</v>
      </c>
      <c r="AJ182" t="n">
        <v>1</v>
      </c>
      <c r="AK182" t="n">
        <v>1</v>
      </c>
      <c r="AL182" t="n">
        <v>1</v>
      </c>
      <c r="AM182" t="n">
        <v>-2</v>
      </c>
      <c r="AN182" t="n">
        <v>0</v>
      </c>
      <c r="AO182" t="n">
        <v>1</v>
      </c>
      <c r="AP182" t="n">
        <v>0</v>
      </c>
      <c r="AQ182" t="n">
        <v>0</v>
      </c>
      <c r="AR182" t="n">
        <v>0</v>
      </c>
      <c r="AS182" t="inlineStr"/>
      <c r="AT182" t="n">
        <v>13.9</v>
      </c>
      <c r="AU182" t="inlineStr"/>
      <c r="AV182" t="n">
        <v>1</v>
      </c>
      <c r="AW182" t="n">
        <v>2</v>
      </c>
      <c r="AX182" t="n">
        <v>78870148</v>
      </c>
      <c r="AY182" t="n">
        <v>1</v>
      </c>
      <c r="AZ182" t="n">
        <v>0</v>
      </c>
      <c r="BA182" t="n">
        <v>170</v>
      </c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U182">
        <f>ROUND(AT182*Source!I380*AH182*AL182,0)</f>
        <v/>
      </c>
      <c r="CV182">
        <f>ROUND(Y182*Source!I380,7)</f>
        <v/>
      </c>
      <c r="CW182" t="n">
        <v>0</v>
      </c>
      <c r="CX182">
        <f>ROUND(Y182*Source!I380,7)</f>
        <v/>
      </c>
      <c r="CY182">
        <f>AD182</f>
        <v/>
      </c>
      <c r="CZ182">
        <f>AH182</f>
        <v/>
      </c>
      <c r="DA182">
        <f>AL182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DI182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ROW(Source!A380)</f>
        <v/>
      </c>
      <c r="B183" t="n">
        <v>78869116</v>
      </c>
      <c r="C183" t="n">
        <v>78870144</v>
      </c>
      <c r="D183" t="n">
        <v>29169821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509-0696</t>
        </is>
      </c>
      <c r="J183" t="inlineStr">
        <is>
          <t>ТССЦ Московской обл., 509-0696, приказ Минстроя России №675/пр от 28.02.2017 № 258/пр</t>
        </is>
      </c>
      <c r="K183" t="inlineStr">
        <is>
          <t>Лампы люминесцентные ртутные низкого давления типа ЛБ, ЛД, ЛДЦ, ЛТВ, ЛБХ 20</t>
        </is>
      </c>
      <c r="L183" t="n">
        <v>1358</v>
      </c>
      <c r="N183" t="n">
        <v>1010</v>
      </c>
      <c r="O183" t="inlineStr">
        <is>
          <t>10 шт.</t>
        </is>
      </c>
      <c r="P183" t="inlineStr">
        <is>
          <t>10 шт.</t>
        </is>
      </c>
      <c r="Q183" t="n">
        <v>10</v>
      </c>
      <c r="W183" t="n">
        <v>0</v>
      </c>
      <c r="X183" t="n">
        <v>-1187244712</v>
      </c>
      <c r="Y183">
        <f>AT183</f>
        <v/>
      </c>
      <c r="AA183" t="n">
        <v>352.73</v>
      </c>
      <c r="AB183" t="n">
        <v>0</v>
      </c>
      <c r="AC183" t="n">
        <v>0</v>
      </c>
      <c r="AD183" t="n">
        <v>0</v>
      </c>
      <c r="AE183" t="n">
        <v>85.2</v>
      </c>
      <c r="AF183" t="n">
        <v>0</v>
      </c>
      <c r="AG183" t="n">
        <v>0</v>
      </c>
      <c r="AH183" t="n">
        <v>0</v>
      </c>
      <c r="AI183" t="n">
        <v>4.14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10</v>
      </c>
      <c r="AU183" t="inlineStr"/>
      <c r="AV183" t="n">
        <v>0</v>
      </c>
      <c r="AW183" t="n">
        <v>2</v>
      </c>
      <c r="AX183" t="n">
        <v>78870149</v>
      </c>
      <c r="AY183" t="n">
        <v>1</v>
      </c>
      <c r="AZ183" t="n">
        <v>0</v>
      </c>
      <c r="BA183" t="n">
        <v>171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ROUND(Y183*Source!I380,7)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ROW(Source!A380)</f>
        <v/>
      </c>
      <c r="B184" t="n">
        <v>78869116</v>
      </c>
      <c r="C184" t="n">
        <v>78870144</v>
      </c>
      <c r="D184" t="n">
        <v>29169828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509-6744</t>
        </is>
      </c>
      <c r="J184" t="inlineStr">
        <is>
          <t>ТССЦ Московской обл., 509-6744, приказ Минстроя России №675/пр от 28.02.2017 № 258/пр</t>
        </is>
      </c>
      <c r="K184" t="inlineStr">
        <is>
          <t>Лампы люминесцентные компактные энергосберегающие с цоколем Е27 мощностью 55 Вт</t>
        </is>
      </c>
      <c r="L184" t="n">
        <v>1354</v>
      </c>
      <c r="N184" t="n">
        <v>1010</v>
      </c>
      <c r="O184" t="inlineStr">
        <is>
          <t>шт.</t>
        </is>
      </c>
      <c r="P184" t="inlineStr">
        <is>
          <t>шт.</t>
        </is>
      </c>
      <c r="Q184" t="n">
        <v>1</v>
      </c>
      <c r="W184" t="n">
        <v>0</v>
      </c>
      <c r="X184" t="n">
        <v>-228955380</v>
      </c>
      <c r="Y184">
        <f>AT184</f>
        <v/>
      </c>
      <c r="AA184" t="n">
        <v>237.77</v>
      </c>
      <c r="AB184" t="n">
        <v>0</v>
      </c>
      <c r="AC184" t="n">
        <v>0</v>
      </c>
      <c r="AD184" t="n">
        <v>0</v>
      </c>
      <c r="AE184" t="n">
        <v>140.69</v>
      </c>
      <c r="AF184" t="n">
        <v>0</v>
      </c>
      <c r="AG184" t="n">
        <v>0</v>
      </c>
      <c r="AH184" t="n">
        <v>0</v>
      </c>
      <c r="AI184" t="n">
        <v>1.69</v>
      </c>
      <c r="AJ184" t="n">
        <v>1</v>
      </c>
      <c r="AK184" t="n">
        <v>1</v>
      </c>
      <c r="AL184" t="n">
        <v>1</v>
      </c>
      <c r="AM184" t="n">
        <v>0</v>
      </c>
      <c r="AN184" t="n">
        <v>0</v>
      </c>
      <c r="AO184" t="n">
        <v>0</v>
      </c>
      <c r="AP184" t="n">
        <v>1</v>
      </c>
      <c r="AQ184" t="n">
        <v>0</v>
      </c>
      <c r="AR184" t="n">
        <v>0</v>
      </c>
      <c r="AS184" t="inlineStr"/>
      <c r="AT184" t="n">
        <v>100</v>
      </c>
      <c r="AU184" t="inlineStr"/>
      <c r="AV184" t="n">
        <v>0</v>
      </c>
      <c r="AW184" t="n">
        <v>1</v>
      </c>
      <c r="AX184" t="n">
        <v>-1</v>
      </c>
      <c r="AY184" t="n">
        <v>0</v>
      </c>
      <c r="AZ184" t="n">
        <v>0</v>
      </c>
      <c r="BA184" t="inlineStr"/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ROUND(Y184*Source!I380,7)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ROW(Source!A382)</f>
        <v/>
      </c>
      <c r="B185" t="n">
        <v>78869116</v>
      </c>
      <c r="C185" t="n">
        <v>78870151</v>
      </c>
      <c r="D185" t="n">
        <v>18409850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1-1035-90</t>
        </is>
      </c>
      <c r="J185" t="inlineStr"/>
      <c r="K185" t="inlineStr">
        <is>
          <t>Рабочий строитель среднего разряда 3,5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W185" t="n">
        <v>0</v>
      </c>
      <c r="X185" t="n">
        <v>855544366</v>
      </c>
      <c r="Y185">
        <f>AT185</f>
        <v/>
      </c>
      <c r="AA185" t="n">
        <v>0</v>
      </c>
      <c r="AB185" t="n">
        <v>0</v>
      </c>
      <c r="AC185" t="n">
        <v>0</v>
      </c>
      <c r="AD185" t="n">
        <v>9.07</v>
      </c>
      <c r="AE185" t="n">
        <v>0</v>
      </c>
      <c r="AF185" t="n">
        <v>0</v>
      </c>
      <c r="AG185" t="n">
        <v>0</v>
      </c>
      <c r="AH185" t="n">
        <v>9.07</v>
      </c>
      <c r="AI185" t="n">
        <v>1</v>
      </c>
      <c r="AJ185" t="n">
        <v>1</v>
      </c>
      <c r="AK185" t="n">
        <v>1</v>
      </c>
      <c r="AL185" t="n">
        <v>1</v>
      </c>
      <c r="AM185" t="n">
        <v>-2</v>
      </c>
      <c r="AN185" t="n">
        <v>0</v>
      </c>
      <c r="AO185" t="n">
        <v>1</v>
      </c>
      <c r="AP185" t="n">
        <v>1</v>
      </c>
      <c r="AQ185" t="n">
        <v>0</v>
      </c>
      <c r="AR185" t="n">
        <v>0</v>
      </c>
      <c r="AS185" t="inlineStr"/>
      <c r="AT185" t="n">
        <v>81</v>
      </c>
      <c r="AU185" t="inlineStr"/>
      <c r="AV185" t="n">
        <v>1</v>
      </c>
      <c r="AW185" t="n">
        <v>2</v>
      </c>
      <c r="AX185" t="n">
        <v>78870160</v>
      </c>
      <c r="AY185" t="n">
        <v>1</v>
      </c>
      <c r="AZ185" t="n">
        <v>0</v>
      </c>
      <c r="BA185" t="n">
        <v>172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U185">
        <f>ROUND(AT185*Source!I382*AH185*AL185,0)</f>
        <v/>
      </c>
      <c r="CV185">
        <f>ROUND(Y185*Source!I382,7)</f>
        <v/>
      </c>
      <c r="CW185" t="n">
        <v>0</v>
      </c>
      <c r="CX185">
        <f>ROUND(Y185*Source!I382,7)</f>
        <v/>
      </c>
      <c r="CY185">
        <f>AD185</f>
        <v/>
      </c>
      <c r="CZ185">
        <f>AH185</f>
        <v/>
      </c>
      <c r="DA185">
        <f>AL185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DI185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ROW(Source!A382)</f>
        <v/>
      </c>
      <c r="B186" t="n">
        <v>78869116</v>
      </c>
      <c r="C186" t="n">
        <v>78870151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W186" t="n">
        <v>0</v>
      </c>
      <c r="X186" t="n">
        <v>1230759911</v>
      </c>
      <c r="Y186">
        <f>AT186</f>
        <v/>
      </c>
      <c r="AA186" t="n">
        <v>0</v>
      </c>
      <c r="AB186" t="n">
        <v>2177.51</v>
      </c>
      <c r="AC186" t="n">
        <v>606.1</v>
      </c>
      <c r="AD186" t="n">
        <v>0</v>
      </c>
      <c r="AE186" t="n">
        <v>0</v>
      </c>
      <c r="AF186" t="n">
        <v>87.17</v>
      </c>
      <c r="AG186" t="n">
        <v>11.6</v>
      </c>
      <c r="AH186" t="n">
        <v>0</v>
      </c>
      <c r="AI186" t="n">
        <v>1</v>
      </c>
      <c r="AJ186" t="n">
        <v>24.98</v>
      </c>
      <c r="AK186" t="n">
        <v>52.25</v>
      </c>
      <c r="AL186" t="n">
        <v>1</v>
      </c>
      <c r="AM186" t="n">
        <v>2</v>
      </c>
      <c r="AN186" t="n">
        <v>0</v>
      </c>
      <c r="AO186" t="n">
        <v>1</v>
      </c>
      <c r="AP186" t="n">
        <v>1</v>
      </c>
      <c r="AQ186" t="n">
        <v>0</v>
      </c>
      <c r="AR186" t="n">
        <v>0</v>
      </c>
      <c r="AS186" t="inlineStr"/>
      <c r="AT186" t="n">
        <v>0.05</v>
      </c>
      <c r="AU186" t="inlineStr"/>
      <c r="AV186" t="n">
        <v>0</v>
      </c>
      <c r="AW186" t="n">
        <v>2</v>
      </c>
      <c r="AX186" t="n">
        <v>78870161</v>
      </c>
      <c r="AY186" t="n">
        <v>1</v>
      </c>
      <c r="AZ186" t="n">
        <v>0</v>
      </c>
      <c r="BA186" t="n">
        <v>173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V186" t="n">
        <v>0</v>
      </c>
      <c r="CW186">
        <f>ROUND(Y186*Source!I382*DO186,7)</f>
        <v/>
      </c>
      <c r="CX186">
        <f>ROUND(Y186*Source!I382,7)</f>
        <v/>
      </c>
      <c r="CY186">
        <f>AB186</f>
        <v/>
      </c>
      <c r="CZ186">
        <f>AF186</f>
        <v/>
      </c>
      <c r="DA186">
        <f>AJ186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ROUND(ROUND(AF186*AJ186,0)*CX186,0)</f>
        <v/>
      </c>
      <c r="DH186">
        <f>ROUND(ROUND(AG186*AK186,0)*CX186,0)</f>
        <v/>
      </c>
      <c r="DI186">
        <f>ROUND(ROUND(AH186,0)*CX186,0)</f>
        <v/>
      </c>
      <c r="DJ186">
        <f>DG186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ROW(Source!A382)</f>
        <v/>
      </c>
      <c r="B187" t="n">
        <v>78869116</v>
      </c>
      <c r="C187" t="n">
        <v>78870151</v>
      </c>
      <c r="D187" t="n">
        <v>29110398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101-0388</t>
        </is>
      </c>
      <c r="J187" t="inlineStr">
        <is>
          <t>ТССЦ Московской обл., 101-0388, приказ Минстроя России №675/пр от 28.02.2017 № 254/пр</t>
        </is>
      </c>
      <c r="K187" t="inlineStr">
        <is>
          <t>Краски масляные земляные марки МА-0115 мумия, сурик железный</t>
        </is>
      </c>
      <c r="L187" t="n">
        <v>1348</v>
      </c>
      <c r="N187" t="n">
        <v>1009</v>
      </c>
      <c r="O187" t="inlineStr">
        <is>
          <t>т</t>
        </is>
      </c>
      <c r="P187" t="inlineStr">
        <is>
          <t>т</t>
        </is>
      </c>
      <c r="Q187" t="n">
        <v>1000</v>
      </c>
      <c r="W187" t="n">
        <v>0</v>
      </c>
      <c r="X187" t="n">
        <v>1625292450</v>
      </c>
      <c r="Y187">
        <f>AT187</f>
        <v/>
      </c>
      <c r="AA187" t="n">
        <v>76804.47</v>
      </c>
      <c r="AB187" t="n">
        <v>0</v>
      </c>
      <c r="AC187" t="n">
        <v>0</v>
      </c>
      <c r="AD187" t="n">
        <v>0</v>
      </c>
      <c r="AE187" t="n">
        <v>15118.99</v>
      </c>
      <c r="AF187" t="n">
        <v>0</v>
      </c>
      <c r="AG187" t="n">
        <v>0</v>
      </c>
      <c r="AH187" t="n">
        <v>0</v>
      </c>
      <c r="AI187" t="n">
        <v>5.08</v>
      </c>
      <c r="AJ187" t="n">
        <v>1</v>
      </c>
      <c r="AK187" t="n">
        <v>1</v>
      </c>
      <c r="AL187" t="n">
        <v>1</v>
      </c>
      <c r="AM187" t="n">
        <v>2</v>
      </c>
      <c r="AN187" t="n">
        <v>0</v>
      </c>
      <c r="AO187" t="n">
        <v>1</v>
      </c>
      <c r="AP187" t="n">
        <v>1</v>
      </c>
      <c r="AQ187" t="n">
        <v>0</v>
      </c>
      <c r="AR187" t="n">
        <v>0</v>
      </c>
      <c r="AS187" t="inlineStr"/>
      <c r="AT187" t="n">
        <v>0.0014</v>
      </c>
      <c r="AU187" t="inlineStr"/>
      <c r="AV187" t="n">
        <v>0</v>
      </c>
      <c r="AW187" t="n">
        <v>2</v>
      </c>
      <c r="AX187" t="n">
        <v>78870162</v>
      </c>
      <c r="AY187" t="n">
        <v>1</v>
      </c>
      <c r="AZ187" t="n">
        <v>0</v>
      </c>
      <c r="BA187" t="n">
        <v>174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V187" t="n">
        <v>0</v>
      </c>
      <c r="CW187" t="n">
        <v>0</v>
      </c>
      <c r="CX187">
        <f>ROUND(Y187*Source!I382,7)</f>
        <v/>
      </c>
      <c r="CY187">
        <f>AA187</f>
        <v/>
      </c>
      <c r="CZ187">
        <f>AE187</f>
        <v/>
      </c>
      <c r="DA187">
        <f>AI187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ROUND(ROUND(AE187*AI187,0)*CX187,0)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DF187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ROW(Source!A382)</f>
        <v/>
      </c>
      <c r="B188" t="n">
        <v>78869116</v>
      </c>
      <c r="C188" t="n">
        <v>78870151</v>
      </c>
      <c r="D188" t="n">
        <v>29110573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101-0628</t>
        </is>
      </c>
      <c r="J188" t="inlineStr">
        <is>
          <t>ТССЦ Московской обл., 101-0628, приказ Минстроя России №675/пр от 28.02.2017 № 254/пр</t>
        </is>
      </c>
      <c r="K188" t="inlineStr">
        <is>
          <t>Олифа комбинированная, марки К-3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W188" t="n">
        <v>0</v>
      </c>
      <c r="X188" t="n">
        <v>24062879</v>
      </c>
      <c r="Y188">
        <f>AT188</f>
        <v/>
      </c>
      <c r="AA188" t="n">
        <v>87631.5</v>
      </c>
      <c r="AB188" t="n">
        <v>0</v>
      </c>
      <c r="AC188" t="n">
        <v>0</v>
      </c>
      <c r="AD188" t="n">
        <v>0</v>
      </c>
      <c r="AE188" t="n">
        <v>16950</v>
      </c>
      <c r="AF188" t="n">
        <v>0</v>
      </c>
      <c r="AG188" t="n">
        <v>0</v>
      </c>
      <c r="AH188" t="n">
        <v>0</v>
      </c>
      <c r="AI188" t="n">
        <v>5.17</v>
      </c>
      <c r="AJ188" t="n">
        <v>1</v>
      </c>
      <c r="AK188" t="n">
        <v>1</v>
      </c>
      <c r="AL188" t="n">
        <v>1</v>
      </c>
      <c r="AM188" t="n">
        <v>2</v>
      </c>
      <c r="AN188" t="n">
        <v>0</v>
      </c>
      <c r="AO188" t="n">
        <v>1</v>
      </c>
      <c r="AP188" t="n">
        <v>1</v>
      </c>
      <c r="AQ188" t="n">
        <v>0</v>
      </c>
      <c r="AR188" t="n">
        <v>0</v>
      </c>
      <c r="AS188" t="inlineStr"/>
      <c r="AT188" t="n">
        <v>0.0007</v>
      </c>
      <c r="AU188" t="inlineStr"/>
      <c r="AV188" t="n">
        <v>0</v>
      </c>
      <c r="AW188" t="n">
        <v>2</v>
      </c>
      <c r="AX188" t="n">
        <v>78870163</v>
      </c>
      <c r="AY188" t="n">
        <v>1</v>
      </c>
      <c r="AZ188" t="n">
        <v>0</v>
      </c>
      <c r="BA188" t="n">
        <v>175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ROUND(Y188*Source!I382,7)</f>
        <v/>
      </c>
      <c r="CY188">
        <f>AA188</f>
        <v/>
      </c>
      <c r="CZ188">
        <f>AE188</f>
        <v/>
      </c>
      <c r="DA188">
        <f>AI188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ROUND(ROUND(AE188*AI188,0)*CX188,0)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DF188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ROW(Source!A382)</f>
        <v/>
      </c>
      <c r="B189" t="n">
        <v>78869116</v>
      </c>
      <c r="C189" t="n">
        <v>78870151</v>
      </c>
      <c r="D189" t="n">
        <v>29107963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101-1669</t>
        </is>
      </c>
      <c r="J189" t="inlineStr">
        <is>
          <t>ТССЦ Московской обл., 101-1669, приказ Минстроя России №675/пр от 28.02.2017 № 254/пр</t>
        </is>
      </c>
      <c r="K189" t="inlineStr">
        <is>
          <t>Очес льняной</t>
        </is>
      </c>
      <c r="L189" t="n">
        <v>1346</v>
      </c>
      <c r="N189" t="n">
        <v>1009</v>
      </c>
      <c r="O189" t="inlineStr">
        <is>
          <t>кг</t>
        </is>
      </c>
      <c r="P189" t="inlineStr">
        <is>
          <t>кг</t>
        </is>
      </c>
      <c r="Q189" t="n">
        <v>1</v>
      </c>
      <c r="W189" t="n">
        <v>0</v>
      </c>
      <c r="X189" t="n">
        <v>-2113933962</v>
      </c>
      <c r="Y189">
        <f>AT189</f>
        <v/>
      </c>
      <c r="AA189" t="n">
        <v>590.67</v>
      </c>
      <c r="AB189" t="n">
        <v>0</v>
      </c>
      <c r="AC189" t="n">
        <v>0</v>
      </c>
      <c r="AD189" t="n">
        <v>0</v>
      </c>
      <c r="AE189" t="n">
        <v>37.29</v>
      </c>
      <c r="AF189" t="n">
        <v>0</v>
      </c>
      <c r="AG189" t="n">
        <v>0</v>
      </c>
      <c r="AH189" t="n">
        <v>0</v>
      </c>
      <c r="AI189" t="n">
        <v>15.84</v>
      </c>
      <c r="AJ189" t="n">
        <v>1</v>
      </c>
      <c r="AK189" t="n">
        <v>1</v>
      </c>
      <c r="AL189" t="n">
        <v>1</v>
      </c>
      <c r="AM189" t="n">
        <v>2</v>
      </c>
      <c r="AN189" t="n">
        <v>0</v>
      </c>
      <c r="AO189" t="n">
        <v>1</v>
      </c>
      <c r="AP189" t="n">
        <v>1</v>
      </c>
      <c r="AQ189" t="n">
        <v>0</v>
      </c>
      <c r="AR189" t="n">
        <v>0</v>
      </c>
      <c r="AS189" t="inlineStr"/>
      <c r="AT189" t="n">
        <v>0.7</v>
      </c>
      <c r="AU189" t="inlineStr"/>
      <c r="AV189" t="n">
        <v>0</v>
      </c>
      <c r="AW189" t="n">
        <v>2</v>
      </c>
      <c r="AX189" t="n">
        <v>78870164</v>
      </c>
      <c r="AY189" t="n">
        <v>1</v>
      </c>
      <c r="AZ189" t="n">
        <v>0</v>
      </c>
      <c r="BA189" t="n">
        <v>176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 t="n">
        <v>0</v>
      </c>
      <c r="CX189">
        <f>ROUND(Y189*Source!I382,7)</f>
        <v/>
      </c>
      <c r="CY189">
        <f>AA189</f>
        <v/>
      </c>
      <c r="CZ189">
        <f>AE189</f>
        <v/>
      </c>
      <c r="DA189">
        <f>AI189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ROUND(ROUND(AE189*AI189,0)*CX189,0)</f>
        <v/>
      </c>
      <c r="DG189">
        <f>ROUND(ROUND(AF189,0)*CX189,0)</f>
        <v/>
      </c>
      <c r="DH189">
        <f>ROUND(ROUND(AG189,0)*CX189,0)</f>
        <v/>
      </c>
      <c r="DI189">
        <f>ROUND(ROUND(AH189,0)*CX189,0)</f>
        <v/>
      </c>
      <c r="DJ189">
        <f>DF189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ROW(Source!A382)</f>
        <v/>
      </c>
      <c r="B190" t="n">
        <v>78869116</v>
      </c>
      <c r="C190" t="n">
        <v>78870151</v>
      </c>
      <c r="D190" t="n">
        <v>29143378</v>
      </c>
      <c r="E190" t="n">
        <v>1</v>
      </c>
      <c r="F190" t="n">
        <v>1</v>
      </c>
      <c r="G190" t="n">
        <v>1</v>
      </c>
      <c r="H190" t="n">
        <v>3</v>
      </c>
      <c r="I190" t="inlineStr">
        <is>
          <t>302-0062</t>
        </is>
      </c>
      <c r="J190" t="inlineStr">
        <is>
          <t>ТССЦ Московской обл., 302-0062, приказ Минстроя России №675/пр от 28.02.2017 № 256/пр</t>
        </is>
      </c>
      <c r="K190" t="inlineStr">
        <is>
          <t>Кран шаровый муфтовый Valtec для воды диаметром 15 мм, тип в/в</t>
        </is>
      </c>
      <c r="L190" t="n">
        <v>1354</v>
      </c>
      <c r="N190" t="n">
        <v>1010</v>
      </c>
      <c r="O190" t="inlineStr">
        <is>
          <t>шт.</t>
        </is>
      </c>
      <c r="P190" t="inlineStr">
        <is>
          <t>шт.</t>
        </is>
      </c>
      <c r="Q190" t="n">
        <v>1</v>
      </c>
      <c r="W190" t="n">
        <v>0</v>
      </c>
      <c r="X190" t="n">
        <v>-1687406522</v>
      </c>
      <c r="Y190">
        <f>AT190</f>
        <v/>
      </c>
      <c r="AA190" t="n">
        <v>384.3</v>
      </c>
      <c r="AB190" t="n">
        <v>0</v>
      </c>
      <c r="AC190" t="n">
        <v>0</v>
      </c>
      <c r="AD190" t="n">
        <v>0</v>
      </c>
      <c r="AE190" t="n">
        <v>28.53</v>
      </c>
      <c r="AF190" t="n">
        <v>0</v>
      </c>
      <c r="AG190" t="n">
        <v>0</v>
      </c>
      <c r="AH190" t="n">
        <v>0</v>
      </c>
      <c r="AI190" t="n">
        <v>13.47</v>
      </c>
      <c r="AJ190" t="n">
        <v>1</v>
      </c>
      <c r="AK190" t="n">
        <v>1</v>
      </c>
      <c r="AL190" t="n">
        <v>1</v>
      </c>
      <c r="AM190" t="n">
        <v>0</v>
      </c>
      <c r="AN190" t="n">
        <v>0</v>
      </c>
      <c r="AO190" t="n">
        <v>0</v>
      </c>
      <c r="AP190" t="n">
        <v>1</v>
      </c>
      <c r="AQ190" t="n">
        <v>0</v>
      </c>
      <c r="AR190" t="n">
        <v>0</v>
      </c>
      <c r="AS190" t="inlineStr"/>
      <c r="AT190" t="n">
        <v>100</v>
      </c>
      <c r="AU190" t="inlineStr"/>
      <c r="AV190" t="n">
        <v>0</v>
      </c>
      <c r="AW190" t="n">
        <v>1</v>
      </c>
      <c r="AX190" t="n">
        <v>-1</v>
      </c>
      <c r="AY190" t="n">
        <v>0</v>
      </c>
      <c r="AZ190" t="n">
        <v>0</v>
      </c>
      <c r="BA190" t="inlineStr"/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 t="n">
        <v>0</v>
      </c>
      <c r="CX190">
        <f>ROUND(Y190*Source!I382,7)</f>
        <v/>
      </c>
      <c r="CY190">
        <f>AA190</f>
        <v/>
      </c>
      <c r="CZ190">
        <f>AE190</f>
        <v/>
      </c>
      <c r="DA190">
        <f>AI190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ROUND(ROUND(AE190*AI190,0)*CX190,0)</f>
        <v/>
      </c>
      <c r="DG190">
        <f>ROUND(ROUND(AF190,0)*CX190,0)</f>
        <v/>
      </c>
      <c r="DH190">
        <f>ROUND(ROUND(AG190,0)*CX190,0)</f>
        <v/>
      </c>
      <c r="DI190">
        <f>ROUND(ROUND(AH190,0)*CX190,0)</f>
        <v/>
      </c>
      <c r="DJ190">
        <f>DF190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ROW(Source!A382)</f>
        <v/>
      </c>
      <c r="B191" t="n">
        <v>78869116</v>
      </c>
      <c r="C191" t="n">
        <v>78870151</v>
      </c>
      <c r="D191" t="n">
        <v>29142465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302-1342</t>
        </is>
      </c>
      <c r="J191" t="inlineStr">
        <is>
          <t>ТССЦ Московской обл., 302-1342, приказ Минстроя России №675/пр от 28.02.2017 № 256/пр</t>
        </is>
      </c>
      <c r="K191" t="inlineStr">
        <is>
          <t>Вентили проходные муфтовые 15кч18п для воды давлением 1,6 МПа (16 кгс/см2), диаметром 20 мм</t>
        </is>
      </c>
      <c r="L191" t="n">
        <v>1354</v>
      </c>
      <c r="N191" t="n">
        <v>1010</v>
      </c>
      <c r="O191" t="inlineStr">
        <is>
          <t>шт.</t>
        </is>
      </c>
      <c r="P191" t="inlineStr">
        <is>
          <t>шт.</t>
        </is>
      </c>
      <c r="Q191" t="n">
        <v>1</v>
      </c>
      <c r="W191" t="n">
        <v>0</v>
      </c>
      <c r="X191" t="n">
        <v>-852705161</v>
      </c>
      <c r="Y191">
        <f>AT191</f>
        <v/>
      </c>
      <c r="AA191" t="n">
        <v>221.81</v>
      </c>
      <c r="AB191" t="n">
        <v>0</v>
      </c>
      <c r="AC191" t="n">
        <v>0</v>
      </c>
      <c r="AD191" t="n">
        <v>0</v>
      </c>
      <c r="AE191" t="n">
        <v>21.81</v>
      </c>
      <c r="AF191" t="n">
        <v>0</v>
      </c>
      <c r="AG191" t="n">
        <v>0</v>
      </c>
      <c r="AH191" t="n">
        <v>0</v>
      </c>
      <c r="AI191" t="n">
        <v>10.17</v>
      </c>
      <c r="AJ191" t="n">
        <v>1</v>
      </c>
      <c r="AK191" t="n">
        <v>1</v>
      </c>
      <c r="AL191" t="n">
        <v>1</v>
      </c>
      <c r="AM191" t="n">
        <v>2</v>
      </c>
      <c r="AN191" t="n">
        <v>0</v>
      </c>
      <c r="AO191" t="n">
        <v>1</v>
      </c>
      <c r="AP191" t="n">
        <v>1</v>
      </c>
      <c r="AQ191" t="n">
        <v>0</v>
      </c>
      <c r="AR191" t="n">
        <v>0</v>
      </c>
      <c r="AS191" t="inlineStr"/>
      <c r="AT191" t="n">
        <v>100</v>
      </c>
      <c r="AU191" t="inlineStr"/>
      <c r="AV191" t="n">
        <v>0</v>
      </c>
      <c r="AW191" t="n">
        <v>2</v>
      </c>
      <c r="AX191" t="n">
        <v>78870165</v>
      </c>
      <c r="AY191" t="n">
        <v>1</v>
      </c>
      <c r="AZ191" t="n">
        <v>0</v>
      </c>
      <c r="BA191" t="n">
        <v>177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 t="n">
        <v>0</v>
      </c>
      <c r="CX191">
        <f>ROUND(Y191*Source!I382,7)</f>
        <v/>
      </c>
      <c r="CY191">
        <f>AA191</f>
        <v/>
      </c>
      <c r="CZ191">
        <f>AE191</f>
        <v/>
      </c>
      <c r="DA191">
        <f>AI191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ROUND(ROUND(AE191*AI191,0)*CX191,0)</f>
        <v/>
      </c>
      <c r="DG191">
        <f>ROUND(ROUND(AF191,0)*CX191,0)</f>
        <v/>
      </c>
      <c r="DH191">
        <f>ROUND(ROUND(AG191,0)*CX191,0)</f>
        <v/>
      </c>
      <c r="DI191">
        <f>ROUND(ROUND(AH191,0)*CX191,0)</f>
        <v/>
      </c>
      <c r="DJ191">
        <f>DF191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ROW(Source!A382)</f>
        <v/>
      </c>
      <c r="B192" t="n">
        <v>78869116</v>
      </c>
      <c r="C192" t="n">
        <v>78870151</v>
      </c>
      <c r="D192" t="n">
        <v>29164350</v>
      </c>
      <c r="E192" t="n">
        <v>1</v>
      </c>
      <c r="F192" t="n">
        <v>1</v>
      </c>
      <c r="G192" t="n">
        <v>1</v>
      </c>
      <c r="H192" t="n">
        <v>3</v>
      </c>
      <c r="I192" t="inlineStr">
        <is>
          <t>509-9899</t>
        </is>
      </c>
      <c r="J192" t="inlineStr">
        <is>
          <t>ТССЦ Московской обл., 509-9899, приказ Минстроя России №675/пр от 28.02.2017 № 258/пр</t>
        </is>
      </c>
      <c r="K192" t="inlineStr">
        <is>
          <t>Строительный мусор и масса возвратных материалов</t>
        </is>
      </c>
      <c r="L192" t="n">
        <v>1348</v>
      </c>
      <c r="N192" t="n">
        <v>1009</v>
      </c>
      <c r="O192" t="inlineStr">
        <is>
          <t>т</t>
        </is>
      </c>
      <c r="P192" t="inlineStr">
        <is>
          <t>т</t>
        </is>
      </c>
      <c r="Q192" t="n">
        <v>1000</v>
      </c>
      <c r="W192" t="n">
        <v>0</v>
      </c>
      <c r="X192" t="n">
        <v>1839160745</v>
      </c>
      <c r="Y192">
        <f>AT192</f>
        <v/>
      </c>
      <c r="AA192" t="n">
        <v>0</v>
      </c>
      <c r="AB192" t="n">
        <v>0</v>
      </c>
      <c r="AC192" t="n">
        <v>0</v>
      </c>
      <c r="AD192" t="n">
        <v>0</v>
      </c>
      <c r="AE192" t="n">
        <v>0</v>
      </c>
      <c r="AF192" t="n">
        <v>0</v>
      </c>
      <c r="AG192" t="n">
        <v>0</v>
      </c>
      <c r="AH192" t="n">
        <v>0</v>
      </c>
      <c r="AI192" t="n">
        <v>1</v>
      </c>
      <c r="AJ192" t="n">
        <v>1</v>
      </c>
      <c r="AK192" t="n">
        <v>1</v>
      </c>
      <c r="AL192" t="n">
        <v>1</v>
      </c>
      <c r="AM192" t="n">
        <v>0</v>
      </c>
      <c r="AN192" t="n">
        <v>0</v>
      </c>
      <c r="AO192" t="n">
        <v>0</v>
      </c>
      <c r="AP192" t="n">
        <v>1</v>
      </c>
      <c r="AQ192" t="n">
        <v>0</v>
      </c>
      <c r="AR192" t="n">
        <v>0</v>
      </c>
      <c r="AS192" t="inlineStr"/>
      <c r="AT192" t="n">
        <v>0.04</v>
      </c>
      <c r="AU192" t="inlineStr"/>
      <c r="AV192" t="n">
        <v>0</v>
      </c>
      <c r="AW192" t="n">
        <v>2</v>
      </c>
      <c r="AX192" t="n">
        <v>78870166</v>
      </c>
      <c r="AY192" t="n">
        <v>1</v>
      </c>
      <c r="AZ192" t="n">
        <v>0</v>
      </c>
      <c r="BA192" t="n">
        <v>178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 t="n">
        <v>0</v>
      </c>
      <c r="CX192">
        <f>ROUND(Y192*Source!I382,7)</f>
        <v/>
      </c>
      <c r="CY192">
        <f>AA192</f>
        <v/>
      </c>
      <c r="CZ192">
        <f>AE192</f>
        <v/>
      </c>
      <c r="DA192">
        <f>AI192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ROUND(ROUND(AF192,0)*CX192,0)</f>
        <v/>
      </c>
      <c r="DH192">
        <f>ROUND(ROUND(AG192,0)*CX192,0)</f>
        <v/>
      </c>
      <c r="DI192">
        <f>ROUND(ROUND(AH192,0)*CX192,0)</f>
        <v/>
      </c>
      <c r="DJ192">
        <f>DF192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ROW(Source!A385)</f>
        <v/>
      </c>
      <c r="B193" t="n">
        <v>78869116</v>
      </c>
      <c r="C193" t="n">
        <v>78870169</v>
      </c>
      <c r="D193" t="n">
        <v>18442827</v>
      </c>
      <c r="E193" t="n">
        <v>1</v>
      </c>
      <c r="F193" t="n">
        <v>1</v>
      </c>
      <c r="G193" t="n">
        <v>1</v>
      </c>
      <c r="H193" t="n">
        <v>1</v>
      </c>
      <c r="I193" t="inlineStr">
        <is>
          <t>1-1053-90</t>
        </is>
      </c>
      <c r="J193" t="inlineStr"/>
      <c r="K193" t="inlineStr">
        <is>
          <t>Рабочий строитель среднего разряда 5,3</t>
        </is>
      </c>
      <c r="L193" t="n">
        <v>1369</v>
      </c>
      <c r="N193" t="n">
        <v>1013</v>
      </c>
      <c r="O193" t="inlineStr">
        <is>
          <t>чел.-ч</t>
        </is>
      </c>
      <c r="P193" t="inlineStr">
        <is>
          <t>чел.-ч</t>
        </is>
      </c>
      <c r="Q193" t="n">
        <v>1</v>
      </c>
      <c r="W193" t="n">
        <v>0</v>
      </c>
      <c r="X193" t="n">
        <v>717490484</v>
      </c>
      <c r="Y193">
        <f>(AT193*ROUND(5,7))</f>
        <v/>
      </c>
      <c r="AA193" t="n">
        <v>0</v>
      </c>
      <c r="AB193" t="n">
        <v>0</v>
      </c>
      <c r="AC193" t="n">
        <v>0</v>
      </c>
      <c r="AD193" t="n">
        <v>11.64</v>
      </c>
      <c r="AE193" t="n">
        <v>0</v>
      </c>
      <c r="AF193" t="n">
        <v>0</v>
      </c>
      <c r="AG193" t="n">
        <v>0</v>
      </c>
      <c r="AH193" t="n">
        <v>11.64</v>
      </c>
      <c r="AI193" t="n">
        <v>1</v>
      </c>
      <c r="AJ193" t="n">
        <v>1</v>
      </c>
      <c r="AK193" t="n">
        <v>1</v>
      </c>
      <c r="AL193" t="n">
        <v>1</v>
      </c>
      <c r="AM193" t="n">
        <v>-2</v>
      </c>
      <c r="AN193" t="n">
        <v>0</v>
      </c>
      <c r="AO193" t="n">
        <v>1</v>
      </c>
      <c r="AP193" t="n">
        <v>1</v>
      </c>
      <c r="AQ193" t="n">
        <v>0</v>
      </c>
      <c r="AR193" t="n">
        <v>0</v>
      </c>
      <c r="AS193" t="inlineStr"/>
      <c r="AT193" t="n">
        <v>5.01</v>
      </c>
      <c r="AU193" t="inlineStr">
        <is>
          <t>)*5</t>
        </is>
      </c>
      <c r="AV193" t="n">
        <v>1</v>
      </c>
      <c r="AW193" t="n">
        <v>2</v>
      </c>
      <c r="AX193" t="n">
        <v>78870176</v>
      </c>
      <c r="AY193" t="n">
        <v>1</v>
      </c>
      <c r="AZ193" t="n">
        <v>2048</v>
      </c>
      <c r="BA193" t="n">
        <v>179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U193">
        <f>ROUND(AT193*Source!I385*AH193*AL193,0)</f>
        <v/>
      </c>
      <c r="CV193">
        <f>ROUND(Y193*Source!I385,7)</f>
        <v/>
      </c>
      <c r="CW193" t="n">
        <v>0</v>
      </c>
      <c r="CX193">
        <f>ROUND(Y193*Source!I385,7)</f>
        <v/>
      </c>
      <c r="CY193">
        <f>AD193</f>
        <v/>
      </c>
      <c r="CZ193">
        <f>AH193</f>
        <v/>
      </c>
      <c r="DA193">
        <f>AL193</f>
        <v/>
      </c>
      <c r="DB193">
        <f>ROUND((ROUND(AT193*CZ193,2)*ROUND(5,7)),2)</f>
        <v/>
      </c>
      <c r="DC193">
        <f>ROUND((ROUND(AT193*AG193,2)*ROUND(5,7)),2)</f>
        <v/>
      </c>
      <c r="DD193" t="inlineStr"/>
      <c r="DE193" t="inlineStr"/>
      <c r="DF193">
        <f>ROUND(ROUND(AE193,0)*CX193,0)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DI193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ROW(Source!A385)</f>
        <v/>
      </c>
      <c r="B194" t="n">
        <v>78869116</v>
      </c>
      <c r="C194" t="n">
        <v>78870169</v>
      </c>
      <c r="D194" t="n">
        <v>29172703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042900</t>
        </is>
      </c>
      <c r="J194" t="inlineStr">
        <is>
          <t>ТСЭМ Московской обл., 042900, приказ Минстроя России №675/пр от 28.02.2017 № 264/пр</t>
        </is>
      </c>
      <c r="K1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W194" t="n">
        <v>0</v>
      </c>
      <c r="X194" t="n">
        <v>1695838894</v>
      </c>
      <c r="Y194">
        <f>(AT194*ROUND(5,7))</f>
        <v/>
      </c>
      <c r="AA194" t="n">
        <v>0</v>
      </c>
      <c r="AB194" t="n">
        <v>177.13</v>
      </c>
      <c r="AC194" t="n">
        <v>0</v>
      </c>
      <c r="AD194" t="n">
        <v>0</v>
      </c>
      <c r="AE194" t="n">
        <v>0</v>
      </c>
      <c r="AF194" t="n">
        <v>29.67</v>
      </c>
      <c r="AG194" t="n">
        <v>0</v>
      </c>
      <c r="AH194" t="n">
        <v>0</v>
      </c>
      <c r="AI194" t="n">
        <v>1</v>
      </c>
      <c r="AJ194" t="n">
        <v>5.97</v>
      </c>
      <c r="AK194" t="n">
        <v>52.25</v>
      </c>
      <c r="AL194" t="n">
        <v>1</v>
      </c>
      <c r="AM194" t="n">
        <v>2</v>
      </c>
      <c r="AN194" t="n">
        <v>0</v>
      </c>
      <c r="AO194" t="n">
        <v>1</v>
      </c>
      <c r="AP194" t="n">
        <v>1</v>
      </c>
      <c r="AQ194" t="n">
        <v>0</v>
      </c>
      <c r="AR194" t="n">
        <v>0</v>
      </c>
      <c r="AS194" t="inlineStr"/>
      <c r="AT194" t="n">
        <v>1.5</v>
      </c>
      <c r="AU194" t="inlineStr">
        <is>
          <t>)*5</t>
        </is>
      </c>
      <c r="AV194" t="n">
        <v>0</v>
      </c>
      <c r="AW194" t="n">
        <v>2</v>
      </c>
      <c r="AX194" t="n">
        <v>78870177</v>
      </c>
      <c r="AY194" t="n">
        <v>1</v>
      </c>
      <c r="AZ194" t="n">
        <v>0</v>
      </c>
      <c r="BA194" t="n">
        <v>180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>
        <f>ROUND(Y194*Source!I385*DO194,7)</f>
        <v/>
      </c>
      <c r="CX194">
        <f>ROUND(Y194*Source!I385,7)</f>
        <v/>
      </c>
      <c r="CY194">
        <f>AB194</f>
        <v/>
      </c>
      <c r="CZ194">
        <f>AF194</f>
        <v/>
      </c>
      <c r="DA194">
        <f>AJ194</f>
        <v/>
      </c>
      <c r="DB194">
        <f>ROUND((ROUND(AT194*CZ194,2)*ROUND(5,7)),2)</f>
        <v/>
      </c>
      <c r="DC194">
        <f>ROUND((ROUND(AT194*AG194,2)*ROUND(5,7)),2)</f>
        <v/>
      </c>
      <c r="DD194" t="inlineStr"/>
      <c r="DE194" t="inlineStr"/>
      <c r="DF194">
        <f>ROUND(ROUND(AE194,0)*CX194,0)</f>
        <v/>
      </c>
      <c r="DG194">
        <f>ROUND(ROUND(AF194*AJ194,0)*CX194,0)</f>
        <v/>
      </c>
      <c r="DH194">
        <f>ROUND(ROUND(AG194*AK194,0)*CX194,0)</f>
        <v/>
      </c>
      <c r="DI194">
        <f>ROUND(ROUND(AH194,0)*CX194,0)</f>
        <v/>
      </c>
      <c r="DJ194">
        <f>DG194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ROW(Source!A385)</f>
        <v/>
      </c>
      <c r="B195" t="n">
        <v>78869116</v>
      </c>
      <c r="C195" t="n">
        <v>78870169</v>
      </c>
      <c r="D195" t="n">
        <v>29110398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101-0388</t>
        </is>
      </c>
      <c r="J195" t="inlineStr">
        <is>
          <t>ТССЦ Московской обл., 101-0388, приказ Минстроя России №675/пр от 28.02.2017 № 254/пр</t>
        </is>
      </c>
      <c r="K195" t="inlineStr">
        <is>
          <t>Краски масляные земляные марки МА-0115 мумия, сурик железный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W195" t="n">
        <v>0</v>
      </c>
      <c r="X195" t="n">
        <v>1625292450</v>
      </c>
      <c r="Y195">
        <f>(AT195*ROUND(5,7))</f>
        <v/>
      </c>
      <c r="AA195" t="n">
        <v>76804.47</v>
      </c>
      <c r="AB195" t="n">
        <v>0</v>
      </c>
      <c r="AC195" t="n">
        <v>0</v>
      </c>
      <c r="AD195" t="n">
        <v>0</v>
      </c>
      <c r="AE195" t="n">
        <v>15118.99</v>
      </c>
      <c r="AF195" t="n">
        <v>0</v>
      </c>
      <c r="AG195" t="n">
        <v>0</v>
      </c>
      <c r="AH195" t="n">
        <v>0</v>
      </c>
      <c r="AI195" t="n">
        <v>5.08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1</v>
      </c>
      <c r="AQ195" t="n">
        <v>0</v>
      </c>
      <c r="AR195" t="n">
        <v>0</v>
      </c>
      <c r="AS195" t="inlineStr"/>
      <c r="AT195" t="n">
        <v>5e-05</v>
      </c>
      <c r="AU195" t="inlineStr">
        <is>
          <t>)*5</t>
        </is>
      </c>
      <c r="AV195" t="n">
        <v>0</v>
      </c>
      <c r="AW195" t="n">
        <v>2</v>
      </c>
      <c r="AX195" t="n">
        <v>78870178</v>
      </c>
      <c r="AY195" t="n">
        <v>1</v>
      </c>
      <c r="AZ195" t="n">
        <v>0</v>
      </c>
      <c r="BA195" t="n">
        <v>181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ROUND(Y195*Source!I385,7)</f>
        <v/>
      </c>
      <c r="CY195">
        <f>AA195</f>
        <v/>
      </c>
      <c r="CZ195">
        <f>AE195</f>
        <v/>
      </c>
      <c r="DA195">
        <f>AI195</f>
        <v/>
      </c>
      <c r="DB195">
        <f>ROUND((ROUND(AT195*CZ195,2)*ROUND(5,7)),2)</f>
        <v/>
      </c>
      <c r="DC195">
        <f>ROUND((ROUND(AT195*AG195,2)*ROUND(5,7)),2)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ROW(Source!A385)</f>
        <v/>
      </c>
      <c r="B196" t="n">
        <v>78869116</v>
      </c>
      <c r="C196" t="n">
        <v>78870169</v>
      </c>
      <c r="D196" t="n">
        <v>29110573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101-0628</t>
        </is>
      </c>
      <c r="J196" t="inlineStr">
        <is>
          <t>ТССЦ Московской обл., 101-0628, приказ Минстроя России №675/пр от 28.02.2017 № 254/пр</t>
        </is>
      </c>
      <c r="K196" t="inlineStr">
        <is>
          <t>Олифа комбинированная, марки К-3</t>
        </is>
      </c>
      <c r="L196" t="n">
        <v>1348</v>
      </c>
      <c r="N196" t="n">
        <v>1009</v>
      </c>
      <c r="O196" t="inlineStr">
        <is>
          <t>т</t>
        </is>
      </c>
      <c r="P196" t="inlineStr">
        <is>
          <t>т</t>
        </is>
      </c>
      <c r="Q196" t="n">
        <v>1000</v>
      </c>
      <c r="W196" t="n">
        <v>0</v>
      </c>
      <c r="X196" t="n">
        <v>24062879</v>
      </c>
      <c r="Y196">
        <f>(AT196*ROUND(5,7))</f>
        <v/>
      </c>
      <c r="AA196" t="n">
        <v>87631.5</v>
      </c>
      <c r="AB196" t="n">
        <v>0</v>
      </c>
      <c r="AC196" t="n">
        <v>0</v>
      </c>
      <c r="AD196" t="n">
        <v>0</v>
      </c>
      <c r="AE196" t="n">
        <v>16950</v>
      </c>
      <c r="AF196" t="n">
        <v>0</v>
      </c>
      <c r="AG196" t="n">
        <v>0</v>
      </c>
      <c r="AH196" t="n">
        <v>0</v>
      </c>
      <c r="AI196" t="n">
        <v>5.17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1</v>
      </c>
      <c r="AQ196" t="n">
        <v>0</v>
      </c>
      <c r="AR196" t="n">
        <v>0</v>
      </c>
      <c r="AS196" t="inlineStr"/>
      <c r="AT196" t="n">
        <v>2e-05</v>
      </c>
      <c r="AU196" t="inlineStr">
        <is>
          <t>)*5</t>
        </is>
      </c>
      <c r="AV196" t="n">
        <v>0</v>
      </c>
      <c r="AW196" t="n">
        <v>2</v>
      </c>
      <c r="AX196" t="n">
        <v>78870179</v>
      </c>
      <c r="AY196" t="n">
        <v>1</v>
      </c>
      <c r="AZ196" t="n">
        <v>0</v>
      </c>
      <c r="BA196" t="n">
        <v>182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ROUND(Y196*Source!I385,7)</f>
        <v/>
      </c>
      <c r="CY196">
        <f>AA196</f>
        <v/>
      </c>
      <c r="CZ196">
        <f>AE196</f>
        <v/>
      </c>
      <c r="DA196">
        <f>AI196</f>
        <v/>
      </c>
      <c r="DB196">
        <f>ROUND((ROUND(AT196*CZ196,2)*ROUND(5,7)),2)</f>
        <v/>
      </c>
      <c r="DC196">
        <f>ROUND((ROUND(AT196*AG196,2)*ROUND(5,7)),2)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ROW(Source!A385)</f>
        <v/>
      </c>
      <c r="B197" t="n">
        <v>78869116</v>
      </c>
      <c r="C197" t="n">
        <v>78870169</v>
      </c>
      <c r="D197" t="n">
        <v>29107963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101-1669</t>
        </is>
      </c>
      <c r="J197" t="inlineStr">
        <is>
          <t>ТССЦ Московской обл., 101-1669, приказ Минстроя России №675/пр от 28.02.2017 № 254/пр</t>
        </is>
      </c>
      <c r="K197" t="inlineStr">
        <is>
          <t>Очес льняной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-2113933962</v>
      </c>
      <c r="Y197">
        <f>(AT197*ROUND(5,7))</f>
        <v/>
      </c>
      <c r="AA197" t="n">
        <v>590.67</v>
      </c>
      <c r="AB197" t="n">
        <v>0</v>
      </c>
      <c r="AC197" t="n">
        <v>0</v>
      </c>
      <c r="AD197" t="n">
        <v>0</v>
      </c>
      <c r="AE197" t="n">
        <v>37.29</v>
      </c>
      <c r="AF197" t="n">
        <v>0</v>
      </c>
      <c r="AG197" t="n">
        <v>0</v>
      </c>
      <c r="AH197" t="n">
        <v>0</v>
      </c>
      <c r="AI197" t="n">
        <v>15.84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1</v>
      </c>
      <c r="AQ197" t="n">
        <v>0</v>
      </c>
      <c r="AR197" t="n">
        <v>0</v>
      </c>
      <c r="AS197" t="inlineStr"/>
      <c r="AT197" t="n">
        <v>0.02</v>
      </c>
      <c r="AU197" t="inlineStr">
        <is>
          <t>)*5</t>
        </is>
      </c>
      <c r="AV197" t="n">
        <v>0</v>
      </c>
      <c r="AW197" t="n">
        <v>2</v>
      </c>
      <c r="AX197" t="n">
        <v>78870180</v>
      </c>
      <c r="AY197" t="n">
        <v>1</v>
      </c>
      <c r="AZ197" t="n">
        <v>0</v>
      </c>
      <c r="BA197" t="n">
        <v>183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ROUND(Y197*Source!I385,7)</f>
        <v/>
      </c>
      <c r="CY197">
        <f>AA197</f>
        <v/>
      </c>
      <c r="CZ197">
        <f>AE197</f>
        <v/>
      </c>
      <c r="DA197">
        <f>AI197</f>
        <v/>
      </c>
      <c r="DB197">
        <f>ROUND((ROUND(AT197*CZ197,2)*ROUND(5,7)),2)</f>
        <v/>
      </c>
      <c r="DC197">
        <f>ROUND((ROUND(AT197*AG197,2)*ROUND(5,7)),2)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ROW(Source!A385)</f>
        <v/>
      </c>
      <c r="B198" t="n">
        <v>78869116</v>
      </c>
      <c r="C198" t="n">
        <v>78870169</v>
      </c>
      <c r="D198" t="n">
        <v>29150040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411-0001</t>
        </is>
      </c>
      <c r="J198" t="inlineStr">
        <is>
          <t>ТССЦ Московской обл., 411-0001, приказ Минстроя России №675/пр от 28.02.2017 № 257/пр</t>
        </is>
      </c>
      <c r="K198" t="inlineStr">
        <is>
          <t>Вода</t>
        </is>
      </c>
      <c r="L198" t="n">
        <v>1339</v>
      </c>
      <c r="N198" t="n">
        <v>1007</v>
      </c>
      <c r="O198" t="inlineStr">
        <is>
          <t>м3</t>
        </is>
      </c>
      <c r="P198" t="inlineStr">
        <is>
          <t>м3</t>
        </is>
      </c>
      <c r="Q198" t="n">
        <v>1</v>
      </c>
      <c r="W198" t="n">
        <v>0</v>
      </c>
      <c r="X198" t="n">
        <v>619799737</v>
      </c>
      <c r="Y198">
        <f>(AT198*ROUND(5,7))</f>
        <v/>
      </c>
      <c r="AA198" t="n">
        <v>31.28</v>
      </c>
      <c r="AB198" t="n">
        <v>0</v>
      </c>
      <c r="AC198" t="n">
        <v>0</v>
      </c>
      <c r="AD198" t="n">
        <v>0</v>
      </c>
      <c r="AE198" t="n">
        <v>2.44</v>
      </c>
      <c r="AF198" t="n">
        <v>0</v>
      </c>
      <c r="AG198" t="n">
        <v>0</v>
      </c>
      <c r="AH198" t="n">
        <v>0</v>
      </c>
      <c r="AI198" t="n">
        <v>12.82</v>
      </c>
      <c r="AJ198" t="n">
        <v>1</v>
      </c>
      <c r="AK198" t="n">
        <v>1</v>
      </c>
      <c r="AL198" t="n">
        <v>1</v>
      </c>
      <c r="AM198" t="n">
        <v>2</v>
      </c>
      <c r="AN198" t="n">
        <v>0</v>
      </c>
      <c r="AO198" t="n">
        <v>1</v>
      </c>
      <c r="AP198" t="n">
        <v>1</v>
      </c>
      <c r="AQ198" t="n">
        <v>0</v>
      </c>
      <c r="AR198" t="n">
        <v>0</v>
      </c>
      <c r="AS198" t="inlineStr"/>
      <c r="AT198" t="n">
        <v>1</v>
      </c>
      <c r="AU198" t="inlineStr">
        <is>
          <t>)*5</t>
        </is>
      </c>
      <c r="AV198" t="n">
        <v>0</v>
      </c>
      <c r="AW198" t="n">
        <v>2</v>
      </c>
      <c r="AX198" t="n">
        <v>78870181</v>
      </c>
      <c r="AY198" t="n">
        <v>1</v>
      </c>
      <c r="AZ198" t="n">
        <v>0</v>
      </c>
      <c r="BA198" t="n">
        <v>184</v>
      </c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ROUND(Y198*Source!I385,7)</f>
        <v/>
      </c>
      <c r="CY198">
        <f>AA198</f>
        <v/>
      </c>
      <c r="CZ198">
        <f>AE198</f>
        <v/>
      </c>
      <c r="DA198">
        <f>AI198</f>
        <v/>
      </c>
      <c r="DB198">
        <f>ROUND((ROUND(AT198*CZ198,2)*ROUND(5,7)),2)</f>
        <v/>
      </c>
      <c r="DC198">
        <f>ROUND((ROUND(AT198*AG198,2)*ROUND(5,7)),2)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ROW(Source!A424)</f>
        <v/>
      </c>
      <c r="B199" t="n">
        <v>78869116</v>
      </c>
      <c r="C199" t="n">
        <v>78870243</v>
      </c>
      <c r="D199" t="n">
        <v>18408291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1-1025-90</t>
        </is>
      </c>
      <c r="J199" t="inlineStr"/>
      <c r="K199" t="inlineStr">
        <is>
          <t>Рабочий строитель среднего разряда 2,5</t>
        </is>
      </c>
      <c r="L199" t="n">
        <v>1369</v>
      </c>
      <c r="N199" t="n">
        <v>1013</v>
      </c>
      <c r="O199" t="inlineStr">
        <is>
          <t>чел.-ч</t>
        </is>
      </c>
      <c r="P199" t="inlineStr">
        <is>
          <t>чел.-ч</t>
        </is>
      </c>
      <c r="Q199" t="n">
        <v>1</v>
      </c>
      <c r="W199" t="n">
        <v>0</v>
      </c>
      <c r="X199" t="n">
        <v>1933892413</v>
      </c>
      <c r="Y199">
        <f>AT199</f>
        <v/>
      </c>
      <c r="AA199" t="n">
        <v>0</v>
      </c>
      <c r="AB199" t="n">
        <v>0</v>
      </c>
      <c r="AC199" t="n">
        <v>0</v>
      </c>
      <c r="AD199" t="n">
        <v>8.17</v>
      </c>
      <c r="AE199" t="n">
        <v>0</v>
      </c>
      <c r="AF199" t="n">
        <v>0</v>
      </c>
      <c r="AG199" t="n">
        <v>0</v>
      </c>
      <c r="AH199" t="n">
        <v>8.17</v>
      </c>
      <c r="AI199" t="n">
        <v>1</v>
      </c>
      <c r="AJ199" t="n">
        <v>1</v>
      </c>
      <c r="AK199" t="n">
        <v>1</v>
      </c>
      <c r="AL199" t="n">
        <v>1</v>
      </c>
      <c r="AM199" t="n">
        <v>-2</v>
      </c>
      <c r="AN199" t="n">
        <v>0</v>
      </c>
      <c r="AO199" t="n">
        <v>1</v>
      </c>
      <c r="AP199" t="n">
        <v>1</v>
      </c>
      <c r="AQ199" t="n">
        <v>0</v>
      </c>
      <c r="AR199" t="n">
        <v>0</v>
      </c>
      <c r="AS199" t="inlineStr"/>
      <c r="AT199" t="n">
        <v>32.2</v>
      </c>
      <c r="AU199" t="inlineStr"/>
      <c r="AV199" t="n">
        <v>1</v>
      </c>
      <c r="AW199" t="n">
        <v>2</v>
      </c>
      <c r="AX199" t="n">
        <v>78870249</v>
      </c>
      <c r="AY199" t="n">
        <v>1</v>
      </c>
      <c r="AZ199" t="n">
        <v>0</v>
      </c>
      <c r="BA199" t="n">
        <v>185</v>
      </c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U199">
        <f>ROUND(AT199*Source!I424*AH199*AL199,0)</f>
        <v/>
      </c>
      <c r="CV199">
        <f>ROUND(Y199*Source!I424,7)</f>
        <v/>
      </c>
      <c r="CW199" t="n">
        <v>0</v>
      </c>
      <c r="CX199">
        <f>ROUND(Y199*Source!I424,7)</f>
        <v/>
      </c>
      <c r="CY199">
        <f>AD199</f>
        <v/>
      </c>
      <c r="CZ199">
        <f>AH199</f>
        <v/>
      </c>
      <c r="DA199">
        <f>AL199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DI199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ROW(Source!A424)</f>
        <v/>
      </c>
      <c r="B200" t="n">
        <v>78869116</v>
      </c>
      <c r="C200" t="n">
        <v>78870243</v>
      </c>
      <c r="D200" t="n">
        <v>29174913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400001</t>
        </is>
      </c>
      <c r="J200" t="inlineStr">
        <is>
          <t>ТСЭМ Московской обл., 400001, приказ Минстроя России №675/пр от 28.02.2017 № 264/пр</t>
        </is>
      </c>
      <c r="K200" t="inlineStr">
        <is>
          <t>Автомобили бортовые, грузоподъемность до 5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W200" t="n">
        <v>0</v>
      </c>
      <c r="X200" t="n">
        <v>1230759911</v>
      </c>
      <c r="Y200">
        <f>AT200</f>
        <v/>
      </c>
      <c r="AA200" t="n">
        <v>0</v>
      </c>
      <c r="AB200" t="n">
        <v>2177.51</v>
      </c>
      <c r="AC200" t="n">
        <v>606.1</v>
      </c>
      <c r="AD200" t="n">
        <v>0</v>
      </c>
      <c r="AE200" t="n">
        <v>0</v>
      </c>
      <c r="AF200" t="n">
        <v>87.17</v>
      </c>
      <c r="AG200" t="n">
        <v>11.6</v>
      </c>
      <c r="AH200" t="n">
        <v>0</v>
      </c>
      <c r="AI200" t="n">
        <v>1</v>
      </c>
      <c r="AJ200" t="n">
        <v>24.98</v>
      </c>
      <c r="AK200" t="n">
        <v>52.25</v>
      </c>
      <c r="AL200" t="n">
        <v>1</v>
      </c>
      <c r="AM200" t="n">
        <v>2</v>
      </c>
      <c r="AN200" t="n">
        <v>0</v>
      </c>
      <c r="AO200" t="n">
        <v>1</v>
      </c>
      <c r="AP200" t="n">
        <v>1</v>
      </c>
      <c r="AQ200" t="n">
        <v>0</v>
      </c>
      <c r="AR200" t="n">
        <v>0</v>
      </c>
      <c r="AS200" t="inlineStr"/>
      <c r="AT200" t="n">
        <v>0.01</v>
      </c>
      <c r="AU200" t="inlineStr"/>
      <c r="AV200" t="n">
        <v>0</v>
      </c>
      <c r="AW200" t="n">
        <v>2</v>
      </c>
      <c r="AX200" t="n">
        <v>78870250</v>
      </c>
      <c r="AY200" t="n">
        <v>1</v>
      </c>
      <c r="AZ200" t="n">
        <v>0</v>
      </c>
      <c r="BA200" t="n">
        <v>186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>
        <f>ROUND(Y200*Source!I424*DO200,7)</f>
        <v/>
      </c>
      <c r="CX200">
        <f>ROUND(Y200*Source!I424,7)</f>
        <v/>
      </c>
      <c r="CY200">
        <f>AB200</f>
        <v/>
      </c>
      <c r="CZ200">
        <f>AF200</f>
        <v/>
      </c>
      <c r="DA200">
        <f>AJ200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ROUND(ROUND(AE200,0)*CX200,0)</f>
        <v/>
      </c>
      <c r="DG200">
        <f>ROUND(ROUND(AF200*AJ200,0)*CX200,0)</f>
        <v/>
      </c>
      <c r="DH200">
        <f>ROUND(ROUND(AG200*AK200,0)*CX200,0)</f>
        <v/>
      </c>
      <c r="DI200">
        <f>ROUND(ROUND(AH200,0)*CX200,0)</f>
        <v/>
      </c>
      <c r="DJ200">
        <f>DG200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ROW(Source!A424)</f>
        <v/>
      </c>
      <c r="B201" t="n">
        <v>78869116</v>
      </c>
      <c r="C201" t="n">
        <v>78870243</v>
      </c>
      <c r="D201" t="n">
        <v>29110139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101-1703</t>
        </is>
      </c>
      <c r="J201" t="inlineStr">
        <is>
          <t>ТССЦ Московской обл., 101-1703, приказ Минстроя России №675/пр от 28.02.2017 № 254/пр</t>
        </is>
      </c>
      <c r="K201" t="inlineStr">
        <is>
          <t>Прокладки резиновые (пластина техническая прессованная)</t>
        </is>
      </c>
      <c r="L201" t="n">
        <v>1346</v>
      </c>
      <c r="N201" t="n">
        <v>1009</v>
      </c>
      <c r="O201" t="inlineStr">
        <is>
          <t>кг</t>
        </is>
      </c>
      <c r="P201" t="inlineStr">
        <is>
          <t>кг</t>
        </is>
      </c>
      <c r="Q201" t="n">
        <v>1</v>
      </c>
      <c r="W201" t="n">
        <v>0</v>
      </c>
      <c r="X201" t="n">
        <v>-1947909329</v>
      </c>
      <c r="Y201">
        <f>AT201</f>
        <v/>
      </c>
      <c r="AA201" t="n">
        <v>341.04</v>
      </c>
      <c r="AB201" t="n">
        <v>0</v>
      </c>
      <c r="AC201" t="n">
        <v>0</v>
      </c>
      <c r="AD201" t="n">
        <v>0</v>
      </c>
      <c r="AE201" t="n">
        <v>23.09</v>
      </c>
      <c r="AF201" t="n">
        <v>0</v>
      </c>
      <c r="AG201" t="n">
        <v>0</v>
      </c>
      <c r="AH201" t="n">
        <v>0</v>
      </c>
      <c r="AI201" t="n">
        <v>14.77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1</v>
      </c>
      <c r="AQ201" t="n">
        <v>0</v>
      </c>
      <c r="AR201" t="n">
        <v>0</v>
      </c>
      <c r="AS201" t="inlineStr"/>
      <c r="AT201" t="n">
        <v>2</v>
      </c>
      <c r="AU201" t="inlineStr"/>
      <c r="AV201" t="n">
        <v>0</v>
      </c>
      <c r="AW201" t="n">
        <v>2</v>
      </c>
      <c r="AX201" t="n">
        <v>78870251</v>
      </c>
      <c r="AY201" t="n">
        <v>1</v>
      </c>
      <c r="AZ201" t="n">
        <v>0</v>
      </c>
      <c r="BA201" t="n">
        <v>187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ROUND(Y201*Source!I424,7)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ROW(Source!A424)</f>
        <v/>
      </c>
      <c r="B202" t="n">
        <v>78869116</v>
      </c>
      <c r="C202" t="n">
        <v>78870243</v>
      </c>
      <c r="D202" t="n">
        <v>29114240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101-2576</t>
        </is>
      </c>
      <c r="J202" t="inlineStr">
        <is>
          <t>ТССЦ Московской обл., 101-2576, приказ Минстроя России №675/пр от 28.02.2017 № 254/пр</t>
        </is>
      </c>
      <c r="K202" t="inlineStr">
        <is>
          <t>Болты с гайками и шайбами для санитарно-технических работ диаметром 16 мм</t>
        </is>
      </c>
      <c r="L202" t="n">
        <v>1348</v>
      </c>
      <c r="N202" t="n">
        <v>1009</v>
      </c>
      <c r="O202" t="inlineStr">
        <is>
          <t>т</t>
        </is>
      </c>
      <c r="P202" t="inlineStr">
        <is>
          <t>т</t>
        </is>
      </c>
      <c r="Q202" t="n">
        <v>1000</v>
      </c>
      <c r="W202" t="n">
        <v>0</v>
      </c>
      <c r="X202" t="n">
        <v>-1701539228</v>
      </c>
      <c r="Y202">
        <f>AT202</f>
        <v/>
      </c>
      <c r="AA202" t="n">
        <v>145037.4</v>
      </c>
      <c r="AB202" t="n">
        <v>0</v>
      </c>
      <c r="AC202" t="n">
        <v>0</v>
      </c>
      <c r="AD202" t="n">
        <v>0</v>
      </c>
      <c r="AE202" t="n">
        <v>14830</v>
      </c>
      <c r="AF202" t="n">
        <v>0</v>
      </c>
      <c r="AG202" t="n">
        <v>0</v>
      </c>
      <c r="AH202" t="n">
        <v>0</v>
      </c>
      <c r="AI202" t="n">
        <v>9.779999999999999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1</v>
      </c>
      <c r="AQ202" t="n">
        <v>0</v>
      </c>
      <c r="AR202" t="n">
        <v>0</v>
      </c>
      <c r="AS202" t="inlineStr"/>
      <c r="AT202" t="n">
        <v>0.005</v>
      </c>
      <c r="AU202" t="inlineStr"/>
      <c r="AV202" t="n">
        <v>0</v>
      </c>
      <c r="AW202" t="n">
        <v>2</v>
      </c>
      <c r="AX202" t="n">
        <v>78870252</v>
      </c>
      <c r="AY202" t="n">
        <v>1</v>
      </c>
      <c r="AZ202" t="n">
        <v>0</v>
      </c>
      <c r="BA202" t="n">
        <v>188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ROUND(Y202*Source!I424,7)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ROW(Source!A424)</f>
        <v/>
      </c>
      <c r="B203" t="n">
        <v>78869116</v>
      </c>
      <c r="C203" t="n">
        <v>78870243</v>
      </c>
      <c r="D203" t="n">
        <v>29150040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411-0001</t>
        </is>
      </c>
      <c r="J203" t="inlineStr">
        <is>
          <t>ТССЦ Московской обл., 411-0001, приказ Минстроя России №675/пр от 28.02.2017 № 257/пр</t>
        </is>
      </c>
      <c r="K203" t="inlineStr">
        <is>
          <t>Вода</t>
        </is>
      </c>
      <c r="L203" t="n">
        <v>1339</v>
      </c>
      <c r="N203" t="n">
        <v>1007</v>
      </c>
      <c r="O203" t="inlineStr">
        <is>
          <t>м3</t>
        </is>
      </c>
      <c r="P203" t="inlineStr">
        <is>
          <t>м3</t>
        </is>
      </c>
      <c r="Q203" t="n">
        <v>1</v>
      </c>
      <c r="W203" t="n">
        <v>0</v>
      </c>
      <c r="X203" t="n">
        <v>619799737</v>
      </c>
      <c r="Y203">
        <f>AT203</f>
        <v/>
      </c>
      <c r="AA203" t="n">
        <v>31.28</v>
      </c>
      <c r="AB203" t="n">
        <v>0</v>
      </c>
      <c r="AC203" t="n">
        <v>0</v>
      </c>
      <c r="AD203" t="n">
        <v>0</v>
      </c>
      <c r="AE203" t="n">
        <v>2.44</v>
      </c>
      <c r="AF203" t="n">
        <v>0</v>
      </c>
      <c r="AG203" t="n">
        <v>0</v>
      </c>
      <c r="AH203" t="n">
        <v>0</v>
      </c>
      <c r="AI203" t="n">
        <v>12.82</v>
      </c>
      <c r="AJ203" t="n">
        <v>1</v>
      </c>
      <c r="AK203" t="n">
        <v>1</v>
      </c>
      <c r="AL203" t="n">
        <v>1</v>
      </c>
      <c r="AM203" t="n">
        <v>2</v>
      </c>
      <c r="AN203" t="n">
        <v>0</v>
      </c>
      <c r="AO203" t="n">
        <v>1</v>
      </c>
      <c r="AP203" t="n">
        <v>1</v>
      </c>
      <c r="AQ203" t="n">
        <v>0</v>
      </c>
      <c r="AR203" t="n">
        <v>0</v>
      </c>
      <c r="AS203" t="inlineStr"/>
      <c r="AT203" t="n">
        <v>7.8</v>
      </c>
      <c r="AU203" t="inlineStr"/>
      <c r="AV203" t="n">
        <v>0</v>
      </c>
      <c r="AW203" t="n">
        <v>2</v>
      </c>
      <c r="AX203" t="n">
        <v>78870253</v>
      </c>
      <c r="AY203" t="n">
        <v>1</v>
      </c>
      <c r="AZ203" t="n">
        <v>0</v>
      </c>
      <c r="BA203" t="n">
        <v>189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V203" t="n">
        <v>0</v>
      </c>
      <c r="CW203" t="n">
        <v>0</v>
      </c>
      <c r="CX203">
        <f>ROUND(Y203*Source!I424,7)</f>
        <v/>
      </c>
      <c r="CY203">
        <f>AA203</f>
        <v/>
      </c>
      <c r="CZ203">
        <f>AE203</f>
        <v/>
      </c>
      <c r="DA203">
        <f>AI203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ROUND(ROUND(AE203*AI203,0)*CX203,0)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DF203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ROW(Source!A425)</f>
        <v/>
      </c>
      <c r="B204" t="n">
        <v>78869116</v>
      </c>
      <c r="C204" t="n">
        <v>78870254</v>
      </c>
      <c r="D204" t="n">
        <v>18407150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1-1030-90</t>
        </is>
      </c>
      <c r="J204" t="inlineStr"/>
      <c r="K204" t="inlineStr">
        <is>
          <t>Рабочий строитель среднего разряда 3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W204" t="n">
        <v>0</v>
      </c>
      <c r="X204" t="n">
        <v>-931037793</v>
      </c>
      <c r="Y204">
        <f>AT204</f>
        <v/>
      </c>
      <c r="AA204" t="n">
        <v>0</v>
      </c>
      <c r="AB204" t="n">
        <v>0</v>
      </c>
      <c r="AC204" t="n">
        <v>0</v>
      </c>
      <c r="AD204" t="n">
        <v>8.529999999999999</v>
      </c>
      <c r="AE204" t="n">
        <v>0</v>
      </c>
      <c r="AF204" t="n">
        <v>0</v>
      </c>
      <c r="AG204" t="n">
        <v>0</v>
      </c>
      <c r="AH204" t="n">
        <v>8.529999999999999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13.9</v>
      </c>
      <c r="AU204" t="inlineStr"/>
      <c r="AV204" t="n">
        <v>1</v>
      </c>
      <c r="AW204" t="n">
        <v>2</v>
      </c>
      <c r="AX204" t="n">
        <v>78870258</v>
      </c>
      <c r="AY204" t="n">
        <v>1</v>
      </c>
      <c r="AZ204" t="n">
        <v>0</v>
      </c>
      <c r="BA204" t="n">
        <v>190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U204">
        <f>ROUND(AT204*Source!I425*AH204*AL204,0)</f>
        <v/>
      </c>
      <c r="CV204">
        <f>ROUND(Y204*Source!I425,7)</f>
        <v/>
      </c>
      <c r="CW204" t="n">
        <v>0</v>
      </c>
      <c r="CX204">
        <f>ROUND(Y204*Source!I425,7)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ROW(Source!A425)</f>
        <v/>
      </c>
      <c r="B205" t="n">
        <v>78869116</v>
      </c>
      <c r="C205" t="n">
        <v>78870254</v>
      </c>
      <c r="D205" t="n">
        <v>29169821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509-0696</t>
        </is>
      </c>
      <c r="J205" t="inlineStr">
        <is>
          <t>ТССЦ Московской обл., 509-0696, приказ Минстроя России №675/пр от 28.02.2017 № 258/пр</t>
        </is>
      </c>
      <c r="K205" t="inlineStr">
        <is>
          <t>Лампы люминесцентные ртутные низкого давления типа ЛБ, ЛД, ЛДЦ, ЛТВ, ЛБХ 20</t>
        </is>
      </c>
      <c r="L205" t="n">
        <v>1358</v>
      </c>
      <c r="N205" t="n">
        <v>1010</v>
      </c>
      <c r="O205" t="inlineStr">
        <is>
          <t>10 шт.</t>
        </is>
      </c>
      <c r="P205" t="inlineStr">
        <is>
          <t>10 шт.</t>
        </is>
      </c>
      <c r="Q205" t="n">
        <v>10</v>
      </c>
      <c r="W205" t="n">
        <v>0</v>
      </c>
      <c r="X205" t="n">
        <v>-1187244712</v>
      </c>
      <c r="Y205">
        <f>AT205</f>
        <v/>
      </c>
      <c r="AA205" t="n">
        <v>352.73</v>
      </c>
      <c r="AB205" t="n">
        <v>0</v>
      </c>
      <c r="AC205" t="n">
        <v>0</v>
      </c>
      <c r="AD205" t="n">
        <v>0</v>
      </c>
      <c r="AE205" t="n">
        <v>85.2</v>
      </c>
      <c r="AF205" t="n">
        <v>0</v>
      </c>
      <c r="AG205" t="n">
        <v>0</v>
      </c>
      <c r="AH205" t="n">
        <v>0</v>
      </c>
      <c r="AI205" t="n">
        <v>4.14</v>
      </c>
      <c r="AJ205" t="n">
        <v>1</v>
      </c>
      <c r="AK205" t="n">
        <v>1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10</v>
      </c>
      <c r="AU205" t="inlineStr"/>
      <c r="AV205" t="n">
        <v>0</v>
      </c>
      <c r="AW205" t="n">
        <v>2</v>
      </c>
      <c r="AX205" t="n">
        <v>78870259</v>
      </c>
      <c r="AY205" t="n">
        <v>1</v>
      </c>
      <c r="AZ205" t="n">
        <v>0</v>
      </c>
      <c r="BA205" t="n">
        <v>191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 t="n">
        <v>0</v>
      </c>
      <c r="CX205">
        <f>ROUND(Y205*Source!I425,7)</f>
        <v/>
      </c>
      <c r="CY205">
        <f>AA205</f>
        <v/>
      </c>
      <c r="CZ205">
        <f>AE205</f>
        <v/>
      </c>
      <c r="DA205">
        <f>AI205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ROUND(ROUND(AE205*AI205,0)*CX205,0)</f>
        <v/>
      </c>
      <c r="DG205">
        <f>ROUND(ROUND(AF205,0)*CX205,0)</f>
        <v/>
      </c>
      <c r="DH205">
        <f>ROUND(ROUND(AG205,0)*CX205,0)</f>
        <v/>
      </c>
      <c r="DI205">
        <f>ROUND(ROUND(AH205,0)*CX205,0)</f>
        <v/>
      </c>
      <c r="DJ205">
        <f>DF205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ROW(Source!A425)</f>
        <v/>
      </c>
      <c r="B206" t="n">
        <v>78869116</v>
      </c>
      <c r="C206" t="n">
        <v>78870254</v>
      </c>
      <c r="D206" t="n">
        <v>29169828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509-6744</t>
        </is>
      </c>
      <c r="J206" t="inlineStr">
        <is>
          <t>ТССЦ Московской обл., 509-6744, приказ Минстроя России №675/пр от 28.02.2017 № 258/пр</t>
        </is>
      </c>
      <c r="K206" t="inlineStr">
        <is>
          <t>Лампы люминесцентные компактные энергосберегающие с цоколем Е27 мощностью 55 Вт</t>
        </is>
      </c>
      <c r="L206" t="n">
        <v>1354</v>
      </c>
      <c r="N206" t="n">
        <v>1010</v>
      </c>
      <c r="O206" t="inlineStr">
        <is>
          <t>шт.</t>
        </is>
      </c>
      <c r="P206" t="inlineStr">
        <is>
          <t>шт.</t>
        </is>
      </c>
      <c r="Q206" t="n">
        <v>1</v>
      </c>
      <c r="W206" t="n">
        <v>0</v>
      </c>
      <c r="X206" t="n">
        <v>-228955380</v>
      </c>
      <c r="Y206">
        <f>AT206</f>
        <v/>
      </c>
      <c r="AA206" t="n">
        <v>237.77</v>
      </c>
      <c r="AB206" t="n">
        <v>0</v>
      </c>
      <c r="AC206" t="n">
        <v>0</v>
      </c>
      <c r="AD206" t="n">
        <v>0</v>
      </c>
      <c r="AE206" t="n">
        <v>140.69</v>
      </c>
      <c r="AF206" t="n">
        <v>0</v>
      </c>
      <c r="AG206" t="n">
        <v>0</v>
      </c>
      <c r="AH206" t="n">
        <v>0</v>
      </c>
      <c r="AI206" t="n">
        <v>1.69</v>
      </c>
      <c r="AJ206" t="n">
        <v>1</v>
      </c>
      <c r="AK206" t="n">
        <v>1</v>
      </c>
      <c r="AL206" t="n">
        <v>1</v>
      </c>
      <c r="AM206" t="n">
        <v>0</v>
      </c>
      <c r="AN206" t="n">
        <v>0</v>
      </c>
      <c r="AO206" t="n">
        <v>0</v>
      </c>
      <c r="AP206" t="n">
        <v>1</v>
      </c>
      <c r="AQ206" t="n">
        <v>0</v>
      </c>
      <c r="AR206" t="n">
        <v>0</v>
      </c>
      <c r="AS206" t="inlineStr"/>
      <c r="AT206" t="n">
        <v>100</v>
      </c>
      <c r="AU206" t="inlineStr"/>
      <c r="AV206" t="n">
        <v>0</v>
      </c>
      <c r="AW206" t="n">
        <v>1</v>
      </c>
      <c r="AX206" t="n">
        <v>-1</v>
      </c>
      <c r="AY206" t="n">
        <v>0</v>
      </c>
      <c r="AZ206" t="n">
        <v>0</v>
      </c>
      <c r="BA206" t="inlineStr"/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ROUND(Y206*Source!I425,7)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ROW(Source!A427)</f>
        <v/>
      </c>
      <c r="B207" t="n">
        <v>78869116</v>
      </c>
      <c r="C207" t="n">
        <v>78870279</v>
      </c>
      <c r="D207" t="n">
        <v>18442827</v>
      </c>
      <c r="E207" t="n">
        <v>1</v>
      </c>
      <c r="F207" t="n">
        <v>1</v>
      </c>
      <c r="G207" t="n">
        <v>1</v>
      </c>
      <c r="H207" t="n">
        <v>1</v>
      </c>
      <c r="I207" t="inlineStr">
        <is>
          <t>1-1053-90</t>
        </is>
      </c>
      <c r="J207" t="inlineStr"/>
      <c r="K207" t="inlineStr">
        <is>
          <t>Рабочий строитель среднего разряда 5,3</t>
        </is>
      </c>
      <c r="L207" t="n">
        <v>1369</v>
      </c>
      <c r="N207" t="n">
        <v>1013</v>
      </c>
      <c r="O207" t="inlineStr">
        <is>
          <t>чел.-ч</t>
        </is>
      </c>
      <c r="P207" t="inlineStr">
        <is>
          <t>чел.-ч</t>
        </is>
      </c>
      <c r="Q207" t="n">
        <v>1</v>
      </c>
      <c r="W207" t="n">
        <v>0</v>
      </c>
      <c r="X207" t="n">
        <v>717490484</v>
      </c>
      <c r="Y207">
        <f>(AT207*ROUND(2,7))</f>
        <v/>
      </c>
      <c r="AA207" t="n">
        <v>0</v>
      </c>
      <c r="AB207" t="n">
        <v>0</v>
      </c>
      <c r="AC207" t="n">
        <v>0</v>
      </c>
      <c r="AD207" t="n">
        <v>11.64</v>
      </c>
      <c r="AE207" t="n">
        <v>0</v>
      </c>
      <c r="AF207" t="n">
        <v>0</v>
      </c>
      <c r="AG207" t="n">
        <v>0</v>
      </c>
      <c r="AH207" t="n">
        <v>11.64</v>
      </c>
      <c r="AI207" t="n">
        <v>1</v>
      </c>
      <c r="AJ207" t="n">
        <v>1</v>
      </c>
      <c r="AK207" t="n">
        <v>1</v>
      </c>
      <c r="AL207" t="n">
        <v>1</v>
      </c>
      <c r="AM207" t="n">
        <v>-2</v>
      </c>
      <c r="AN207" t="n">
        <v>0</v>
      </c>
      <c r="AO207" t="n">
        <v>1</v>
      </c>
      <c r="AP207" t="n">
        <v>1</v>
      </c>
      <c r="AQ207" t="n">
        <v>0</v>
      </c>
      <c r="AR207" t="n">
        <v>0</v>
      </c>
      <c r="AS207" t="inlineStr"/>
      <c r="AT207" t="n">
        <v>5.01</v>
      </c>
      <c r="AU207" t="inlineStr">
        <is>
          <t>)*2</t>
        </is>
      </c>
      <c r="AV207" t="n">
        <v>1</v>
      </c>
      <c r="AW207" t="n">
        <v>2</v>
      </c>
      <c r="AX207" t="n">
        <v>78870286</v>
      </c>
      <c r="AY207" t="n">
        <v>1</v>
      </c>
      <c r="AZ207" t="n">
        <v>0</v>
      </c>
      <c r="BA207" t="n">
        <v>192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U207">
        <f>ROUND(AT207*Source!I427*AH207*AL207,0)</f>
        <v/>
      </c>
      <c r="CV207">
        <f>ROUND(Y207*Source!I427,7)</f>
        <v/>
      </c>
      <c r="CW207" t="n">
        <v>0</v>
      </c>
      <c r="CX207">
        <f>ROUND(Y207*Source!I427,7)</f>
        <v/>
      </c>
      <c r="CY207">
        <f>AD207</f>
        <v/>
      </c>
      <c r="CZ207">
        <f>AH207</f>
        <v/>
      </c>
      <c r="DA207">
        <f>AL207</f>
        <v/>
      </c>
      <c r="DB207">
        <f>ROUND((ROUND(AT207*CZ207,2)*ROUND(2,7)),2)</f>
        <v/>
      </c>
      <c r="DC207">
        <f>ROUND((ROUND(AT207*AG207,2)*ROUND(2,7)),2)</f>
        <v/>
      </c>
      <c r="DD207" t="inlineStr"/>
      <c r="DE207" t="inlineStr"/>
      <c r="DF207">
        <f>ROUND(ROUND(AE207,0)*CX207,0)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DI207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ROW(Source!A427)</f>
        <v/>
      </c>
      <c r="B208" t="n">
        <v>78869116</v>
      </c>
      <c r="C208" t="n">
        <v>78870279</v>
      </c>
      <c r="D208" t="n">
        <v>29172703</v>
      </c>
      <c r="E208" t="n">
        <v>1</v>
      </c>
      <c r="F208" t="n">
        <v>1</v>
      </c>
      <c r="G208" t="n">
        <v>1</v>
      </c>
      <c r="H208" t="n">
        <v>2</v>
      </c>
      <c r="I208" t="inlineStr">
        <is>
          <t>042900</t>
        </is>
      </c>
      <c r="J208" t="inlineStr">
        <is>
          <t>ТСЭМ Московской обл., 042900, приказ Минстроя России №675/пр от 28.02.2017 № 264/пр</t>
        </is>
      </c>
      <c r="K20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8" t="n">
        <v>1368</v>
      </c>
      <c r="N208" t="n">
        <v>1011</v>
      </c>
      <c r="O208" t="inlineStr">
        <is>
          <t>маш.-ч</t>
        </is>
      </c>
      <c r="P208" t="inlineStr">
        <is>
          <t>маш.-ч</t>
        </is>
      </c>
      <c r="Q208" t="n">
        <v>1</v>
      </c>
      <c r="W208" t="n">
        <v>0</v>
      </c>
      <c r="X208" t="n">
        <v>1695838894</v>
      </c>
      <c r="Y208">
        <f>(AT208*ROUND(2,7))</f>
        <v/>
      </c>
      <c r="AA208" t="n">
        <v>0</v>
      </c>
      <c r="AB208" t="n">
        <v>177.13</v>
      </c>
      <c r="AC208" t="n">
        <v>0</v>
      </c>
      <c r="AD208" t="n">
        <v>0</v>
      </c>
      <c r="AE208" t="n">
        <v>0</v>
      </c>
      <c r="AF208" t="n">
        <v>29.67</v>
      </c>
      <c r="AG208" t="n">
        <v>0</v>
      </c>
      <c r="AH208" t="n">
        <v>0</v>
      </c>
      <c r="AI208" t="n">
        <v>1</v>
      </c>
      <c r="AJ208" t="n">
        <v>5.97</v>
      </c>
      <c r="AK208" t="n">
        <v>52.25</v>
      </c>
      <c r="AL208" t="n">
        <v>1</v>
      </c>
      <c r="AM208" t="n">
        <v>2</v>
      </c>
      <c r="AN208" t="n">
        <v>0</v>
      </c>
      <c r="AO208" t="n">
        <v>1</v>
      </c>
      <c r="AP208" t="n">
        <v>1</v>
      </c>
      <c r="AQ208" t="n">
        <v>0</v>
      </c>
      <c r="AR208" t="n">
        <v>0</v>
      </c>
      <c r="AS208" t="inlineStr"/>
      <c r="AT208" t="n">
        <v>1.5</v>
      </c>
      <c r="AU208" t="inlineStr">
        <is>
          <t>)*2</t>
        </is>
      </c>
      <c r="AV208" t="n">
        <v>0</v>
      </c>
      <c r="AW208" t="n">
        <v>2</v>
      </c>
      <c r="AX208" t="n">
        <v>78870287</v>
      </c>
      <c r="AY208" t="n">
        <v>1</v>
      </c>
      <c r="AZ208" t="n">
        <v>0</v>
      </c>
      <c r="BA208" t="n">
        <v>193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>
        <f>ROUND(Y208*Source!I427*DO208,7)</f>
        <v/>
      </c>
      <c r="CX208">
        <f>ROUND(Y208*Source!I427,7)</f>
        <v/>
      </c>
      <c r="CY208">
        <f>AB208</f>
        <v/>
      </c>
      <c r="CZ208">
        <f>AF208</f>
        <v/>
      </c>
      <c r="DA208">
        <f>AJ208</f>
        <v/>
      </c>
      <c r="DB208">
        <f>ROUND((ROUND(AT208*CZ208,2)*ROUND(2,7)),2)</f>
        <v/>
      </c>
      <c r="DC208">
        <f>ROUND((ROUND(AT208*AG208,2)*ROUND(2,7)),2)</f>
        <v/>
      </c>
      <c r="DD208" t="inlineStr"/>
      <c r="DE208" t="inlineStr"/>
      <c r="DF208">
        <f>ROUND(ROUND(AE208,0)*CX208,0)</f>
        <v/>
      </c>
      <c r="DG208">
        <f>ROUND(ROUND(AF208*AJ208,0)*CX208,0)</f>
        <v/>
      </c>
      <c r="DH208">
        <f>ROUND(ROUND(AG208*AK208,0)*CX208,0)</f>
        <v/>
      </c>
      <c r="DI208">
        <f>ROUND(ROUND(AH208,0)*CX208,0)</f>
        <v/>
      </c>
      <c r="DJ208">
        <f>DG208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ROW(Source!A427)</f>
        <v/>
      </c>
      <c r="B209" t="n">
        <v>78869116</v>
      </c>
      <c r="C209" t="n">
        <v>78870279</v>
      </c>
      <c r="D209" t="n">
        <v>29110398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101-0388</t>
        </is>
      </c>
      <c r="J209" t="inlineStr">
        <is>
          <t>ТССЦ Московской обл., 101-0388, приказ Минстроя России №675/пр от 28.02.2017 № 254/пр</t>
        </is>
      </c>
      <c r="K209" t="inlineStr">
        <is>
          <t>Краски масляные земляные марки МА-0115 мумия, сурик железный</t>
        </is>
      </c>
      <c r="L209" t="n">
        <v>1348</v>
      </c>
      <c r="N209" t="n">
        <v>1009</v>
      </c>
      <c r="O209" t="inlineStr">
        <is>
          <t>т</t>
        </is>
      </c>
      <c r="P209" t="inlineStr">
        <is>
          <t>т</t>
        </is>
      </c>
      <c r="Q209" t="n">
        <v>1000</v>
      </c>
      <c r="W209" t="n">
        <v>0</v>
      </c>
      <c r="X209" t="n">
        <v>1625292450</v>
      </c>
      <c r="Y209">
        <f>AT209</f>
        <v/>
      </c>
      <c r="AA209" t="n">
        <v>76804.47</v>
      </c>
      <c r="AB209" t="n">
        <v>0</v>
      </c>
      <c r="AC209" t="n">
        <v>0</v>
      </c>
      <c r="AD209" t="n">
        <v>0</v>
      </c>
      <c r="AE209" t="n">
        <v>15118.99</v>
      </c>
      <c r="AF209" t="n">
        <v>0</v>
      </c>
      <c r="AG209" t="n">
        <v>0</v>
      </c>
      <c r="AH209" t="n">
        <v>0</v>
      </c>
      <c r="AI209" t="n">
        <v>5.08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5e-05</v>
      </c>
      <c r="AU209" t="inlineStr"/>
      <c r="AV209" t="n">
        <v>0</v>
      </c>
      <c r="AW209" t="n">
        <v>2</v>
      </c>
      <c r="AX209" t="n">
        <v>78870288</v>
      </c>
      <c r="AY209" t="n">
        <v>1</v>
      </c>
      <c r="AZ209" t="n">
        <v>0</v>
      </c>
      <c r="BA209" t="n">
        <v>194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ROUND(Y209*Source!I427,7)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ROW(Source!A427)</f>
        <v/>
      </c>
      <c r="B210" t="n">
        <v>78869116</v>
      </c>
      <c r="C210" t="n">
        <v>78870279</v>
      </c>
      <c r="D210" t="n">
        <v>29110573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101-0628</t>
        </is>
      </c>
      <c r="J210" t="inlineStr">
        <is>
          <t>ТССЦ Московской обл., 101-0628, приказ Минстроя России №675/пр от 28.02.2017 № 254/пр</t>
        </is>
      </c>
      <c r="K210" t="inlineStr">
        <is>
          <t>Олифа комбинированная, марки К-3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W210" t="n">
        <v>0</v>
      </c>
      <c r="X210" t="n">
        <v>24062879</v>
      </c>
      <c r="Y210">
        <f>AT210</f>
        <v/>
      </c>
      <c r="AA210" t="n">
        <v>87631.5</v>
      </c>
      <c r="AB210" t="n">
        <v>0</v>
      </c>
      <c r="AC210" t="n">
        <v>0</v>
      </c>
      <c r="AD210" t="n">
        <v>0</v>
      </c>
      <c r="AE210" t="n">
        <v>16950</v>
      </c>
      <c r="AF210" t="n">
        <v>0</v>
      </c>
      <c r="AG210" t="n">
        <v>0</v>
      </c>
      <c r="AH210" t="n">
        <v>0</v>
      </c>
      <c r="AI210" t="n">
        <v>5.17</v>
      </c>
      <c r="AJ210" t="n">
        <v>1</v>
      </c>
      <c r="AK210" t="n">
        <v>1</v>
      </c>
      <c r="AL210" t="n">
        <v>1</v>
      </c>
      <c r="AM210" t="n">
        <v>2</v>
      </c>
      <c r="AN210" t="n">
        <v>0</v>
      </c>
      <c r="AO210" t="n">
        <v>1</v>
      </c>
      <c r="AP210" t="n">
        <v>0</v>
      </c>
      <c r="AQ210" t="n">
        <v>0</v>
      </c>
      <c r="AR210" t="n">
        <v>0</v>
      </c>
      <c r="AS210" t="inlineStr"/>
      <c r="AT210" t="n">
        <v>2e-05</v>
      </c>
      <c r="AU210" t="inlineStr"/>
      <c r="AV210" t="n">
        <v>0</v>
      </c>
      <c r="AW210" t="n">
        <v>2</v>
      </c>
      <c r="AX210" t="n">
        <v>78870289</v>
      </c>
      <c r="AY210" t="n">
        <v>1</v>
      </c>
      <c r="AZ210" t="n">
        <v>0</v>
      </c>
      <c r="BA210" t="n">
        <v>195</v>
      </c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ROUND(Y210*Source!I427,7)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ROW(Source!A427)</f>
        <v/>
      </c>
      <c r="B211" t="n">
        <v>78869116</v>
      </c>
      <c r="C211" t="n">
        <v>78870279</v>
      </c>
      <c r="D211" t="n">
        <v>29107963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101-1669</t>
        </is>
      </c>
      <c r="J211" t="inlineStr">
        <is>
          <t>ТССЦ Московской обл., 101-1669, приказ Минстроя России №675/пр от 28.02.2017 № 254/пр</t>
        </is>
      </c>
      <c r="K211" t="inlineStr">
        <is>
          <t>Очес льняной</t>
        </is>
      </c>
      <c r="L211" t="n">
        <v>1346</v>
      </c>
      <c r="N211" t="n">
        <v>1009</v>
      </c>
      <c r="O211" t="inlineStr">
        <is>
          <t>кг</t>
        </is>
      </c>
      <c r="P211" t="inlineStr">
        <is>
          <t>кг</t>
        </is>
      </c>
      <c r="Q211" t="n">
        <v>1</v>
      </c>
      <c r="W211" t="n">
        <v>0</v>
      </c>
      <c r="X211" t="n">
        <v>-2113933962</v>
      </c>
      <c r="Y211">
        <f>AT211</f>
        <v/>
      </c>
      <c r="AA211" t="n">
        <v>590.67</v>
      </c>
      <c r="AB211" t="n">
        <v>0</v>
      </c>
      <c r="AC211" t="n">
        <v>0</v>
      </c>
      <c r="AD211" t="n">
        <v>0</v>
      </c>
      <c r="AE211" t="n">
        <v>37.29</v>
      </c>
      <c r="AF211" t="n">
        <v>0</v>
      </c>
      <c r="AG211" t="n">
        <v>0</v>
      </c>
      <c r="AH211" t="n">
        <v>0</v>
      </c>
      <c r="AI211" t="n">
        <v>15.84</v>
      </c>
      <c r="AJ211" t="n">
        <v>1</v>
      </c>
      <c r="AK211" t="n">
        <v>1</v>
      </c>
      <c r="AL211" t="n">
        <v>1</v>
      </c>
      <c r="AM211" t="n">
        <v>2</v>
      </c>
      <c r="AN211" t="n">
        <v>0</v>
      </c>
      <c r="AO211" t="n">
        <v>1</v>
      </c>
      <c r="AP211" t="n">
        <v>0</v>
      </c>
      <c r="AQ211" t="n">
        <v>0</v>
      </c>
      <c r="AR211" t="n">
        <v>0</v>
      </c>
      <c r="AS211" t="inlineStr"/>
      <c r="AT211" t="n">
        <v>0.02</v>
      </c>
      <c r="AU211" t="inlineStr"/>
      <c r="AV211" t="n">
        <v>0</v>
      </c>
      <c r="AW211" t="n">
        <v>2</v>
      </c>
      <c r="AX211" t="n">
        <v>78870290</v>
      </c>
      <c r="AY211" t="n">
        <v>1</v>
      </c>
      <c r="AZ211" t="n">
        <v>0</v>
      </c>
      <c r="BA211" t="n">
        <v>196</v>
      </c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ROUND(Y211*Source!I427,7)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ROW(Source!A427)</f>
        <v/>
      </c>
      <c r="B212" t="n">
        <v>78869116</v>
      </c>
      <c r="C212" t="n">
        <v>78870279</v>
      </c>
      <c r="D212" t="n">
        <v>29150040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411-0001</t>
        </is>
      </c>
      <c r="J212" t="inlineStr">
        <is>
          <t>ТССЦ Московской обл., 411-0001, приказ Минстроя России №675/пр от 28.02.2017 № 257/пр</t>
        </is>
      </c>
      <c r="K212" t="inlineStr">
        <is>
          <t>Вода</t>
        </is>
      </c>
      <c r="L212" t="n">
        <v>1339</v>
      </c>
      <c r="N212" t="n">
        <v>1007</v>
      </c>
      <c r="O212" t="inlineStr">
        <is>
          <t>м3</t>
        </is>
      </c>
      <c r="P212" t="inlineStr">
        <is>
          <t>м3</t>
        </is>
      </c>
      <c r="Q212" t="n">
        <v>1</v>
      </c>
      <c r="W212" t="n">
        <v>0</v>
      </c>
      <c r="X212" t="n">
        <v>619799737</v>
      </c>
      <c r="Y212">
        <f>AT212</f>
        <v/>
      </c>
      <c r="AA212" t="n">
        <v>31.28</v>
      </c>
      <c r="AB212" t="n">
        <v>0</v>
      </c>
      <c r="AC212" t="n">
        <v>0</v>
      </c>
      <c r="AD212" t="n">
        <v>0</v>
      </c>
      <c r="AE212" t="n">
        <v>2.44</v>
      </c>
      <c r="AF212" t="n">
        <v>0</v>
      </c>
      <c r="AG212" t="n">
        <v>0</v>
      </c>
      <c r="AH212" t="n">
        <v>0</v>
      </c>
      <c r="AI212" t="n">
        <v>12.82</v>
      </c>
      <c r="AJ212" t="n">
        <v>1</v>
      </c>
      <c r="AK212" t="n">
        <v>1</v>
      </c>
      <c r="AL212" t="n">
        <v>1</v>
      </c>
      <c r="AM212" t="n">
        <v>2</v>
      </c>
      <c r="AN212" t="n">
        <v>0</v>
      </c>
      <c r="AO212" t="n">
        <v>1</v>
      </c>
      <c r="AP212" t="n">
        <v>0</v>
      </c>
      <c r="AQ212" t="n">
        <v>0</v>
      </c>
      <c r="AR212" t="n">
        <v>0</v>
      </c>
      <c r="AS212" t="inlineStr"/>
      <c r="AT212" t="n">
        <v>1</v>
      </c>
      <c r="AU212" t="inlineStr"/>
      <c r="AV212" t="n">
        <v>0</v>
      </c>
      <c r="AW212" t="n">
        <v>2</v>
      </c>
      <c r="AX212" t="n">
        <v>78870291</v>
      </c>
      <c r="AY212" t="n">
        <v>1</v>
      </c>
      <c r="AZ212" t="n">
        <v>0</v>
      </c>
      <c r="BA212" t="n">
        <v>197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V212" t="n">
        <v>0</v>
      </c>
      <c r="CW212" t="n">
        <v>0</v>
      </c>
      <c r="CX212">
        <f>ROUND(Y212*Source!I427,7)</f>
        <v/>
      </c>
      <c r="CY212">
        <f>AA212</f>
        <v/>
      </c>
      <c r="CZ212">
        <f>AE212</f>
        <v/>
      </c>
      <c r="DA212">
        <f>AI212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ROUND(ROUND(AE212*AI212,0)*CX212,0)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DF212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ROW(Source!A428)</f>
        <v/>
      </c>
      <c r="B213" t="n">
        <v>78869116</v>
      </c>
      <c r="C213" t="n">
        <v>78870307</v>
      </c>
      <c r="D213" t="n">
        <v>18409850</v>
      </c>
      <c r="E213" t="n">
        <v>1</v>
      </c>
      <c r="F213" t="n">
        <v>1</v>
      </c>
      <c r="G213" t="n">
        <v>1</v>
      </c>
      <c r="H213" t="n">
        <v>1</v>
      </c>
      <c r="I213" t="inlineStr">
        <is>
          <t>1-1035-90</t>
        </is>
      </c>
      <c r="J213" t="inlineStr"/>
      <c r="K213" t="inlineStr">
        <is>
          <t>Рабочий строитель среднего разряда 3,5</t>
        </is>
      </c>
      <c r="L213" t="n">
        <v>1369</v>
      </c>
      <c r="N213" t="n">
        <v>1013</v>
      </c>
      <c r="O213" t="inlineStr">
        <is>
          <t>чел.-ч</t>
        </is>
      </c>
      <c r="P213" t="inlineStr">
        <is>
          <t>чел.-ч</t>
        </is>
      </c>
      <c r="Q213" t="n">
        <v>1</v>
      </c>
      <c r="W213" t="n">
        <v>0</v>
      </c>
      <c r="X213" t="n">
        <v>855544366</v>
      </c>
      <c r="Y213">
        <f>AT213</f>
        <v/>
      </c>
      <c r="AA213" t="n">
        <v>0</v>
      </c>
      <c r="AB213" t="n">
        <v>0</v>
      </c>
      <c r="AC213" t="n">
        <v>0</v>
      </c>
      <c r="AD213" t="n">
        <v>9.07</v>
      </c>
      <c r="AE213" t="n">
        <v>0</v>
      </c>
      <c r="AF213" t="n">
        <v>0</v>
      </c>
      <c r="AG213" t="n">
        <v>0</v>
      </c>
      <c r="AH213" t="n">
        <v>9.07</v>
      </c>
      <c r="AI213" t="n">
        <v>1</v>
      </c>
      <c r="AJ213" t="n">
        <v>1</v>
      </c>
      <c r="AK213" t="n">
        <v>1</v>
      </c>
      <c r="AL213" t="n">
        <v>1</v>
      </c>
      <c r="AM213" t="n">
        <v>-2</v>
      </c>
      <c r="AN213" t="n">
        <v>0</v>
      </c>
      <c r="AO213" t="n">
        <v>1</v>
      </c>
      <c r="AP213" t="n">
        <v>0</v>
      </c>
      <c r="AQ213" t="n">
        <v>0</v>
      </c>
      <c r="AR213" t="n">
        <v>0</v>
      </c>
      <c r="AS213" t="inlineStr"/>
      <c r="AT213" t="n">
        <v>9.6</v>
      </c>
      <c r="AU213" t="inlineStr"/>
      <c r="AV213" t="n">
        <v>1</v>
      </c>
      <c r="AW213" t="n">
        <v>2</v>
      </c>
      <c r="AX213" t="n">
        <v>78870308</v>
      </c>
      <c r="AY213" t="n">
        <v>1</v>
      </c>
      <c r="AZ213" t="n">
        <v>0</v>
      </c>
      <c r="BA213" t="n">
        <v>198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U213">
        <f>ROUND(AT213*Source!I428*AH213*AL213,0)</f>
        <v/>
      </c>
      <c r="CV213">
        <f>ROUND(Y213*Source!I428,7)</f>
        <v/>
      </c>
      <c r="CW213" t="n">
        <v>0</v>
      </c>
      <c r="CX213">
        <f>ROUND(Y213*Source!I428,7)</f>
        <v/>
      </c>
      <c r="CY213">
        <f>AD213</f>
        <v/>
      </c>
      <c r="CZ213">
        <f>AH213</f>
        <v/>
      </c>
      <c r="DA213">
        <f>AL213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ROUND(ROUND(AF213,0)*CX213,0)</f>
        <v/>
      </c>
      <c r="DH213">
        <f>ROUND(ROUND(AG213,0)*CX213,0)</f>
        <v/>
      </c>
      <c r="DI213">
        <f>ROUND(ROUND(AH213,0)*CX213,0)</f>
        <v/>
      </c>
      <c r="DJ213">
        <f>DI213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ROW(Source!A428)</f>
        <v/>
      </c>
      <c r="B214" t="n">
        <v>78869116</v>
      </c>
      <c r="C214" t="n">
        <v>78870307</v>
      </c>
      <c r="D214" t="n">
        <v>121548</v>
      </c>
      <c r="E214" t="n">
        <v>1</v>
      </c>
      <c r="F214" t="n">
        <v>1</v>
      </c>
      <c r="G214" t="n">
        <v>1</v>
      </c>
      <c r="H214" t="n">
        <v>1</v>
      </c>
      <c r="I214" t="inlineStr">
        <is>
          <t>2</t>
        </is>
      </c>
      <c r="J214" t="inlineStr"/>
      <c r="K214" t="inlineStr">
        <is>
          <t>Затраты труда машинистов</t>
        </is>
      </c>
      <c r="L214" t="n">
        <v>608254</v>
      </c>
      <c r="N214" t="n">
        <v>1013</v>
      </c>
      <c r="O214" t="inlineStr">
        <is>
          <t>чел.час</t>
        </is>
      </c>
      <c r="P214" t="inlineStr">
        <is>
          <t>чел.час</t>
        </is>
      </c>
      <c r="Q214" t="n">
        <v>1</v>
      </c>
      <c r="W214" t="n">
        <v>0</v>
      </c>
      <c r="X214" t="n">
        <v>-185737400</v>
      </c>
      <c r="Y214">
        <f>AT214</f>
        <v/>
      </c>
      <c r="AA214" t="n">
        <v>0</v>
      </c>
      <c r="AB214" t="n">
        <v>0</v>
      </c>
      <c r="AC214" t="n">
        <v>0</v>
      </c>
      <c r="AD214" t="n">
        <v>0</v>
      </c>
      <c r="AE214" t="n">
        <v>0</v>
      </c>
      <c r="AF214" t="n">
        <v>0</v>
      </c>
      <c r="AG214" t="n">
        <v>0</v>
      </c>
      <c r="AH214" t="n">
        <v>0</v>
      </c>
      <c r="AI214" t="n">
        <v>1</v>
      </c>
      <c r="AJ214" t="n">
        <v>1</v>
      </c>
      <c r="AK214" t="n">
        <v>1</v>
      </c>
      <c r="AL214" t="n">
        <v>1</v>
      </c>
      <c r="AM214" t="n">
        <v>-2</v>
      </c>
      <c r="AN214" t="n">
        <v>0</v>
      </c>
      <c r="AO214" t="n">
        <v>1</v>
      </c>
      <c r="AP214" t="n">
        <v>0</v>
      </c>
      <c r="AQ214" t="n">
        <v>0</v>
      </c>
      <c r="AR214" t="n">
        <v>0</v>
      </c>
      <c r="AS214" t="inlineStr"/>
      <c r="AT214" t="n">
        <v>5.21</v>
      </c>
      <c r="AU214" t="inlineStr"/>
      <c r="AV214" t="n">
        <v>2</v>
      </c>
      <c r="AW214" t="n">
        <v>2</v>
      </c>
      <c r="AX214" t="n">
        <v>78870309</v>
      </c>
      <c r="AY214" t="n">
        <v>1</v>
      </c>
      <c r="AZ214" t="n">
        <v>0</v>
      </c>
      <c r="BA214" t="n">
        <v>199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ROUND(Y214*Source!I428,7)</f>
        <v/>
      </c>
      <c r="CY214">
        <f>AD214</f>
        <v/>
      </c>
      <c r="CZ214">
        <f>AH214</f>
        <v/>
      </c>
      <c r="DA214">
        <f>AL214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DI214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ROW(Source!A428)</f>
        <v/>
      </c>
      <c r="B215" t="n">
        <v>78869116</v>
      </c>
      <c r="C215" t="n">
        <v>78870307</v>
      </c>
      <c r="D215" t="n">
        <v>29172379</v>
      </c>
      <c r="E215" t="n">
        <v>1</v>
      </c>
      <c r="F215" t="n">
        <v>1</v>
      </c>
      <c r="G215" t="n">
        <v>1</v>
      </c>
      <c r="H215" t="n">
        <v>2</v>
      </c>
      <c r="I215" t="inlineStr">
        <is>
          <t>021141</t>
        </is>
      </c>
      <c r="J215" t="inlineStr">
        <is>
          <t>ТСЭМ Московской обл., 021141, приказ Минстроя России №675/пр от 28.02.2017 № 264/пр</t>
        </is>
      </c>
      <c r="K215" t="inlineStr">
        <is>
          <t>Краны на автомобильном ходу при работе на других видах строительства 10 т</t>
        </is>
      </c>
      <c r="L215" t="n">
        <v>1368</v>
      </c>
      <c r="N215" t="n">
        <v>1011</v>
      </c>
      <c r="O215" t="inlineStr">
        <is>
          <t>маш.-ч</t>
        </is>
      </c>
      <c r="P215" t="inlineStr">
        <is>
          <t>маш.-ч</t>
        </is>
      </c>
      <c r="Q215" t="n">
        <v>1</v>
      </c>
      <c r="W215" t="n">
        <v>0</v>
      </c>
      <c r="X215" t="n">
        <v>1106923569</v>
      </c>
      <c r="Y215">
        <f>AT215</f>
        <v/>
      </c>
      <c r="AA215" t="n">
        <v>0</v>
      </c>
      <c r="AB215" t="n">
        <v>1490.72</v>
      </c>
      <c r="AC215" t="n">
        <v>705.38</v>
      </c>
      <c r="AD215" t="n">
        <v>0</v>
      </c>
      <c r="AE215" t="n">
        <v>0</v>
      </c>
      <c r="AF215" t="n">
        <v>112</v>
      </c>
      <c r="AG215" t="n">
        <v>13.5</v>
      </c>
      <c r="AH215" t="n">
        <v>0</v>
      </c>
      <c r="AI215" t="n">
        <v>1</v>
      </c>
      <c r="AJ215" t="n">
        <v>13.31</v>
      </c>
      <c r="AK215" t="n">
        <v>52.25</v>
      </c>
      <c r="AL215" t="n">
        <v>1</v>
      </c>
      <c r="AM215" t="n">
        <v>2</v>
      </c>
      <c r="AN215" t="n">
        <v>0</v>
      </c>
      <c r="AO215" t="n">
        <v>1</v>
      </c>
      <c r="AP215" t="n">
        <v>0</v>
      </c>
      <c r="AQ215" t="n">
        <v>0</v>
      </c>
      <c r="AR215" t="n">
        <v>0</v>
      </c>
      <c r="AS215" t="inlineStr"/>
      <c r="AT215" t="n">
        <v>0.01</v>
      </c>
      <c r="AU215" t="inlineStr"/>
      <c r="AV215" t="n">
        <v>0</v>
      </c>
      <c r="AW215" t="n">
        <v>2</v>
      </c>
      <c r="AX215" t="n">
        <v>78870310</v>
      </c>
      <c r="AY215" t="n">
        <v>1</v>
      </c>
      <c r="AZ215" t="n">
        <v>0</v>
      </c>
      <c r="BA215" t="n">
        <v>200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>
        <f>ROUND(Y215*Source!I428*DO215,7)</f>
        <v/>
      </c>
      <c r="CX215">
        <f>ROUND(Y215*Source!I428,7)</f>
        <v/>
      </c>
      <c r="CY215">
        <f>AB215</f>
        <v/>
      </c>
      <c r="CZ215">
        <f>AF215</f>
        <v/>
      </c>
      <c r="DA215">
        <f>AJ215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ROUND(ROUND(AE215,0)*CX215,0)</f>
        <v/>
      </c>
      <c r="DG215">
        <f>ROUND(ROUND(AF215*AJ215,0)*CX215,0)</f>
        <v/>
      </c>
      <c r="DH215">
        <f>ROUND(ROUND(AG215*AK215,0)*CX215,0)</f>
        <v/>
      </c>
      <c r="DI215">
        <f>ROUND(ROUND(AH215,0)*CX215,0)</f>
        <v/>
      </c>
      <c r="DJ215">
        <f>DG215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ROW(Source!A428)</f>
        <v/>
      </c>
      <c r="B216" t="n">
        <v>78869116</v>
      </c>
      <c r="C216" t="n">
        <v>78870307</v>
      </c>
      <c r="D216" t="n">
        <v>29172951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081600</t>
        </is>
      </c>
      <c r="J216" t="inlineStr">
        <is>
          <t>ТСЭМ Московской обл., 081600, приказ Минстроя России №675/пр от 28.02.2017 № 264/пр</t>
        </is>
      </c>
      <c r="K216" t="inlineStr">
        <is>
          <t>Агрегаты для сварки полиэтиленовых труб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W216" t="n">
        <v>0</v>
      </c>
      <c r="X216" t="n">
        <v>1994325455</v>
      </c>
      <c r="Y216">
        <f>AT216</f>
        <v/>
      </c>
      <c r="AA216" t="n">
        <v>0</v>
      </c>
      <c r="AB216" t="n">
        <v>1193.19</v>
      </c>
      <c r="AC216" t="n">
        <v>705.38</v>
      </c>
      <c r="AD216" t="n">
        <v>0</v>
      </c>
      <c r="AE216" t="n">
        <v>0</v>
      </c>
      <c r="AF216" t="n">
        <v>100.1</v>
      </c>
      <c r="AG216" t="n">
        <v>13.5</v>
      </c>
      <c r="AH216" t="n">
        <v>0</v>
      </c>
      <c r="AI216" t="n">
        <v>1</v>
      </c>
      <c r="AJ216" t="n">
        <v>11.92</v>
      </c>
      <c r="AK216" t="n">
        <v>52.25</v>
      </c>
      <c r="AL216" t="n">
        <v>1</v>
      </c>
      <c r="AM216" t="n">
        <v>2</v>
      </c>
      <c r="AN216" t="n">
        <v>0</v>
      </c>
      <c r="AO216" t="n">
        <v>1</v>
      </c>
      <c r="AP216" t="n">
        <v>0</v>
      </c>
      <c r="AQ216" t="n">
        <v>0</v>
      </c>
      <c r="AR216" t="n">
        <v>0</v>
      </c>
      <c r="AS216" t="inlineStr"/>
      <c r="AT216" t="n">
        <v>5.2</v>
      </c>
      <c r="AU216" t="inlineStr"/>
      <c r="AV216" t="n">
        <v>0</v>
      </c>
      <c r="AW216" t="n">
        <v>2</v>
      </c>
      <c r="AX216" t="n">
        <v>78870311</v>
      </c>
      <c r="AY216" t="n">
        <v>1</v>
      </c>
      <c r="AZ216" t="n">
        <v>0</v>
      </c>
      <c r="BA216" t="n">
        <v>201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>
        <f>ROUND(Y216*Source!I428*DO216,7)</f>
        <v/>
      </c>
      <c r="CX216">
        <f>ROUND(Y216*Source!I428,7)</f>
        <v/>
      </c>
      <c r="CY216">
        <f>AB216</f>
        <v/>
      </c>
      <c r="CZ216">
        <f>AF216</f>
        <v/>
      </c>
      <c r="DA216">
        <f>AJ216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ROUND(ROUND(AE216,0)*CX216,0)</f>
        <v/>
      </c>
      <c r="DG216">
        <f>ROUND(ROUND(AF216*AJ216,0)*CX216,0)</f>
        <v/>
      </c>
      <c r="DH216">
        <f>ROUND(ROUND(AG216*AK216,0)*CX216,0)</f>
        <v/>
      </c>
      <c r="DI216">
        <f>ROUND(ROUND(AH216,0)*CX216,0)</f>
        <v/>
      </c>
      <c r="DJ216">
        <f>DG216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ROW(Source!A428)</f>
        <v/>
      </c>
      <c r="B217" t="n">
        <v>78869116</v>
      </c>
      <c r="C217" t="n">
        <v>78870307</v>
      </c>
      <c r="D217" t="n">
        <v>29174913</v>
      </c>
      <c r="E217" t="n">
        <v>1</v>
      </c>
      <c r="F217" t="n">
        <v>1</v>
      </c>
      <c r="G217" t="n">
        <v>1</v>
      </c>
      <c r="H217" t="n">
        <v>2</v>
      </c>
      <c r="I217" t="inlineStr">
        <is>
          <t>400001</t>
        </is>
      </c>
      <c r="J217" t="inlineStr">
        <is>
          <t>ТСЭМ Московской обл., 400001, приказ Минстроя России №675/пр от 28.02.2017 № 264/пр</t>
        </is>
      </c>
      <c r="K217" t="inlineStr">
        <is>
          <t>Автомобили бортовые, грузоподъемность до 5 т</t>
        </is>
      </c>
      <c r="L217" t="n">
        <v>1368</v>
      </c>
      <c r="N217" t="n">
        <v>1011</v>
      </c>
      <c r="O217" t="inlineStr">
        <is>
          <t>маш.-ч</t>
        </is>
      </c>
      <c r="P217" t="inlineStr">
        <is>
          <t>маш.-ч</t>
        </is>
      </c>
      <c r="Q217" t="n">
        <v>1</v>
      </c>
      <c r="W217" t="n">
        <v>0</v>
      </c>
      <c r="X217" t="n">
        <v>1230759911</v>
      </c>
      <c r="Y217">
        <f>AT217</f>
        <v/>
      </c>
      <c r="AA217" t="n">
        <v>0</v>
      </c>
      <c r="AB217" t="n">
        <v>2177.51</v>
      </c>
      <c r="AC217" t="n">
        <v>606.1</v>
      </c>
      <c r="AD217" t="n">
        <v>0</v>
      </c>
      <c r="AE217" t="n">
        <v>0</v>
      </c>
      <c r="AF217" t="n">
        <v>87.17</v>
      </c>
      <c r="AG217" t="n">
        <v>11.6</v>
      </c>
      <c r="AH217" t="n">
        <v>0</v>
      </c>
      <c r="AI217" t="n">
        <v>1</v>
      </c>
      <c r="AJ217" t="n">
        <v>24.98</v>
      </c>
      <c r="AK217" t="n">
        <v>52.25</v>
      </c>
      <c r="AL217" t="n">
        <v>1</v>
      </c>
      <c r="AM217" t="n">
        <v>2</v>
      </c>
      <c r="AN217" t="n">
        <v>0</v>
      </c>
      <c r="AO217" t="n">
        <v>1</v>
      </c>
      <c r="AP217" t="n">
        <v>0</v>
      </c>
      <c r="AQ217" t="n">
        <v>0</v>
      </c>
      <c r="AR217" t="n">
        <v>0</v>
      </c>
      <c r="AS217" t="inlineStr"/>
      <c r="AT217" t="n">
        <v>0.02</v>
      </c>
      <c r="AU217" t="inlineStr"/>
      <c r="AV217" t="n">
        <v>0</v>
      </c>
      <c r="AW217" t="n">
        <v>2</v>
      </c>
      <c r="AX217" t="n">
        <v>78870312</v>
      </c>
      <c r="AY217" t="n">
        <v>1</v>
      </c>
      <c r="AZ217" t="n">
        <v>0</v>
      </c>
      <c r="BA217" t="n">
        <v>202</v>
      </c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>
        <f>ROUND(Y217*Source!I428*DO217,7)</f>
        <v/>
      </c>
      <c r="CX217">
        <f>ROUND(Y217*Source!I428,7)</f>
        <v/>
      </c>
      <c r="CY217">
        <f>AB217</f>
        <v/>
      </c>
      <c r="CZ217">
        <f>AF217</f>
        <v/>
      </c>
      <c r="DA217">
        <f>AJ217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ROUND(ROUND(AF217*AJ217,0)*CX217,0)</f>
        <v/>
      </c>
      <c r="DH217">
        <f>ROUND(ROUND(AG217*AK217,0)*CX217,0)</f>
        <v/>
      </c>
      <c r="DI217">
        <f>ROUND(ROUND(AH217,0)*CX217,0)</f>
        <v/>
      </c>
      <c r="DJ217">
        <f>DG217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ROW(Source!A428)</f>
        <v/>
      </c>
      <c r="B218" t="n">
        <v>78869116</v>
      </c>
      <c r="C218" t="n">
        <v>78870307</v>
      </c>
      <c r="D218" t="n">
        <v>29118588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103-1009</t>
        </is>
      </c>
      <c r="J218" t="inlineStr">
        <is>
          <t>ТССЦ Московской обл., 103-1009, приказ Минстроя России №675/пр от 28.02.2017 № 254/пр</t>
        </is>
      </c>
      <c r="K218" t="inlineStr">
        <is>
          <t>Фасонные стальные сварные части, диаметр до 800 мм/ прим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W218" t="n">
        <v>0</v>
      </c>
      <c r="X218" t="n">
        <v>91071629</v>
      </c>
      <c r="Y218">
        <f>AT218</f>
        <v/>
      </c>
      <c r="AA218" t="n">
        <v>178695</v>
      </c>
      <c r="AB218" t="n">
        <v>0</v>
      </c>
      <c r="AC218" t="n">
        <v>0</v>
      </c>
      <c r="AD218" t="n">
        <v>0</v>
      </c>
      <c r="AE218" t="n">
        <v>5500</v>
      </c>
      <c r="AF218" t="n">
        <v>0</v>
      </c>
      <c r="AG218" t="n">
        <v>0</v>
      </c>
      <c r="AH218" t="n">
        <v>0</v>
      </c>
      <c r="AI218" t="n">
        <v>32.49</v>
      </c>
      <c r="AJ218" t="n">
        <v>1</v>
      </c>
      <c r="AK218" t="n">
        <v>1</v>
      </c>
      <c r="AL218" t="n">
        <v>1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  <c r="AS218" t="inlineStr"/>
      <c r="AT218" t="n">
        <v>0.0114286</v>
      </c>
      <c r="AU218" t="inlineStr"/>
      <c r="AV218" t="n">
        <v>0</v>
      </c>
      <c r="AW218" t="n">
        <v>1</v>
      </c>
      <c r="AX218" t="n">
        <v>-1</v>
      </c>
      <c r="AY218" t="n">
        <v>0</v>
      </c>
      <c r="AZ218" t="n">
        <v>0</v>
      </c>
      <c r="BA218" t="inlineStr"/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V218" t="n">
        <v>0</v>
      </c>
      <c r="CW218" t="n">
        <v>0</v>
      </c>
      <c r="CX218">
        <f>ROUND(Y218*Source!I428,7)</f>
        <v/>
      </c>
      <c r="CY218">
        <f>AA218</f>
        <v/>
      </c>
      <c r="CZ218">
        <f>AE218</f>
        <v/>
      </c>
      <c r="DA218">
        <f>AI218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ROUND(ROUND(AE218*AI218,0)*CX218,0)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DF218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ROW(Source!A428)</f>
        <v/>
      </c>
      <c r="B219" t="n">
        <v>78869116</v>
      </c>
      <c r="C219" t="n">
        <v>78870307</v>
      </c>
      <c r="D219" t="n">
        <v>29144133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302-1650</t>
        </is>
      </c>
      <c r="J219" t="inlineStr">
        <is>
          <t>ТССЦ Московской обл., 302-1650, приказ Минстроя России №675/пр от 28.02.2017 № 256/пр</t>
        </is>
      </c>
      <c r="K219" t="inlineStr">
        <is>
          <t>Крестовина К90-90х90</t>
        </is>
      </c>
      <c r="L219" t="n">
        <v>1358</v>
      </c>
      <c r="N219" t="n">
        <v>1010</v>
      </c>
      <c r="O219" t="inlineStr">
        <is>
          <t>10 шт.</t>
        </is>
      </c>
      <c r="P219" t="inlineStr">
        <is>
          <t>10 шт.</t>
        </is>
      </c>
      <c r="Q219" t="n">
        <v>10</v>
      </c>
      <c r="W219" t="n">
        <v>1</v>
      </c>
      <c r="X219" t="n">
        <v>1489252311</v>
      </c>
      <c r="Y219">
        <f>AT219</f>
        <v/>
      </c>
      <c r="AA219" t="n">
        <v>997.6</v>
      </c>
      <c r="AB219" t="n">
        <v>0</v>
      </c>
      <c r="AC219" t="n">
        <v>0</v>
      </c>
      <c r="AD219" t="n">
        <v>0</v>
      </c>
      <c r="AE219" t="n">
        <v>92.8</v>
      </c>
      <c r="AF219" t="n">
        <v>0</v>
      </c>
      <c r="AG219" t="n">
        <v>0</v>
      </c>
      <c r="AH219" t="n">
        <v>0</v>
      </c>
      <c r="AI219" t="n">
        <v>10.75</v>
      </c>
      <c r="AJ219" t="n">
        <v>1</v>
      </c>
      <c r="AK219" t="n">
        <v>1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-1</v>
      </c>
      <c r="AU219" t="inlineStr"/>
      <c r="AV219" t="n">
        <v>0</v>
      </c>
      <c r="AW219" t="n">
        <v>2</v>
      </c>
      <c r="AX219" t="n">
        <v>78870313</v>
      </c>
      <c r="AY219" t="n">
        <v>1</v>
      </c>
      <c r="AZ219" t="n">
        <v>6144</v>
      </c>
      <c r="BA219" t="n">
        <v>203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 t="n">
        <v>0</v>
      </c>
      <c r="CX219">
        <f>ROUND(Y219*Source!I428,7)</f>
        <v/>
      </c>
      <c r="CY219">
        <f>AA219</f>
        <v/>
      </c>
      <c r="CZ219">
        <f>AE219</f>
        <v/>
      </c>
      <c r="DA219">
        <f>AI219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ROUND(ROUND(AE219*AI219,0)*CX219,0)</f>
        <v/>
      </c>
      <c r="DG219">
        <f>ROUND(ROUND(AF219,0)*CX219,0)</f>
        <v/>
      </c>
      <c r="DH219">
        <f>ROUND(ROUND(AG219,0)*CX219,0)</f>
        <v/>
      </c>
      <c r="DI219">
        <f>ROUND(ROUND(AH219,0)*CX219,0)</f>
        <v/>
      </c>
      <c r="DJ219">
        <f>DF219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ROW(Source!A469)</f>
        <v/>
      </c>
      <c r="B220" t="n">
        <v>78869116</v>
      </c>
      <c r="C220" t="n">
        <v>78870405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W220" t="n">
        <v>0</v>
      </c>
      <c r="X220" t="n">
        <v>855544366</v>
      </c>
      <c r="Y220">
        <f>AT220</f>
        <v/>
      </c>
      <c r="AA220" t="n">
        <v>0</v>
      </c>
      <c r="AB220" t="n">
        <v>0</v>
      </c>
      <c r="AC220" t="n">
        <v>0</v>
      </c>
      <c r="AD220" t="n">
        <v>9.07</v>
      </c>
      <c r="AE220" t="n">
        <v>0</v>
      </c>
      <c r="AF220" t="n">
        <v>0</v>
      </c>
      <c r="AG220" t="n">
        <v>0</v>
      </c>
      <c r="AH220" t="n">
        <v>9.07</v>
      </c>
      <c r="AI220" t="n">
        <v>1</v>
      </c>
      <c r="AJ220" t="n">
        <v>1</v>
      </c>
      <c r="AK220" t="n">
        <v>1</v>
      </c>
      <c r="AL220" t="n">
        <v>1</v>
      </c>
      <c r="AM220" t="n">
        <v>-2</v>
      </c>
      <c r="AN220" t="n">
        <v>0</v>
      </c>
      <c r="AO220" t="n">
        <v>1</v>
      </c>
      <c r="AP220" t="n">
        <v>1</v>
      </c>
      <c r="AQ220" t="n">
        <v>0</v>
      </c>
      <c r="AR220" t="n">
        <v>0</v>
      </c>
      <c r="AS220" t="inlineStr"/>
      <c r="AT220" t="n">
        <v>81</v>
      </c>
      <c r="AU220" t="inlineStr"/>
      <c r="AV220" t="n">
        <v>1</v>
      </c>
      <c r="AW220" t="n">
        <v>2</v>
      </c>
      <c r="AX220" t="n">
        <v>78870414</v>
      </c>
      <c r="AY220" t="n">
        <v>1</v>
      </c>
      <c r="AZ220" t="n">
        <v>0</v>
      </c>
      <c r="BA220" t="n">
        <v>204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U220">
        <f>ROUND(AT220*Source!I469*AH220*AL220,0)</f>
        <v/>
      </c>
      <c r="CV220">
        <f>ROUND(Y220*Source!I469,7)</f>
        <v/>
      </c>
      <c r="CW220" t="n">
        <v>0</v>
      </c>
      <c r="CX220">
        <f>ROUND(Y220*Source!I469,7)</f>
        <v/>
      </c>
      <c r="CY220">
        <f>AD220</f>
        <v/>
      </c>
      <c r="CZ220">
        <f>AH220</f>
        <v/>
      </c>
      <c r="DA220">
        <f>AL220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DI220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ROW(Source!A469)</f>
        <v/>
      </c>
      <c r="B221" t="n">
        <v>78869116</v>
      </c>
      <c r="C221" t="n">
        <v>78870405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W221" t="n">
        <v>0</v>
      </c>
      <c r="X221" t="n">
        <v>1230759911</v>
      </c>
      <c r="Y221">
        <f>AT221</f>
        <v/>
      </c>
      <c r="AA221" t="n">
        <v>0</v>
      </c>
      <c r="AB221" t="n">
        <v>2177.51</v>
      </c>
      <c r="AC221" t="n">
        <v>606.1</v>
      </c>
      <c r="AD221" t="n">
        <v>0</v>
      </c>
      <c r="AE221" t="n">
        <v>0</v>
      </c>
      <c r="AF221" t="n">
        <v>87.17</v>
      </c>
      <c r="AG221" t="n">
        <v>11.6</v>
      </c>
      <c r="AH221" t="n">
        <v>0</v>
      </c>
      <c r="AI221" t="n">
        <v>1</v>
      </c>
      <c r="AJ221" t="n">
        <v>24.98</v>
      </c>
      <c r="AK221" t="n">
        <v>52.25</v>
      </c>
      <c r="AL221" t="n">
        <v>1</v>
      </c>
      <c r="AM221" t="n">
        <v>2</v>
      </c>
      <c r="AN221" t="n">
        <v>0</v>
      </c>
      <c r="AO221" t="n">
        <v>1</v>
      </c>
      <c r="AP221" t="n">
        <v>1</v>
      </c>
      <c r="AQ221" t="n">
        <v>0</v>
      </c>
      <c r="AR221" t="n">
        <v>0</v>
      </c>
      <c r="AS221" t="inlineStr"/>
      <c r="AT221" t="n">
        <v>0.05</v>
      </c>
      <c r="AU221" t="inlineStr"/>
      <c r="AV221" t="n">
        <v>0</v>
      </c>
      <c r="AW221" t="n">
        <v>2</v>
      </c>
      <c r="AX221" t="n">
        <v>78870415</v>
      </c>
      <c r="AY221" t="n">
        <v>1</v>
      </c>
      <c r="AZ221" t="n">
        <v>0</v>
      </c>
      <c r="BA221" t="n">
        <v>205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>
        <f>ROUND(Y221*Source!I469*DO221,7)</f>
        <v/>
      </c>
      <c r="CX221">
        <f>ROUND(Y221*Source!I469,7)</f>
        <v/>
      </c>
      <c r="CY221">
        <f>AB221</f>
        <v/>
      </c>
      <c r="CZ221">
        <f>AF221</f>
        <v/>
      </c>
      <c r="DA221">
        <f>AJ221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ROUND(ROUND(AE221,0)*CX221,0)</f>
        <v/>
      </c>
      <c r="DG221">
        <f>ROUND(ROUND(AF221*AJ221,0)*CX221,0)</f>
        <v/>
      </c>
      <c r="DH221">
        <f>ROUND(ROUND(AG221*AK221,0)*CX221,0)</f>
        <v/>
      </c>
      <c r="DI221">
        <f>ROUND(ROUND(AH221,0)*CX221,0)</f>
        <v/>
      </c>
      <c r="DJ221">
        <f>DG221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ROW(Source!A469)</f>
        <v/>
      </c>
      <c r="B222" t="n">
        <v>78869116</v>
      </c>
      <c r="C222" t="n">
        <v>78870405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W222" t="n">
        <v>0</v>
      </c>
      <c r="X222" t="n">
        <v>1625292450</v>
      </c>
      <c r="Y222">
        <f>AT222</f>
        <v/>
      </c>
      <c r="AA222" t="n">
        <v>76804.47</v>
      </c>
      <c r="AB222" t="n">
        <v>0</v>
      </c>
      <c r="AC222" t="n">
        <v>0</v>
      </c>
      <c r="AD222" t="n">
        <v>0</v>
      </c>
      <c r="AE222" t="n">
        <v>15118.99</v>
      </c>
      <c r="AF222" t="n">
        <v>0</v>
      </c>
      <c r="AG222" t="n">
        <v>0</v>
      </c>
      <c r="AH222" t="n">
        <v>0</v>
      </c>
      <c r="AI222" t="n">
        <v>5.08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1</v>
      </c>
      <c r="AQ222" t="n">
        <v>0</v>
      </c>
      <c r="AR222" t="n">
        <v>0</v>
      </c>
      <c r="AS222" t="inlineStr"/>
      <c r="AT222" t="n">
        <v>0.0014</v>
      </c>
      <c r="AU222" t="inlineStr"/>
      <c r="AV222" t="n">
        <v>0</v>
      </c>
      <c r="AW222" t="n">
        <v>2</v>
      </c>
      <c r="AX222" t="n">
        <v>78870416</v>
      </c>
      <c r="AY222" t="n">
        <v>1</v>
      </c>
      <c r="AZ222" t="n">
        <v>0</v>
      </c>
      <c r="BA222" t="n">
        <v>206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ROUND(Y222*Source!I469,7)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ROW(Source!A469)</f>
        <v/>
      </c>
      <c r="B223" t="n">
        <v>78869116</v>
      </c>
      <c r="C223" t="n">
        <v>78870405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W223" t="n">
        <v>0</v>
      </c>
      <c r="X223" t="n">
        <v>24062879</v>
      </c>
      <c r="Y223">
        <f>AT223</f>
        <v/>
      </c>
      <c r="AA223" t="n">
        <v>87631.5</v>
      </c>
      <c r="AB223" t="n">
        <v>0</v>
      </c>
      <c r="AC223" t="n">
        <v>0</v>
      </c>
      <c r="AD223" t="n">
        <v>0</v>
      </c>
      <c r="AE223" t="n">
        <v>16950</v>
      </c>
      <c r="AF223" t="n">
        <v>0</v>
      </c>
      <c r="AG223" t="n">
        <v>0</v>
      </c>
      <c r="AH223" t="n">
        <v>0</v>
      </c>
      <c r="AI223" t="n">
        <v>5.17</v>
      </c>
      <c r="AJ223" t="n">
        <v>1</v>
      </c>
      <c r="AK223" t="n">
        <v>1</v>
      </c>
      <c r="AL223" t="n">
        <v>1</v>
      </c>
      <c r="AM223" t="n">
        <v>2</v>
      </c>
      <c r="AN223" t="n">
        <v>0</v>
      </c>
      <c r="AO223" t="n">
        <v>1</v>
      </c>
      <c r="AP223" t="n">
        <v>1</v>
      </c>
      <c r="AQ223" t="n">
        <v>0</v>
      </c>
      <c r="AR223" t="n">
        <v>0</v>
      </c>
      <c r="AS223" t="inlineStr"/>
      <c r="AT223" t="n">
        <v>0.0007</v>
      </c>
      <c r="AU223" t="inlineStr"/>
      <c r="AV223" t="n">
        <v>0</v>
      </c>
      <c r="AW223" t="n">
        <v>2</v>
      </c>
      <c r="AX223" t="n">
        <v>78870417</v>
      </c>
      <c r="AY223" t="n">
        <v>1</v>
      </c>
      <c r="AZ223" t="n">
        <v>0</v>
      </c>
      <c r="BA223" t="n">
        <v>207</v>
      </c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ROUND(Y223*Source!I469,7)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ROW(Source!A469)</f>
        <v/>
      </c>
      <c r="B224" t="n">
        <v>78869116</v>
      </c>
      <c r="C224" t="n">
        <v>78870405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W224" t="n">
        <v>0</v>
      </c>
      <c r="X224" t="n">
        <v>-2113933962</v>
      </c>
      <c r="Y224">
        <f>AT224</f>
        <v/>
      </c>
      <c r="AA224" t="n">
        <v>590.67</v>
      </c>
      <c r="AB224" t="n">
        <v>0</v>
      </c>
      <c r="AC224" t="n">
        <v>0</v>
      </c>
      <c r="AD224" t="n">
        <v>0</v>
      </c>
      <c r="AE224" t="n">
        <v>37.29</v>
      </c>
      <c r="AF224" t="n">
        <v>0</v>
      </c>
      <c r="AG224" t="n">
        <v>0</v>
      </c>
      <c r="AH224" t="n">
        <v>0</v>
      </c>
      <c r="AI224" t="n">
        <v>15.84</v>
      </c>
      <c r="AJ224" t="n">
        <v>1</v>
      </c>
      <c r="AK224" t="n">
        <v>1</v>
      </c>
      <c r="AL224" t="n">
        <v>1</v>
      </c>
      <c r="AM224" t="n">
        <v>2</v>
      </c>
      <c r="AN224" t="n">
        <v>0</v>
      </c>
      <c r="AO224" t="n">
        <v>1</v>
      </c>
      <c r="AP224" t="n">
        <v>1</v>
      </c>
      <c r="AQ224" t="n">
        <v>0</v>
      </c>
      <c r="AR224" t="n">
        <v>0</v>
      </c>
      <c r="AS224" t="inlineStr"/>
      <c r="AT224" t="n">
        <v>0.7</v>
      </c>
      <c r="AU224" t="inlineStr"/>
      <c r="AV224" t="n">
        <v>0</v>
      </c>
      <c r="AW224" t="n">
        <v>2</v>
      </c>
      <c r="AX224" t="n">
        <v>78870418</v>
      </c>
      <c r="AY224" t="n">
        <v>1</v>
      </c>
      <c r="AZ224" t="n">
        <v>0</v>
      </c>
      <c r="BA224" t="n">
        <v>208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ROUND(Y224*Source!I469,7)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ROUND(ROUND(AE224*AI224,0)*CX224,0)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ROW(Source!A469)</f>
        <v/>
      </c>
      <c r="B225" t="n">
        <v>78869116</v>
      </c>
      <c r="C225" t="n">
        <v>78870405</v>
      </c>
      <c r="D225" t="n">
        <v>29143378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302-0062</t>
        </is>
      </c>
      <c r="J225" t="inlineStr">
        <is>
          <t>ТССЦ Московской обл., 302-0062, приказ Минстроя России №675/пр от 28.02.2017 № 256/пр</t>
        </is>
      </c>
      <c r="K225" t="inlineStr">
        <is>
          <t>Кран шаровый муфтовый Valtec для воды диаметром 15 мм, тип в/в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W225" t="n">
        <v>0</v>
      </c>
      <c r="X225" t="n">
        <v>-1687406522</v>
      </c>
      <c r="Y225">
        <f>AT225</f>
        <v/>
      </c>
      <c r="AA225" t="n">
        <v>384.3</v>
      </c>
      <c r="AB225" t="n">
        <v>0</v>
      </c>
      <c r="AC225" t="n">
        <v>0</v>
      </c>
      <c r="AD225" t="n">
        <v>0</v>
      </c>
      <c r="AE225" t="n">
        <v>28.53</v>
      </c>
      <c r="AF225" t="n">
        <v>0</v>
      </c>
      <c r="AG225" t="n">
        <v>0</v>
      </c>
      <c r="AH225" t="n">
        <v>0</v>
      </c>
      <c r="AI225" t="n">
        <v>13.47</v>
      </c>
      <c r="AJ225" t="n">
        <v>1</v>
      </c>
      <c r="AK225" t="n">
        <v>1</v>
      </c>
      <c r="AL225" t="n">
        <v>1</v>
      </c>
      <c r="AM225" t="n">
        <v>0</v>
      </c>
      <c r="AN225" t="n">
        <v>0</v>
      </c>
      <c r="AO225" t="n">
        <v>0</v>
      </c>
      <c r="AP225" t="n">
        <v>1</v>
      </c>
      <c r="AQ225" t="n">
        <v>0</v>
      </c>
      <c r="AR225" t="n">
        <v>0</v>
      </c>
      <c r="AS225" t="inlineStr"/>
      <c r="AT225" t="n">
        <v>100</v>
      </c>
      <c r="AU225" t="inlineStr"/>
      <c r="AV225" t="n">
        <v>0</v>
      </c>
      <c r="AW225" t="n">
        <v>1</v>
      </c>
      <c r="AX225" t="n">
        <v>-1</v>
      </c>
      <c r="AY225" t="n">
        <v>0</v>
      </c>
      <c r="AZ225" t="n">
        <v>0</v>
      </c>
      <c r="BA225" t="inlineStr"/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V225" t="n">
        <v>0</v>
      </c>
      <c r="CW225" t="n">
        <v>0</v>
      </c>
      <c r="CX225">
        <f>ROUND(Y225*Source!I469,7)</f>
        <v/>
      </c>
      <c r="CY225">
        <f>AA225</f>
        <v/>
      </c>
      <c r="CZ225">
        <f>AE225</f>
        <v/>
      </c>
      <c r="DA225">
        <f>AI225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ROUND(ROUND(AE225*AI225,0)*CX225,0)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DF225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ROW(Source!A469)</f>
        <v/>
      </c>
      <c r="B226" t="n">
        <v>78869116</v>
      </c>
      <c r="C226" t="n">
        <v>78870405</v>
      </c>
      <c r="D226" t="n">
        <v>29142465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302-1342</t>
        </is>
      </c>
      <c r="J226" t="inlineStr">
        <is>
          <t>ТССЦ Московской обл., 302-1342, приказ Минстроя России №675/пр от 28.02.2017 № 256/пр</t>
        </is>
      </c>
      <c r="K226" t="inlineStr">
        <is>
          <t>Вентили проходные муфтовые 15кч18п для воды давлением 1,6 МПа (16 кгс/см2), диаметром 20 мм</t>
        </is>
      </c>
      <c r="L226" t="n">
        <v>1354</v>
      </c>
      <c r="N226" t="n">
        <v>1010</v>
      </c>
      <c r="O226" t="inlineStr">
        <is>
          <t>шт.</t>
        </is>
      </c>
      <c r="P226" t="inlineStr">
        <is>
          <t>шт.</t>
        </is>
      </c>
      <c r="Q226" t="n">
        <v>1</v>
      </c>
      <c r="W226" t="n">
        <v>0</v>
      </c>
      <c r="X226" t="n">
        <v>-852705161</v>
      </c>
      <c r="Y226">
        <f>AT226</f>
        <v/>
      </c>
      <c r="AA226" t="n">
        <v>221.81</v>
      </c>
      <c r="AB226" t="n">
        <v>0</v>
      </c>
      <c r="AC226" t="n">
        <v>0</v>
      </c>
      <c r="AD226" t="n">
        <v>0</v>
      </c>
      <c r="AE226" t="n">
        <v>21.81</v>
      </c>
      <c r="AF226" t="n">
        <v>0</v>
      </c>
      <c r="AG226" t="n">
        <v>0</v>
      </c>
      <c r="AH226" t="n">
        <v>0</v>
      </c>
      <c r="AI226" t="n">
        <v>10.17</v>
      </c>
      <c r="AJ226" t="n">
        <v>1</v>
      </c>
      <c r="AK226" t="n">
        <v>1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100</v>
      </c>
      <c r="AU226" t="inlineStr"/>
      <c r="AV226" t="n">
        <v>0</v>
      </c>
      <c r="AW226" t="n">
        <v>2</v>
      </c>
      <c r="AX226" t="n">
        <v>78870419</v>
      </c>
      <c r="AY226" t="n">
        <v>1</v>
      </c>
      <c r="AZ226" t="n">
        <v>0</v>
      </c>
      <c r="BA226" t="n">
        <v>209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 t="n">
        <v>0</v>
      </c>
      <c r="CX226">
        <f>ROUND(Y226*Source!I469,7)</f>
        <v/>
      </c>
      <c r="CY226">
        <f>AA226</f>
        <v/>
      </c>
      <c r="CZ226">
        <f>AE226</f>
        <v/>
      </c>
      <c r="DA226">
        <f>AI226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ROUND(ROUND(AE226*AI226,0)*CX226,0)</f>
        <v/>
      </c>
      <c r="DG226">
        <f>ROUND(ROUND(AF226,0)*CX226,0)</f>
        <v/>
      </c>
      <c r="DH226">
        <f>ROUND(ROUND(AG226,0)*CX226,0)</f>
        <v/>
      </c>
      <c r="DI226">
        <f>ROUND(ROUND(AH226,0)*CX226,0)</f>
        <v/>
      </c>
      <c r="DJ226">
        <f>DF226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ROW(Source!A469)</f>
        <v/>
      </c>
      <c r="B227" t="n">
        <v>78869116</v>
      </c>
      <c r="C227" t="n">
        <v>78870405</v>
      </c>
      <c r="D227" t="n">
        <v>29164350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509-9899</t>
        </is>
      </c>
      <c r="J227" t="inlineStr">
        <is>
          <t>ТССЦ Московской обл., 509-9899, приказ Минстроя России №675/пр от 28.02.2017 № 258/пр</t>
        </is>
      </c>
      <c r="K227" t="inlineStr">
        <is>
          <t>Строительный мусор и масса возвратных материалов</t>
        </is>
      </c>
      <c r="L227" t="n">
        <v>1348</v>
      </c>
      <c r="N227" t="n">
        <v>1009</v>
      </c>
      <c r="O227" t="inlineStr">
        <is>
          <t>т</t>
        </is>
      </c>
      <c r="P227" t="inlineStr">
        <is>
          <t>т</t>
        </is>
      </c>
      <c r="Q227" t="n">
        <v>1000</v>
      </c>
      <c r="W227" t="n">
        <v>0</v>
      </c>
      <c r="X227" t="n">
        <v>1839160745</v>
      </c>
      <c r="Y227">
        <f>AT227</f>
        <v/>
      </c>
      <c r="AA227" t="n">
        <v>0</v>
      </c>
      <c r="AB227" t="n">
        <v>0</v>
      </c>
      <c r="AC227" t="n">
        <v>0</v>
      </c>
      <c r="AD227" t="n">
        <v>0</v>
      </c>
      <c r="AE227" t="n">
        <v>0</v>
      </c>
      <c r="AF227" t="n">
        <v>0</v>
      </c>
      <c r="AG227" t="n">
        <v>0</v>
      </c>
      <c r="AH227" t="n">
        <v>0</v>
      </c>
      <c r="AI227" t="n">
        <v>1</v>
      </c>
      <c r="AJ227" t="n">
        <v>1</v>
      </c>
      <c r="AK227" t="n">
        <v>1</v>
      </c>
      <c r="AL227" t="n">
        <v>1</v>
      </c>
      <c r="AM227" t="n">
        <v>0</v>
      </c>
      <c r="AN227" t="n">
        <v>0</v>
      </c>
      <c r="AO227" t="n">
        <v>0</v>
      </c>
      <c r="AP227" t="n">
        <v>1</v>
      </c>
      <c r="AQ227" t="n">
        <v>0</v>
      </c>
      <c r="AR227" t="n">
        <v>0</v>
      </c>
      <c r="AS227" t="inlineStr"/>
      <c r="AT227" t="n">
        <v>0.04</v>
      </c>
      <c r="AU227" t="inlineStr"/>
      <c r="AV227" t="n">
        <v>0</v>
      </c>
      <c r="AW227" t="n">
        <v>2</v>
      </c>
      <c r="AX227" t="n">
        <v>78870420</v>
      </c>
      <c r="AY227" t="n">
        <v>1</v>
      </c>
      <c r="AZ227" t="n">
        <v>0</v>
      </c>
      <c r="BA227" t="n">
        <v>210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ROUND(Y227*Source!I469,7)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ROW(Source!A472)</f>
        <v/>
      </c>
      <c r="B228" t="n">
        <v>78869116</v>
      </c>
      <c r="C228" t="n">
        <v>78870423</v>
      </c>
      <c r="D228" t="n">
        <v>18442827</v>
      </c>
      <c r="E228" t="n">
        <v>1</v>
      </c>
      <c r="F228" t="n">
        <v>1</v>
      </c>
      <c r="G228" t="n">
        <v>1</v>
      </c>
      <c r="H228" t="n">
        <v>1</v>
      </c>
      <c r="I228" t="inlineStr">
        <is>
          <t>1-1053-90</t>
        </is>
      </c>
      <c r="J228" t="inlineStr"/>
      <c r="K228" t="inlineStr">
        <is>
          <t>Рабочий строитель среднего разряда 5,3</t>
        </is>
      </c>
      <c r="L228" t="n">
        <v>1369</v>
      </c>
      <c r="N228" t="n">
        <v>1013</v>
      </c>
      <c r="O228" t="inlineStr">
        <is>
          <t>чел.-ч</t>
        </is>
      </c>
      <c r="P228" t="inlineStr">
        <is>
          <t>чел.-ч</t>
        </is>
      </c>
      <c r="Q228" t="n">
        <v>1</v>
      </c>
      <c r="W228" t="n">
        <v>0</v>
      </c>
      <c r="X228" t="n">
        <v>717490484</v>
      </c>
      <c r="Y228">
        <f>(AT228*ROUND(8,7))</f>
        <v/>
      </c>
      <c r="AA228" t="n">
        <v>0</v>
      </c>
      <c r="AB228" t="n">
        <v>0</v>
      </c>
      <c r="AC228" t="n">
        <v>0</v>
      </c>
      <c r="AD228" t="n">
        <v>11.64</v>
      </c>
      <c r="AE228" t="n">
        <v>0</v>
      </c>
      <c r="AF228" t="n">
        <v>0</v>
      </c>
      <c r="AG228" t="n">
        <v>0</v>
      </c>
      <c r="AH228" t="n">
        <v>11.64</v>
      </c>
      <c r="AI228" t="n">
        <v>1</v>
      </c>
      <c r="AJ228" t="n">
        <v>1</v>
      </c>
      <c r="AK228" t="n">
        <v>1</v>
      </c>
      <c r="AL228" t="n">
        <v>1</v>
      </c>
      <c r="AM228" t="n">
        <v>-2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5.01</v>
      </c>
      <c r="AU228" t="inlineStr">
        <is>
          <t>)*8</t>
        </is>
      </c>
      <c r="AV228" t="n">
        <v>1</v>
      </c>
      <c r="AW228" t="n">
        <v>2</v>
      </c>
      <c r="AX228" t="n">
        <v>78870430</v>
      </c>
      <c r="AY228" t="n">
        <v>1</v>
      </c>
      <c r="AZ228" t="n">
        <v>0</v>
      </c>
      <c r="BA228" t="n">
        <v>211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U228">
        <f>ROUND(AT228*Source!I472*AH228*AL228,0)</f>
        <v/>
      </c>
      <c r="CV228">
        <f>ROUND(Y228*Source!I472,7)</f>
        <v/>
      </c>
      <c r="CW228" t="n">
        <v>0</v>
      </c>
      <c r="CX228">
        <f>ROUND(Y228*Source!I472,7)</f>
        <v/>
      </c>
      <c r="CY228">
        <f>AD228</f>
        <v/>
      </c>
      <c r="CZ228">
        <f>AH228</f>
        <v/>
      </c>
      <c r="DA228">
        <f>AL228</f>
        <v/>
      </c>
      <c r="DB228">
        <f>ROUND((ROUND(AT228*CZ228,2)*ROUND(8,7)),2)</f>
        <v/>
      </c>
      <c r="DC228">
        <f>ROUND((ROUND(AT228*AG228,2)*ROUND(8,7)),2)</f>
        <v/>
      </c>
      <c r="DD228" t="inlineStr"/>
      <c r="DE228" t="inlineStr"/>
      <c r="DF228">
        <f>ROUND(ROUND(AE228,0)*CX228,0)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DI228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ROW(Source!A472)</f>
        <v/>
      </c>
      <c r="B229" t="n">
        <v>78869116</v>
      </c>
      <c r="C229" t="n">
        <v>78870423</v>
      </c>
      <c r="D229" t="n">
        <v>29172703</v>
      </c>
      <c r="E229" t="n">
        <v>1</v>
      </c>
      <c r="F229" t="n">
        <v>1</v>
      </c>
      <c r="G229" t="n">
        <v>1</v>
      </c>
      <c r="H229" t="n">
        <v>2</v>
      </c>
      <c r="I229" t="inlineStr">
        <is>
          <t>042900</t>
        </is>
      </c>
      <c r="J229" t="inlineStr">
        <is>
          <t>ТСЭМ Московской обл., 042900, приказ Минстроя России №675/пр от 28.02.2017 № 264/пр</t>
        </is>
      </c>
      <c r="K2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29" t="n">
        <v>1368</v>
      </c>
      <c r="N229" t="n">
        <v>1011</v>
      </c>
      <c r="O229" t="inlineStr">
        <is>
          <t>маш.-ч</t>
        </is>
      </c>
      <c r="P229" t="inlineStr">
        <is>
          <t>маш.-ч</t>
        </is>
      </c>
      <c r="Q229" t="n">
        <v>1</v>
      </c>
      <c r="W229" t="n">
        <v>0</v>
      </c>
      <c r="X229" t="n">
        <v>1695838894</v>
      </c>
      <c r="Y229">
        <f>(AT229*ROUND(8,7))</f>
        <v/>
      </c>
      <c r="AA229" t="n">
        <v>0</v>
      </c>
      <c r="AB229" t="n">
        <v>177.13</v>
      </c>
      <c r="AC229" t="n">
        <v>0</v>
      </c>
      <c r="AD229" t="n">
        <v>0</v>
      </c>
      <c r="AE229" t="n">
        <v>0</v>
      </c>
      <c r="AF229" t="n">
        <v>29.67</v>
      </c>
      <c r="AG229" t="n">
        <v>0</v>
      </c>
      <c r="AH229" t="n">
        <v>0</v>
      </c>
      <c r="AI229" t="n">
        <v>1</v>
      </c>
      <c r="AJ229" t="n">
        <v>5.97</v>
      </c>
      <c r="AK229" t="n">
        <v>52.25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1.5</v>
      </c>
      <c r="AU229" t="inlineStr">
        <is>
          <t>)*8</t>
        </is>
      </c>
      <c r="AV229" t="n">
        <v>0</v>
      </c>
      <c r="AW229" t="n">
        <v>2</v>
      </c>
      <c r="AX229" t="n">
        <v>78870431</v>
      </c>
      <c r="AY229" t="n">
        <v>1</v>
      </c>
      <c r="AZ229" t="n">
        <v>0</v>
      </c>
      <c r="BA229" t="n">
        <v>212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>
        <f>ROUND(Y229*Source!I472*DO229,7)</f>
        <v/>
      </c>
      <c r="CX229">
        <f>ROUND(Y229*Source!I472,7)</f>
        <v/>
      </c>
      <c r="CY229">
        <f>AB229</f>
        <v/>
      </c>
      <c r="CZ229">
        <f>AF229</f>
        <v/>
      </c>
      <c r="DA229">
        <f>AJ229</f>
        <v/>
      </c>
      <c r="DB229">
        <f>ROUND((ROUND(AT229*CZ229,2)*ROUND(8,7)),2)</f>
        <v/>
      </c>
      <c r="DC229">
        <f>ROUND((ROUND(AT229*AG229,2)*ROUND(8,7)),2)</f>
        <v/>
      </c>
      <c r="DD229" t="inlineStr"/>
      <c r="DE229" t="inlineStr"/>
      <c r="DF229">
        <f>ROUND(ROUND(AE229,0)*CX229,0)</f>
        <v/>
      </c>
      <c r="DG229">
        <f>ROUND(ROUND(AF229*AJ229,0)*CX229,0)</f>
        <v/>
      </c>
      <c r="DH229">
        <f>ROUND(ROUND(AG229*AK229,0)*CX229,0)</f>
        <v/>
      </c>
      <c r="DI229">
        <f>ROUND(ROUND(AH229,0)*CX229,0)</f>
        <v/>
      </c>
      <c r="DJ229">
        <f>DG229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ROW(Source!A472)</f>
        <v/>
      </c>
      <c r="B230" t="n">
        <v>78869116</v>
      </c>
      <c r="C230" t="n">
        <v>78870423</v>
      </c>
      <c r="D230" t="n">
        <v>29110398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101-0388</t>
        </is>
      </c>
      <c r="J230" t="inlineStr">
        <is>
          <t>ТССЦ Московской обл., 101-0388, приказ Минстроя России №675/пр от 28.02.2017 № 254/пр</t>
        </is>
      </c>
      <c r="K230" t="inlineStr">
        <is>
          <t>Краски масляные земляные марки МА-0115 мумия, сурик железный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W230" t="n">
        <v>0</v>
      </c>
      <c r="X230" t="n">
        <v>1625292450</v>
      </c>
      <c r="Y230">
        <f>(AT230*ROUND(8,7))</f>
        <v/>
      </c>
      <c r="AA230" t="n">
        <v>76804.47</v>
      </c>
      <c r="AB230" t="n">
        <v>0</v>
      </c>
      <c r="AC230" t="n">
        <v>0</v>
      </c>
      <c r="AD230" t="n">
        <v>0</v>
      </c>
      <c r="AE230" t="n">
        <v>15118.99</v>
      </c>
      <c r="AF230" t="n">
        <v>0</v>
      </c>
      <c r="AG230" t="n">
        <v>0</v>
      </c>
      <c r="AH230" t="n">
        <v>0</v>
      </c>
      <c r="AI230" t="n">
        <v>5.08</v>
      </c>
      <c r="AJ230" t="n">
        <v>1</v>
      </c>
      <c r="AK230" t="n">
        <v>1</v>
      </c>
      <c r="AL230" t="n">
        <v>1</v>
      </c>
      <c r="AM230" t="n">
        <v>2</v>
      </c>
      <c r="AN230" t="n">
        <v>0</v>
      </c>
      <c r="AO230" t="n">
        <v>1</v>
      </c>
      <c r="AP230" t="n">
        <v>1</v>
      </c>
      <c r="AQ230" t="n">
        <v>0</v>
      </c>
      <c r="AR230" t="n">
        <v>0</v>
      </c>
      <c r="AS230" t="inlineStr"/>
      <c r="AT230" t="n">
        <v>5e-05</v>
      </c>
      <c r="AU230" t="inlineStr">
        <is>
          <t>)*8</t>
        </is>
      </c>
      <c r="AV230" t="n">
        <v>0</v>
      </c>
      <c r="AW230" t="n">
        <v>2</v>
      </c>
      <c r="AX230" t="n">
        <v>78870432</v>
      </c>
      <c r="AY230" t="n">
        <v>1</v>
      </c>
      <c r="AZ230" t="n">
        <v>0</v>
      </c>
      <c r="BA230" t="n">
        <v>213</v>
      </c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ROUND(Y230*Source!I472,7)</f>
        <v/>
      </c>
      <c r="CY230">
        <f>AA230</f>
        <v/>
      </c>
      <c r="CZ230">
        <f>AE230</f>
        <v/>
      </c>
      <c r="DA230">
        <f>AI230</f>
        <v/>
      </c>
      <c r="DB230">
        <f>ROUND((ROUND(AT230*CZ230,2)*ROUND(8,7)),2)</f>
        <v/>
      </c>
      <c r="DC230">
        <f>ROUND((ROUND(AT230*AG230,2)*ROUND(8,7)),2)</f>
        <v/>
      </c>
      <c r="DD230" t="inlineStr"/>
      <c r="DE230" t="inlineStr"/>
      <c r="DF230">
        <f>ROUND(ROUND(AE230*AI230,0)*CX230,0)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ROW(Source!A472)</f>
        <v/>
      </c>
      <c r="B231" t="n">
        <v>78869116</v>
      </c>
      <c r="C231" t="n">
        <v>78870423</v>
      </c>
      <c r="D231" t="n">
        <v>29110573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101-0628</t>
        </is>
      </c>
      <c r="J231" t="inlineStr">
        <is>
          <t>ТССЦ Московской обл., 101-0628, приказ Минстроя России №675/пр от 28.02.2017 № 254/пр</t>
        </is>
      </c>
      <c r="K231" t="inlineStr">
        <is>
          <t>Олифа комбинированная, марки К-3</t>
        </is>
      </c>
      <c r="L231" t="n">
        <v>1348</v>
      </c>
      <c r="N231" t="n">
        <v>1009</v>
      </c>
      <c r="O231" t="inlineStr">
        <is>
          <t>т</t>
        </is>
      </c>
      <c r="P231" t="inlineStr">
        <is>
          <t>т</t>
        </is>
      </c>
      <c r="Q231" t="n">
        <v>1000</v>
      </c>
      <c r="W231" t="n">
        <v>0</v>
      </c>
      <c r="X231" t="n">
        <v>24062879</v>
      </c>
      <c r="Y231">
        <f>(AT231*ROUND(8,7))</f>
        <v/>
      </c>
      <c r="AA231" t="n">
        <v>87631.5</v>
      </c>
      <c r="AB231" t="n">
        <v>0</v>
      </c>
      <c r="AC231" t="n">
        <v>0</v>
      </c>
      <c r="AD231" t="n">
        <v>0</v>
      </c>
      <c r="AE231" t="n">
        <v>16950</v>
      </c>
      <c r="AF231" t="n">
        <v>0</v>
      </c>
      <c r="AG231" t="n">
        <v>0</v>
      </c>
      <c r="AH231" t="n">
        <v>0</v>
      </c>
      <c r="AI231" t="n">
        <v>5.17</v>
      </c>
      <c r="AJ231" t="n">
        <v>1</v>
      </c>
      <c r="AK231" t="n">
        <v>1</v>
      </c>
      <c r="AL231" t="n">
        <v>1</v>
      </c>
      <c r="AM231" t="n">
        <v>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2e-05</v>
      </c>
      <c r="AU231" t="inlineStr">
        <is>
          <t>)*8</t>
        </is>
      </c>
      <c r="AV231" t="n">
        <v>0</v>
      </c>
      <c r="AW231" t="n">
        <v>2</v>
      </c>
      <c r="AX231" t="n">
        <v>78870433</v>
      </c>
      <c r="AY231" t="n">
        <v>1</v>
      </c>
      <c r="AZ231" t="n">
        <v>0</v>
      </c>
      <c r="BA231" t="n">
        <v>214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V231" t="n">
        <v>0</v>
      </c>
      <c r="CW231" t="n">
        <v>0</v>
      </c>
      <c r="CX231">
        <f>ROUND(Y231*Source!I472,7)</f>
        <v/>
      </c>
      <c r="CY231">
        <f>AA231</f>
        <v/>
      </c>
      <c r="CZ231">
        <f>AE231</f>
        <v/>
      </c>
      <c r="DA231">
        <f>AI231</f>
        <v/>
      </c>
      <c r="DB231">
        <f>ROUND((ROUND(AT231*CZ231,2)*ROUND(8,7)),2)</f>
        <v/>
      </c>
      <c r="DC231">
        <f>ROUND((ROUND(AT231*AG231,2)*ROUND(8,7)),2)</f>
        <v/>
      </c>
      <c r="DD231" t="inlineStr"/>
      <c r="DE231" t="inlineStr"/>
      <c r="DF231">
        <f>ROUND(ROUND(AE231*AI231,0)*CX231,0)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DF231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ROW(Source!A472)</f>
        <v/>
      </c>
      <c r="B232" t="n">
        <v>78869116</v>
      </c>
      <c r="C232" t="n">
        <v>78870423</v>
      </c>
      <c r="D232" t="n">
        <v>29107963</v>
      </c>
      <c r="E232" t="n">
        <v>1</v>
      </c>
      <c r="F232" t="n">
        <v>1</v>
      </c>
      <c r="G232" t="n">
        <v>1</v>
      </c>
      <c r="H232" t="n">
        <v>3</v>
      </c>
      <c r="I232" t="inlineStr">
        <is>
          <t>101-1669</t>
        </is>
      </c>
      <c r="J232" t="inlineStr">
        <is>
          <t>ТССЦ Московской обл., 101-1669, приказ Минстроя России №675/пр от 28.02.2017 № 254/пр</t>
        </is>
      </c>
      <c r="K232" t="inlineStr">
        <is>
          <t>Очес льняной</t>
        </is>
      </c>
      <c r="L232" t="n">
        <v>1346</v>
      </c>
      <c r="N232" t="n">
        <v>1009</v>
      </c>
      <c r="O232" t="inlineStr">
        <is>
          <t>кг</t>
        </is>
      </c>
      <c r="P232" t="inlineStr">
        <is>
          <t>кг</t>
        </is>
      </c>
      <c r="Q232" t="n">
        <v>1</v>
      </c>
      <c r="W232" t="n">
        <v>0</v>
      </c>
      <c r="X232" t="n">
        <v>-2113933962</v>
      </c>
      <c r="Y232">
        <f>(AT232*ROUND(8,7))</f>
        <v/>
      </c>
      <c r="AA232" t="n">
        <v>590.67</v>
      </c>
      <c r="AB232" t="n">
        <v>0</v>
      </c>
      <c r="AC232" t="n">
        <v>0</v>
      </c>
      <c r="AD232" t="n">
        <v>0</v>
      </c>
      <c r="AE232" t="n">
        <v>37.29</v>
      </c>
      <c r="AF232" t="n">
        <v>0</v>
      </c>
      <c r="AG232" t="n">
        <v>0</v>
      </c>
      <c r="AH232" t="n">
        <v>0</v>
      </c>
      <c r="AI232" t="n">
        <v>15.84</v>
      </c>
      <c r="AJ232" t="n">
        <v>1</v>
      </c>
      <c r="AK232" t="n">
        <v>1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0.02</v>
      </c>
      <c r="AU232" t="inlineStr">
        <is>
          <t>)*8</t>
        </is>
      </c>
      <c r="AV232" t="n">
        <v>0</v>
      </c>
      <c r="AW232" t="n">
        <v>2</v>
      </c>
      <c r="AX232" t="n">
        <v>78870434</v>
      </c>
      <c r="AY232" t="n">
        <v>1</v>
      </c>
      <c r="AZ232" t="n">
        <v>0</v>
      </c>
      <c r="BA232" t="n">
        <v>215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 t="n">
        <v>0</v>
      </c>
      <c r="CX232">
        <f>ROUND(Y232*Source!I472,7)</f>
        <v/>
      </c>
      <c r="CY232">
        <f>AA232</f>
        <v/>
      </c>
      <c r="CZ232">
        <f>AE232</f>
        <v/>
      </c>
      <c r="DA232">
        <f>AI232</f>
        <v/>
      </c>
      <c r="DB232">
        <f>ROUND((ROUND(AT232*CZ232,2)*ROUND(8,7)),2)</f>
        <v/>
      </c>
      <c r="DC232">
        <f>ROUND((ROUND(AT232*AG232,2)*ROUND(8,7)),2)</f>
        <v/>
      </c>
      <c r="DD232" t="inlineStr"/>
      <c r="DE232" t="inlineStr"/>
      <c r="DF232">
        <f>ROUND(ROUND(AE232*AI232,0)*CX232,0)</f>
        <v/>
      </c>
      <c r="DG232">
        <f>ROUND(ROUND(AF232,0)*CX232,0)</f>
        <v/>
      </c>
      <c r="DH232">
        <f>ROUND(ROUND(AG232,0)*CX232,0)</f>
        <v/>
      </c>
      <c r="DI232">
        <f>ROUND(ROUND(AH232,0)*CX232,0)</f>
        <v/>
      </c>
      <c r="DJ232">
        <f>DF232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ROW(Source!A472)</f>
        <v/>
      </c>
      <c r="B233" t="n">
        <v>78869116</v>
      </c>
      <c r="C233" t="n">
        <v>78870423</v>
      </c>
      <c r="D233" t="n">
        <v>29150040</v>
      </c>
      <c r="E233" t="n">
        <v>1</v>
      </c>
      <c r="F233" t="n">
        <v>1</v>
      </c>
      <c r="G233" t="n">
        <v>1</v>
      </c>
      <c r="H233" t="n">
        <v>3</v>
      </c>
      <c r="I233" t="inlineStr">
        <is>
          <t>411-0001</t>
        </is>
      </c>
      <c r="J233" t="inlineStr">
        <is>
          <t>ТССЦ Московской обл., 411-0001, приказ Минстроя России №675/пр от 28.02.2017 № 257/пр</t>
        </is>
      </c>
      <c r="K233" t="inlineStr">
        <is>
          <t>Вода</t>
        </is>
      </c>
      <c r="L233" t="n">
        <v>1339</v>
      </c>
      <c r="N233" t="n">
        <v>1007</v>
      </c>
      <c r="O233" t="inlineStr">
        <is>
          <t>м3</t>
        </is>
      </c>
      <c r="P233" t="inlineStr">
        <is>
          <t>м3</t>
        </is>
      </c>
      <c r="Q233" t="n">
        <v>1</v>
      </c>
      <c r="W233" t="n">
        <v>0</v>
      </c>
      <c r="X233" t="n">
        <v>619799737</v>
      </c>
      <c r="Y233">
        <f>(AT233*ROUND(8,7))</f>
        <v/>
      </c>
      <c r="AA233" t="n">
        <v>31.28</v>
      </c>
      <c r="AB233" t="n">
        <v>0</v>
      </c>
      <c r="AC233" t="n">
        <v>0</v>
      </c>
      <c r="AD233" t="n">
        <v>0</v>
      </c>
      <c r="AE233" t="n">
        <v>2.44</v>
      </c>
      <c r="AF233" t="n">
        <v>0</v>
      </c>
      <c r="AG233" t="n">
        <v>0</v>
      </c>
      <c r="AH233" t="n">
        <v>0</v>
      </c>
      <c r="AI233" t="n">
        <v>12.82</v>
      </c>
      <c r="AJ233" t="n">
        <v>1</v>
      </c>
      <c r="AK233" t="n">
        <v>1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1</v>
      </c>
      <c r="AU233" t="inlineStr">
        <is>
          <t>)*8</t>
        </is>
      </c>
      <c r="AV233" t="n">
        <v>0</v>
      </c>
      <c r="AW233" t="n">
        <v>2</v>
      </c>
      <c r="AX233" t="n">
        <v>78870435</v>
      </c>
      <c r="AY233" t="n">
        <v>1</v>
      </c>
      <c r="AZ233" t="n">
        <v>0</v>
      </c>
      <c r="BA233" t="n">
        <v>216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 t="n">
        <v>0</v>
      </c>
      <c r="CX233">
        <f>ROUND(Y233*Source!I472,7)</f>
        <v/>
      </c>
      <c r="CY233">
        <f>AA233</f>
        <v/>
      </c>
      <c r="CZ233">
        <f>AE233</f>
        <v/>
      </c>
      <c r="DA233">
        <f>AI233</f>
        <v/>
      </c>
      <c r="DB233">
        <f>ROUND((ROUND(AT233*CZ233,2)*ROUND(8,7)),2)</f>
        <v/>
      </c>
      <c r="DC233">
        <f>ROUND((ROUND(AT233*AG233,2)*ROUND(8,7)),2)</f>
        <v/>
      </c>
      <c r="DD233" t="inlineStr"/>
      <c r="DE233" t="inlineStr"/>
      <c r="DF233">
        <f>ROUND(ROUND(AE233*AI233,0)*CX233,0)</f>
        <v/>
      </c>
      <c r="DG233">
        <f>ROUND(ROUND(AF233,0)*CX233,0)</f>
        <v/>
      </c>
      <c r="DH233">
        <f>ROUND(ROUND(AG233,0)*CX233,0)</f>
        <v/>
      </c>
      <c r="DI233">
        <f>ROUND(ROUND(AH233,0)*CX233,0)</f>
        <v/>
      </c>
      <c r="DJ233">
        <f>DF233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ROW(Source!A473)</f>
        <v/>
      </c>
      <c r="B234" t="n">
        <v>78869116</v>
      </c>
      <c r="C234" t="n">
        <v>78870436</v>
      </c>
      <c r="D234" t="n">
        <v>18408291</v>
      </c>
      <c r="E234" t="n">
        <v>1</v>
      </c>
      <c r="F234" t="n">
        <v>1</v>
      </c>
      <c r="G234" t="n">
        <v>1</v>
      </c>
      <c r="H234" t="n">
        <v>1</v>
      </c>
      <c r="I234" t="inlineStr">
        <is>
          <t>1-1025-90</t>
        </is>
      </c>
      <c r="J234" t="inlineStr"/>
      <c r="K234" t="inlineStr">
        <is>
          <t>Рабочий строитель среднего разряда 2,5</t>
        </is>
      </c>
      <c r="L234" t="n">
        <v>1369</v>
      </c>
      <c r="N234" t="n">
        <v>1013</v>
      </c>
      <c r="O234" t="inlineStr">
        <is>
          <t>чел.-ч</t>
        </is>
      </c>
      <c r="P234" t="inlineStr">
        <is>
          <t>чел.-ч</t>
        </is>
      </c>
      <c r="Q234" t="n">
        <v>1</v>
      </c>
      <c r="W234" t="n">
        <v>0</v>
      </c>
      <c r="X234" t="n">
        <v>1933892413</v>
      </c>
      <c r="Y234">
        <f>AT234</f>
        <v/>
      </c>
      <c r="AA234" t="n">
        <v>0</v>
      </c>
      <c r="AB234" t="n">
        <v>0</v>
      </c>
      <c r="AC234" t="n">
        <v>0</v>
      </c>
      <c r="AD234" t="n">
        <v>8.17</v>
      </c>
      <c r="AE234" t="n">
        <v>0</v>
      </c>
      <c r="AF234" t="n">
        <v>0</v>
      </c>
      <c r="AG234" t="n">
        <v>0</v>
      </c>
      <c r="AH234" t="n">
        <v>8.17</v>
      </c>
      <c r="AI234" t="n">
        <v>1</v>
      </c>
      <c r="AJ234" t="n">
        <v>1</v>
      </c>
      <c r="AK234" t="n">
        <v>1</v>
      </c>
      <c r="AL234" t="n">
        <v>1</v>
      </c>
      <c r="AM234" t="n">
        <v>-2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32.2</v>
      </c>
      <c r="AU234" t="inlineStr"/>
      <c r="AV234" t="n">
        <v>1</v>
      </c>
      <c r="AW234" t="n">
        <v>2</v>
      </c>
      <c r="AX234" t="n">
        <v>78870442</v>
      </c>
      <c r="AY234" t="n">
        <v>1</v>
      </c>
      <c r="AZ234" t="n">
        <v>0</v>
      </c>
      <c r="BA234" t="n">
        <v>217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U234">
        <f>ROUND(AT234*Source!I473*AH234*AL234,0)</f>
        <v/>
      </c>
      <c r="CV234">
        <f>ROUND(Y234*Source!I473,7)</f>
        <v/>
      </c>
      <c r="CW234" t="n">
        <v>0</v>
      </c>
      <c r="CX234">
        <f>ROUND(Y234*Source!I473,7)</f>
        <v/>
      </c>
      <c r="CY234">
        <f>AD234</f>
        <v/>
      </c>
      <c r="CZ234">
        <f>AH234</f>
        <v/>
      </c>
      <c r="DA234">
        <f>AL234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ROUND(ROUND(AF234,0)*CX234,0)</f>
        <v/>
      </c>
      <c r="DH234">
        <f>ROUND(ROUND(AG234,0)*CX234,0)</f>
        <v/>
      </c>
      <c r="DI234">
        <f>ROUND(ROUND(AH234,0)*CX234,0)</f>
        <v/>
      </c>
      <c r="DJ234">
        <f>DI234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ROW(Source!A473)</f>
        <v/>
      </c>
      <c r="B235" t="n">
        <v>78869116</v>
      </c>
      <c r="C235" t="n">
        <v>78870436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W235" t="n">
        <v>0</v>
      </c>
      <c r="X235" t="n">
        <v>1230759911</v>
      </c>
      <c r="Y235">
        <f>AT235</f>
        <v/>
      </c>
      <c r="AA235" t="n">
        <v>0</v>
      </c>
      <c r="AB235" t="n">
        <v>2177.51</v>
      </c>
      <c r="AC235" t="n">
        <v>606.1</v>
      </c>
      <c r="AD235" t="n">
        <v>0</v>
      </c>
      <c r="AE235" t="n">
        <v>0</v>
      </c>
      <c r="AF235" t="n">
        <v>87.17</v>
      </c>
      <c r="AG235" t="n">
        <v>11.6</v>
      </c>
      <c r="AH235" t="n">
        <v>0</v>
      </c>
      <c r="AI235" t="n">
        <v>1</v>
      </c>
      <c r="AJ235" t="n">
        <v>24.98</v>
      </c>
      <c r="AK235" t="n">
        <v>52.25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0.01</v>
      </c>
      <c r="AU235" t="inlineStr"/>
      <c r="AV235" t="n">
        <v>0</v>
      </c>
      <c r="AW235" t="n">
        <v>2</v>
      </c>
      <c r="AX235" t="n">
        <v>78870443</v>
      </c>
      <c r="AY235" t="n">
        <v>1</v>
      </c>
      <c r="AZ235" t="n">
        <v>0</v>
      </c>
      <c r="BA235" t="n">
        <v>218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>
        <f>ROUND(Y235*Source!I473*DO235,7)</f>
        <v/>
      </c>
      <c r="CX235">
        <f>ROUND(Y235*Source!I473,7)</f>
        <v/>
      </c>
      <c r="CY235">
        <f>AB235</f>
        <v/>
      </c>
      <c r="CZ235">
        <f>AF235</f>
        <v/>
      </c>
      <c r="DA235">
        <f>AJ235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ROUND(ROUND(AE235,0)*CX235,0)</f>
        <v/>
      </c>
      <c r="DG235">
        <f>ROUND(ROUND(AF235*AJ235,0)*CX235,0)</f>
        <v/>
      </c>
      <c r="DH235">
        <f>ROUND(ROUND(AG235*AK235,0)*CX235,0)</f>
        <v/>
      </c>
      <c r="DI235">
        <f>ROUND(ROUND(AH235,0)*CX235,0)</f>
        <v/>
      </c>
      <c r="DJ235">
        <f>DG235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ROW(Source!A473)</f>
        <v/>
      </c>
      <c r="B236" t="n">
        <v>78869116</v>
      </c>
      <c r="C236" t="n">
        <v>78870436</v>
      </c>
      <c r="D236" t="n">
        <v>29110139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101-1703</t>
        </is>
      </c>
      <c r="J236" t="inlineStr">
        <is>
          <t>ТССЦ Московской обл., 101-1703, приказ Минстроя России №675/пр от 28.02.2017 № 254/пр</t>
        </is>
      </c>
      <c r="K236" t="inlineStr">
        <is>
          <t>Прокладки резиновые (пластина техническая прессованная)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W236" t="n">
        <v>0</v>
      </c>
      <c r="X236" t="n">
        <v>-1947909329</v>
      </c>
      <c r="Y236">
        <f>AT236</f>
        <v/>
      </c>
      <c r="AA236" t="n">
        <v>341.04</v>
      </c>
      <c r="AB236" t="n">
        <v>0</v>
      </c>
      <c r="AC236" t="n">
        <v>0</v>
      </c>
      <c r="AD236" t="n">
        <v>0</v>
      </c>
      <c r="AE236" t="n">
        <v>23.09</v>
      </c>
      <c r="AF236" t="n">
        <v>0</v>
      </c>
      <c r="AG236" t="n">
        <v>0</v>
      </c>
      <c r="AH236" t="n">
        <v>0</v>
      </c>
      <c r="AI236" t="n">
        <v>14.77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2</v>
      </c>
      <c r="AU236" t="inlineStr"/>
      <c r="AV236" t="n">
        <v>0</v>
      </c>
      <c r="AW236" t="n">
        <v>2</v>
      </c>
      <c r="AX236" t="n">
        <v>78870444</v>
      </c>
      <c r="AY236" t="n">
        <v>1</v>
      </c>
      <c r="AZ236" t="n">
        <v>0</v>
      </c>
      <c r="BA236" t="n">
        <v>219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ROUND(Y236*Source!I473,7)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ROW(Source!A473)</f>
        <v/>
      </c>
      <c r="B237" t="n">
        <v>78869116</v>
      </c>
      <c r="C237" t="n">
        <v>78870436</v>
      </c>
      <c r="D237" t="n">
        <v>29114240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101-2576</t>
        </is>
      </c>
      <c r="J237" t="inlineStr">
        <is>
          <t>ТССЦ Московской обл., 101-2576, приказ Минстроя России №675/пр от 28.02.2017 № 254/пр</t>
        </is>
      </c>
      <c r="K237" t="inlineStr">
        <is>
          <t>Болты с гайками и шайбами для санитарно-технических работ диаметром 16 мм</t>
        </is>
      </c>
      <c r="L237" t="n">
        <v>1348</v>
      </c>
      <c r="N237" t="n">
        <v>1009</v>
      </c>
      <c r="O237" t="inlineStr">
        <is>
          <t>т</t>
        </is>
      </c>
      <c r="P237" t="inlineStr">
        <is>
          <t>т</t>
        </is>
      </c>
      <c r="Q237" t="n">
        <v>1000</v>
      </c>
      <c r="W237" t="n">
        <v>0</v>
      </c>
      <c r="X237" t="n">
        <v>-1701539228</v>
      </c>
      <c r="Y237">
        <f>AT237</f>
        <v/>
      </c>
      <c r="AA237" t="n">
        <v>145037.4</v>
      </c>
      <c r="AB237" t="n">
        <v>0</v>
      </c>
      <c r="AC237" t="n">
        <v>0</v>
      </c>
      <c r="AD237" t="n">
        <v>0</v>
      </c>
      <c r="AE237" t="n">
        <v>14830</v>
      </c>
      <c r="AF237" t="n">
        <v>0</v>
      </c>
      <c r="AG237" t="n">
        <v>0</v>
      </c>
      <c r="AH237" t="n">
        <v>0</v>
      </c>
      <c r="AI237" t="n">
        <v>9.779999999999999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0.005</v>
      </c>
      <c r="AU237" t="inlineStr"/>
      <c r="AV237" t="n">
        <v>0</v>
      </c>
      <c r="AW237" t="n">
        <v>2</v>
      </c>
      <c r="AX237" t="n">
        <v>78870445</v>
      </c>
      <c r="AY237" t="n">
        <v>1</v>
      </c>
      <c r="AZ237" t="n">
        <v>0</v>
      </c>
      <c r="BA237" t="n">
        <v>220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ROUND(Y237*Source!I473,7)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ROW(Source!A473)</f>
        <v/>
      </c>
      <c r="B238" t="n">
        <v>78869116</v>
      </c>
      <c r="C238" t="n">
        <v>78870436</v>
      </c>
      <c r="D238" t="n">
        <v>29150040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411-0001</t>
        </is>
      </c>
      <c r="J238" t="inlineStr">
        <is>
          <t>ТССЦ Московской обл., 411-0001, приказ Минстроя России №675/пр от 28.02.2017 № 257/пр</t>
        </is>
      </c>
      <c r="K238" t="inlineStr">
        <is>
          <t>Вода</t>
        </is>
      </c>
      <c r="L238" t="n">
        <v>1339</v>
      </c>
      <c r="N238" t="n">
        <v>1007</v>
      </c>
      <c r="O238" t="inlineStr">
        <is>
          <t>м3</t>
        </is>
      </c>
      <c r="P238" t="inlineStr">
        <is>
          <t>м3</t>
        </is>
      </c>
      <c r="Q238" t="n">
        <v>1</v>
      </c>
      <c r="W238" t="n">
        <v>0</v>
      </c>
      <c r="X238" t="n">
        <v>619799737</v>
      </c>
      <c r="Y238">
        <f>AT238</f>
        <v/>
      </c>
      <c r="AA238" t="n">
        <v>31.28</v>
      </c>
      <c r="AB238" t="n">
        <v>0</v>
      </c>
      <c r="AC238" t="n">
        <v>0</v>
      </c>
      <c r="AD238" t="n">
        <v>0</v>
      </c>
      <c r="AE238" t="n">
        <v>2.44</v>
      </c>
      <c r="AF238" t="n">
        <v>0</v>
      </c>
      <c r="AG238" t="n">
        <v>0</v>
      </c>
      <c r="AH238" t="n">
        <v>0</v>
      </c>
      <c r="AI238" t="n">
        <v>12.82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7.8</v>
      </c>
      <c r="AU238" t="inlineStr"/>
      <c r="AV238" t="n">
        <v>0</v>
      </c>
      <c r="AW238" t="n">
        <v>2</v>
      </c>
      <c r="AX238" t="n">
        <v>78870446</v>
      </c>
      <c r="AY238" t="n">
        <v>1</v>
      </c>
      <c r="AZ238" t="n">
        <v>0</v>
      </c>
      <c r="BA238" t="n">
        <v>221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ROUND(Y238*Source!I473,7)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ROW(Source!A474)</f>
        <v/>
      </c>
      <c r="B239" t="n">
        <v>78869116</v>
      </c>
      <c r="C239" t="n">
        <v>78870447</v>
      </c>
      <c r="D239" t="n">
        <v>18407150</v>
      </c>
      <c r="E239" t="n">
        <v>1</v>
      </c>
      <c r="F239" t="n">
        <v>1</v>
      </c>
      <c r="G239" t="n">
        <v>1</v>
      </c>
      <c r="H239" t="n">
        <v>1</v>
      </c>
      <c r="I239" t="inlineStr">
        <is>
          <t>1-1030-90</t>
        </is>
      </c>
      <c r="J239" t="inlineStr"/>
      <c r="K239" t="inlineStr">
        <is>
          <t>Рабочий строитель среднего разряда 3</t>
        </is>
      </c>
      <c r="L239" t="n">
        <v>1369</v>
      </c>
      <c r="N239" t="n">
        <v>1013</v>
      </c>
      <c r="O239" t="inlineStr">
        <is>
          <t>чел.-ч</t>
        </is>
      </c>
      <c r="P239" t="inlineStr">
        <is>
          <t>чел.-ч</t>
        </is>
      </c>
      <c r="Q239" t="n">
        <v>1</v>
      </c>
      <c r="W239" t="n">
        <v>0</v>
      </c>
      <c r="X239" t="n">
        <v>-931037793</v>
      </c>
      <c r="Y239">
        <f>AT239</f>
        <v/>
      </c>
      <c r="AA239" t="n">
        <v>0</v>
      </c>
      <c r="AB239" t="n">
        <v>0</v>
      </c>
      <c r="AC239" t="n">
        <v>0</v>
      </c>
      <c r="AD239" t="n">
        <v>8.529999999999999</v>
      </c>
      <c r="AE239" t="n">
        <v>0</v>
      </c>
      <c r="AF239" t="n">
        <v>0</v>
      </c>
      <c r="AG239" t="n">
        <v>0</v>
      </c>
      <c r="AH239" t="n">
        <v>8.529999999999999</v>
      </c>
      <c r="AI239" t="n">
        <v>1</v>
      </c>
      <c r="AJ239" t="n">
        <v>1</v>
      </c>
      <c r="AK239" t="n">
        <v>1</v>
      </c>
      <c r="AL239" t="n">
        <v>1</v>
      </c>
      <c r="AM239" t="n">
        <v>-2</v>
      </c>
      <c r="AN239" t="n">
        <v>0</v>
      </c>
      <c r="AO239" t="n">
        <v>1</v>
      </c>
      <c r="AP239" t="n">
        <v>0</v>
      </c>
      <c r="AQ239" t="n">
        <v>0</v>
      </c>
      <c r="AR239" t="n">
        <v>0</v>
      </c>
      <c r="AS239" t="inlineStr"/>
      <c r="AT239" t="n">
        <v>13.9</v>
      </c>
      <c r="AU239" t="inlineStr"/>
      <c r="AV239" t="n">
        <v>1</v>
      </c>
      <c r="AW239" t="n">
        <v>2</v>
      </c>
      <c r="AX239" t="n">
        <v>78870451</v>
      </c>
      <c r="AY239" t="n">
        <v>1</v>
      </c>
      <c r="AZ239" t="n">
        <v>0</v>
      </c>
      <c r="BA239" t="n">
        <v>222</v>
      </c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U239">
        <f>ROUND(AT239*Source!I474*AH239*AL239,0)</f>
        <v/>
      </c>
      <c r="CV239">
        <f>ROUND(Y239*Source!I474,7)</f>
        <v/>
      </c>
      <c r="CW239" t="n">
        <v>0</v>
      </c>
      <c r="CX239">
        <f>ROUND(Y239*Source!I474,7)</f>
        <v/>
      </c>
      <c r="CY239">
        <f>AD239</f>
        <v/>
      </c>
      <c r="CZ239">
        <f>AH239</f>
        <v/>
      </c>
      <c r="DA239">
        <f>AL239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DI239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ROW(Source!A474)</f>
        <v/>
      </c>
      <c r="B240" t="n">
        <v>78869116</v>
      </c>
      <c r="C240" t="n">
        <v>78870447</v>
      </c>
      <c r="D240" t="n">
        <v>29169821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509-0696</t>
        </is>
      </c>
      <c r="J240" t="inlineStr">
        <is>
          <t>ТССЦ Московской обл., 509-0696, приказ Минстроя России №675/пр от 28.02.2017 № 258/пр</t>
        </is>
      </c>
      <c r="K240" t="inlineStr">
        <is>
          <t>Лампы люминесцентные ртутные низкого давления типа ЛБ, ЛД, ЛДЦ, ЛТВ, ЛБХ 20</t>
        </is>
      </c>
      <c r="L240" t="n">
        <v>1358</v>
      </c>
      <c r="N240" t="n">
        <v>1010</v>
      </c>
      <c r="O240" t="inlineStr">
        <is>
          <t>10 шт.</t>
        </is>
      </c>
      <c r="P240" t="inlineStr">
        <is>
          <t>10 шт.</t>
        </is>
      </c>
      <c r="Q240" t="n">
        <v>10</v>
      </c>
      <c r="W240" t="n">
        <v>0</v>
      </c>
      <c r="X240" t="n">
        <v>-1187244712</v>
      </c>
      <c r="Y240">
        <f>AT240</f>
        <v/>
      </c>
      <c r="AA240" t="n">
        <v>352.73</v>
      </c>
      <c r="AB240" t="n">
        <v>0</v>
      </c>
      <c r="AC240" t="n">
        <v>0</v>
      </c>
      <c r="AD240" t="n">
        <v>0</v>
      </c>
      <c r="AE240" t="n">
        <v>85.2</v>
      </c>
      <c r="AF240" t="n">
        <v>0</v>
      </c>
      <c r="AG240" t="n">
        <v>0</v>
      </c>
      <c r="AH240" t="n">
        <v>0</v>
      </c>
      <c r="AI240" t="n">
        <v>4.14</v>
      </c>
      <c r="AJ240" t="n">
        <v>1</v>
      </c>
      <c r="AK240" t="n">
        <v>1</v>
      </c>
      <c r="AL240" t="n">
        <v>1</v>
      </c>
      <c r="AM240" t="n">
        <v>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10</v>
      </c>
      <c r="AU240" t="inlineStr"/>
      <c r="AV240" t="n">
        <v>0</v>
      </c>
      <c r="AW240" t="n">
        <v>2</v>
      </c>
      <c r="AX240" t="n">
        <v>78870452</v>
      </c>
      <c r="AY240" t="n">
        <v>1</v>
      </c>
      <c r="AZ240" t="n">
        <v>0</v>
      </c>
      <c r="BA240" t="n">
        <v>223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V240" t="n">
        <v>0</v>
      </c>
      <c r="CW240" t="n">
        <v>0</v>
      </c>
      <c r="CX240">
        <f>ROUND(Y240*Source!I474,7)</f>
        <v/>
      </c>
      <c r="CY240">
        <f>AA240</f>
        <v/>
      </c>
      <c r="CZ240">
        <f>AE240</f>
        <v/>
      </c>
      <c r="DA240">
        <f>AI240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ROUND(ROUND(AE240*AI240,0)*CX240,0)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DF240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ROW(Source!A474)</f>
        <v/>
      </c>
      <c r="B241" t="n">
        <v>78869116</v>
      </c>
      <c r="C241" t="n">
        <v>78870447</v>
      </c>
      <c r="D241" t="n">
        <v>29169828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509-6744</t>
        </is>
      </c>
      <c r="J241" t="inlineStr">
        <is>
          <t>ТССЦ Московской обл., 509-6744, приказ Минстроя России №675/пр от 28.02.2017 № 258/пр</t>
        </is>
      </c>
      <c r="K241" t="inlineStr">
        <is>
          <t>Лампы люминесцентные компактные энергосберегающие с цоколем Е27 мощностью 55 Вт</t>
        </is>
      </c>
      <c r="L241" t="n">
        <v>1354</v>
      </c>
      <c r="N241" t="n">
        <v>1010</v>
      </c>
      <c r="O241" t="inlineStr">
        <is>
          <t>шт.</t>
        </is>
      </c>
      <c r="P241" t="inlineStr">
        <is>
          <t>шт.</t>
        </is>
      </c>
      <c r="Q241" t="n">
        <v>1</v>
      </c>
      <c r="W241" t="n">
        <v>0</v>
      </c>
      <c r="X241" t="n">
        <v>-228955380</v>
      </c>
      <c r="Y241">
        <f>AT241</f>
        <v/>
      </c>
      <c r="AA241" t="n">
        <v>237.77</v>
      </c>
      <c r="AB241" t="n">
        <v>0</v>
      </c>
      <c r="AC241" t="n">
        <v>0</v>
      </c>
      <c r="AD241" t="n">
        <v>0</v>
      </c>
      <c r="AE241" t="n">
        <v>140.69</v>
      </c>
      <c r="AF241" t="n">
        <v>0</v>
      </c>
      <c r="AG241" t="n">
        <v>0</v>
      </c>
      <c r="AH241" t="n">
        <v>0</v>
      </c>
      <c r="AI241" t="n">
        <v>1.69</v>
      </c>
      <c r="AJ241" t="n">
        <v>1</v>
      </c>
      <c r="AK241" t="n">
        <v>1</v>
      </c>
      <c r="AL241" t="n">
        <v>1</v>
      </c>
      <c r="AM241" t="n">
        <v>0</v>
      </c>
      <c r="AN241" t="n">
        <v>0</v>
      </c>
      <c r="AO241" t="n">
        <v>0</v>
      </c>
      <c r="AP241" t="n">
        <v>1</v>
      </c>
      <c r="AQ241" t="n">
        <v>0</v>
      </c>
      <c r="AR241" t="n">
        <v>0</v>
      </c>
      <c r="AS241" t="inlineStr"/>
      <c r="AT241" t="n">
        <v>100</v>
      </c>
      <c r="AU241" t="inlineStr"/>
      <c r="AV241" t="n">
        <v>0</v>
      </c>
      <c r="AW241" t="n">
        <v>1</v>
      </c>
      <c r="AX241" t="n">
        <v>-1</v>
      </c>
      <c r="AY241" t="n">
        <v>0</v>
      </c>
      <c r="AZ241" t="n">
        <v>0</v>
      </c>
      <c r="BA241" t="inlineStr"/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 t="n">
        <v>0</v>
      </c>
      <c r="CX241">
        <f>ROUND(Y241*Source!I474,7)</f>
        <v/>
      </c>
      <c r="CY241">
        <f>AA241</f>
        <v/>
      </c>
      <c r="CZ241">
        <f>AE241</f>
        <v/>
      </c>
      <c r="DA241">
        <f>AI241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ROUND(ROUND(AE241*AI241,0)*CX241,0)</f>
        <v/>
      </c>
      <c r="DG241">
        <f>ROUND(ROUND(AF241,0)*CX241,0)</f>
        <v/>
      </c>
      <c r="DH241">
        <f>ROUND(ROUND(AG241,0)*CX241,0)</f>
        <v/>
      </c>
      <c r="DI241">
        <f>ROUND(ROUND(AH241,0)*CX241,0)</f>
        <v/>
      </c>
      <c r="DJ241">
        <f>DF241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ROW(Source!A476)</f>
        <v/>
      </c>
      <c r="B242" t="n">
        <v>78869116</v>
      </c>
      <c r="C242" t="n">
        <v>78870562</v>
      </c>
      <c r="D242" t="n">
        <v>29361034</v>
      </c>
      <c r="E242" t="n">
        <v>1</v>
      </c>
      <c r="F242" t="n">
        <v>1</v>
      </c>
      <c r="G242" t="n">
        <v>1</v>
      </c>
      <c r="H242" t="n">
        <v>1</v>
      </c>
      <c r="I242" t="inlineStr">
        <is>
          <t>1-2038-90</t>
        </is>
      </c>
      <c r="J242" t="inlineStr"/>
      <c r="K242" t="inlineStr">
        <is>
          <t>Рабочий монтажник среднего разряда 3,8</t>
        </is>
      </c>
      <c r="L242" t="n">
        <v>1369</v>
      </c>
      <c r="N242" t="n">
        <v>1013</v>
      </c>
      <c r="O242" t="inlineStr">
        <is>
          <t>чел.-ч</t>
        </is>
      </c>
      <c r="P242" t="inlineStr">
        <is>
          <t>чел.-ч</t>
        </is>
      </c>
      <c r="Q242" t="n">
        <v>1</v>
      </c>
      <c r="W242" t="n">
        <v>0</v>
      </c>
      <c r="X242" t="n">
        <v>184923391</v>
      </c>
      <c r="Y242">
        <f>AT242</f>
        <v/>
      </c>
      <c r="AA242" t="n">
        <v>0</v>
      </c>
      <c r="AB242" t="n">
        <v>0</v>
      </c>
      <c r="AC242" t="n">
        <v>0</v>
      </c>
      <c r="AD242" t="n">
        <v>9.4</v>
      </c>
      <c r="AE242" t="n">
        <v>0</v>
      </c>
      <c r="AF242" t="n">
        <v>0</v>
      </c>
      <c r="AG242" t="n">
        <v>0</v>
      </c>
      <c r="AH242" t="n">
        <v>9.4</v>
      </c>
      <c r="AI242" t="n">
        <v>1</v>
      </c>
      <c r="AJ242" t="n">
        <v>1</v>
      </c>
      <c r="AK242" t="n">
        <v>1</v>
      </c>
      <c r="AL242" t="n">
        <v>1</v>
      </c>
      <c r="AM242" t="n">
        <v>-2</v>
      </c>
      <c r="AN242" t="n">
        <v>0</v>
      </c>
      <c r="AO242" t="n">
        <v>1</v>
      </c>
      <c r="AP242" t="n">
        <v>1</v>
      </c>
      <c r="AQ242" t="n">
        <v>0</v>
      </c>
      <c r="AR242" t="n">
        <v>0</v>
      </c>
      <c r="AS242" t="inlineStr"/>
      <c r="AT242" t="n">
        <v>16.5</v>
      </c>
      <c r="AU242" t="inlineStr"/>
      <c r="AV242" t="n">
        <v>1</v>
      </c>
      <c r="AW242" t="n">
        <v>2</v>
      </c>
      <c r="AX242" t="n">
        <v>78870572</v>
      </c>
      <c r="AY242" t="n">
        <v>1</v>
      </c>
      <c r="AZ242" t="n">
        <v>0</v>
      </c>
      <c r="BA242" t="n">
        <v>224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U242">
        <f>ROUND(AT242*Source!I476*AH242*AL242,0)</f>
        <v/>
      </c>
      <c r="CV242">
        <f>ROUND(Y242*Source!I476,7)</f>
        <v/>
      </c>
      <c r="CW242" t="n">
        <v>0</v>
      </c>
      <c r="CX242">
        <f>ROUND(Y242*Source!I476,7)</f>
        <v/>
      </c>
      <c r="CY242">
        <f>AD242</f>
        <v/>
      </c>
      <c r="CZ242">
        <f>AH242</f>
        <v/>
      </c>
      <c r="DA242">
        <f>AL242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ROUND(ROUND(AF242,0)*CX242,0)</f>
        <v/>
      </c>
      <c r="DH242">
        <f>ROUND(ROUND(AG242,0)*CX242,0)</f>
        <v/>
      </c>
      <c r="DI242">
        <f>ROUND(ROUND(AH242,0)*CX242,0)</f>
        <v/>
      </c>
      <c r="DJ242">
        <f>DI242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ROW(Source!A476)</f>
        <v/>
      </c>
      <c r="B243" t="n">
        <v>78869116</v>
      </c>
      <c r="C243" t="n">
        <v>78870562</v>
      </c>
      <c r="D243" t="n">
        <v>121548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2</t>
        </is>
      </c>
      <c r="J243" t="inlineStr"/>
      <c r="K243" t="inlineStr">
        <is>
          <t>Затраты труда машинистов</t>
        </is>
      </c>
      <c r="L243" t="n">
        <v>608254</v>
      </c>
      <c r="N243" t="n">
        <v>1013</v>
      </c>
      <c r="O243" t="inlineStr">
        <is>
          <t>чел.час</t>
        </is>
      </c>
      <c r="P243" t="inlineStr">
        <is>
          <t>чел.час</t>
        </is>
      </c>
      <c r="Q243" t="n">
        <v>1</v>
      </c>
      <c r="W243" t="n">
        <v>0</v>
      </c>
      <c r="X243" t="n">
        <v>-185737400</v>
      </c>
      <c r="Y243">
        <f>AT243</f>
        <v/>
      </c>
      <c r="AA243" t="n">
        <v>0</v>
      </c>
      <c r="AB243" t="n">
        <v>0</v>
      </c>
      <c r="AC243" t="n">
        <v>0</v>
      </c>
      <c r="AD243" t="n">
        <v>0</v>
      </c>
      <c r="AE243" t="n">
        <v>0</v>
      </c>
      <c r="AF243" t="n">
        <v>0</v>
      </c>
      <c r="AG243" t="n">
        <v>0</v>
      </c>
      <c r="AH243" t="n">
        <v>0</v>
      </c>
      <c r="AI243" t="n">
        <v>1</v>
      </c>
      <c r="AJ243" t="n">
        <v>1</v>
      </c>
      <c r="AK243" t="n">
        <v>1</v>
      </c>
      <c r="AL243" t="n">
        <v>1</v>
      </c>
      <c r="AM243" t="n">
        <v>-2</v>
      </c>
      <c r="AN243" t="n">
        <v>0</v>
      </c>
      <c r="AO243" t="n">
        <v>1</v>
      </c>
      <c r="AP243" t="n">
        <v>1</v>
      </c>
      <c r="AQ243" t="n">
        <v>0</v>
      </c>
      <c r="AR243" t="n">
        <v>0</v>
      </c>
      <c r="AS243" t="inlineStr"/>
      <c r="AT243" t="n">
        <v>0.02</v>
      </c>
      <c r="AU243" t="inlineStr"/>
      <c r="AV243" t="n">
        <v>2</v>
      </c>
      <c r="AW243" t="n">
        <v>2</v>
      </c>
      <c r="AX243" t="n">
        <v>78870573</v>
      </c>
      <c r="AY243" t="n">
        <v>1</v>
      </c>
      <c r="AZ243" t="n">
        <v>0</v>
      </c>
      <c r="BA243" t="n">
        <v>225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 t="n">
        <v>0</v>
      </c>
      <c r="CX243">
        <f>ROUND(Y243*Source!I476,7)</f>
        <v/>
      </c>
      <c r="CY243">
        <f>AD243</f>
        <v/>
      </c>
      <c r="CZ243">
        <f>AH243</f>
        <v/>
      </c>
      <c r="DA243">
        <f>AL243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ROUND(ROUND(AF243,0)*CX243,0)</f>
        <v/>
      </c>
      <c r="DH243">
        <f>ROUND(ROUND(AG243,0)*CX243,0)</f>
        <v/>
      </c>
      <c r="DI243">
        <f>ROUND(ROUND(AH243,0)*CX243,0)</f>
        <v/>
      </c>
      <c r="DJ243">
        <f>DI243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ROW(Source!A476)</f>
        <v/>
      </c>
      <c r="B244" t="n">
        <v>78869116</v>
      </c>
      <c r="C244" t="n">
        <v>78870562</v>
      </c>
      <c r="D244" t="n">
        <v>29172362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021102</t>
        </is>
      </c>
      <c r="J244" t="inlineStr">
        <is>
          <t>ТСЭМ Московской обл., 021102, приказ Минстроя России №675/пр от 28.02.2017 № 264/пр</t>
        </is>
      </c>
      <c r="K244" t="inlineStr">
        <is>
          <t>Краны на автомобильном ходу при работе на монтаже технологического оборудования 10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783836208</v>
      </c>
      <c r="Y244">
        <f>AT244</f>
        <v/>
      </c>
      <c r="AA244" t="n">
        <v>0</v>
      </c>
      <c r="AB244" t="n">
        <v>1504.04</v>
      </c>
      <c r="AC244" t="n">
        <v>705.38</v>
      </c>
      <c r="AD244" t="n">
        <v>0</v>
      </c>
      <c r="AE244" t="n">
        <v>0</v>
      </c>
      <c r="AF244" t="n">
        <v>134.65</v>
      </c>
      <c r="AG244" t="n">
        <v>13.5</v>
      </c>
      <c r="AH244" t="n">
        <v>0</v>
      </c>
      <c r="AI244" t="n">
        <v>1</v>
      </c>
      <c r="AJ244" t="n">
        <v>11.17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1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78870574</v>
      </c>
      <c r="AY244" t="n">
        <v>1</v>
      </c>
      <c r="AZ244" t="n">
        <v>0</v>
      </c>
      <c r="BA244" t="n">
        <v>226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ROUND(Y244*Source!I476*DO244,7)</f>
        <v/>
      </c>
      <c r="CX244">
        <f>ROUND(Y244*Source!I476,7)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ROW(Source!A476)</f>
        <v/>
      </c>
      <c r="B245" t="n">
        <v>78869116</v>
      </c>
      <c r="C245" t="n">
        <v>78870562</v>
      </c>
      <c r="D245" t="n">
        <v>29174913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400001</t>
        </is>
      </c>
      <c r="J245" t="inlineStr">
        <is>
          <t>ТСЭМ Московской обл., 400001, приказ Минстроя России №675/пр от 28.02.2017 № 264/пр</t>
        </is>
      </c>
      <c r="K245" t="inlineStr">
        <is>
          <t>Автомобили бортовые, грузоподъемность до 5 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W245" t="n">
        <v>0</v>
      </c>
      <c r="X245" t="n">
        <v>1230759911</v>
      </c>
      <c r="Y245">
        <f>AT245</f>
        <v/>
      </c>
      <c r="AA245" t="n">
        <v>0</v>
      </c>
      <c r="AB245" t="n">
        <v>2177.51</v>
      </c>
      <c r="AC245" t="n">
        <v>606.1</v>
      </c>
      <c r="AD245" t="n">
        <v>0</v>
      </c>
      <c r="AE245" t="n">
        <v>0</v>
      </c>
      <c r="AF245" t="n">
        <v>87.17</v>
      </c>
      <c r="AG245" t="n">
        <v>11.6</v>
      </c>
      <c r="AH245" t="n">
        <v>0</v>
      </c>
      <c r="AI245" t="n">
        <v>1</v>
      </c>
      <c r="AJ245" t="n">
        <v>24.98</v>
      </c>
      <c r="AK245" t="n">
        <v>52.25</v>
      </c>
      <c r="AL245" t="n">
        <v>1</v>
      </c>
      <c r="AM245" t="n">
        <v>2</v>
      </c>
      <c r="AN245" t="n">
        <v>0</v>
      </c>
      <c r="AO245" t="n">
        <v>1</v>
      </c>
      <c r="AP245" t="n">
        <v>1</v>
      </c>
      <c r="AQ245" t="n">
        <v>0</v>
      </c>
      <c r="AR245" t="n">
        <v>0</v>
      </c>
      <c r="AS245" t="inlineStr"/>
      <c r="AT245" t="n">
        <v>0.02</v>
      </c>
      <c r="AU245" t="inlineStr"/>
      <c r="AV245" t="n">
        <v>0</v>
      </c>
      <c r="AW245" t="n">
        <v>2</v>
      </c>
      <c r="AX245" t="n">
        <v>78870575</v>
      </c>
      <c r="AY245" t="n">
        <v>1</v>
      </c>
      <c r="AZ245" t="n">
        <v>0</v>
      </c>
      <c r="BA245" t="n">
        <v>227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>
        <f>ROUND(Y245*Source!I476*DO245,7)</f>
        <v/>
      </c>
      <c r="CX245">
        <f>ROUND(Y245*Source!I476,7)</f>
        <v/>
      </c>
      <c r="CY245">
        <f>AB245</f>
        <v/>
      </c>
      <c r="CZ245">
        <f>AF245</f>
        <v/>
      </c>
      <c r="DA245">
        <f>AJ245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ROUND(ROUND(AE245,0)*CX245,0)</f>
        <v/>
      </c>
      <c r="DG245">
        <f>ROUND(ROUND(AF245*AJ245,0)*CX245,0)</f>
        <v/>
      </c>
      <c r="DH245">
        <f>ROUND(ROUND(AG245*AK245,0)*CX245,0)</f>
        <v/>
      </c>
      <c r="DI245">
        <f>ROUND(ROUND(AH245,0)*CX245,0)</f>
        <v/>
      </c>
      <c r="DJ245">
        <f>DG245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ROW(Source!A476)</f>
        <v/>
      </c>
      <c r="B246" t="n">
        <v>78869116</v>
      </c>
      <c r="C246" t="n">
        <v>78870562</v>
      </c>
      <c r="D246" t="n">
        <v>29110426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101-2143</t>
        </is>
      </c>
      <c r="J246" t="inlineStr">
        <is>
          <t>ТССЦ Московской обл., 101-2143, приказ Минстроя России №675/пр от 28.02.2017 № 254/пр</t>
        </is>
      </c>
      <c r="K246" t="inlineStr">
        <is>
          <t>Краска</t>
        </is>
      </c>
      <c r="L246" t="n">
        <v>1346</v>
      </c>
      <c r="N246" t="n">
        <v>1009</v>
      </c>
      <c r="O246" t="inlineStr">
        <is>
          <t>кг</t>
        </is>
      </c>
      <c r="P246" t="inlineStr">
        <is>
          <t>кг</t>
        </is>
      </c>
      <c r="Q246" t="n">
        <v>1</v>
      </c>
      <c r="W246" t="n">
        <v>0</v>
      </c>
      <c r="X246" t="n">
        <v>-1768004575</v>
      </c>
      <c r="Y246">
        <f>AT246</f>
        <v/>
      </c>
      <c r="AA246" t="n">
        <v>76.84</v>
      </c>
      <c r="AB246" t="n">
        <v>0</v>
      </c>
      <c r="AC246" t="n">
        <v>0</v>
      </c>
      <c r="AD246" t="n">
        <v>0</v>
      </c>
      <c r="AE246" t="n">
        <v>28.67</v>
      </c>
      <c r="AF246" t="n">
        <v>0</v>
      </c>
      <c r="AG246" t="n">
        <v>0</v>
      </c>
      <c r="AH246" t="n">
        <v>0</v>
      </c>
      <c r="AI246" t="n">
        <v>2.68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1</v>
      </c>
      <c r="AQ246" t="n">
        <v>0</v>
      </c>
      <c r="AR246" t="n">
        <v>0</v>
      </c>
      <c r="AS246" t="inlineStr"/>
      <c r="AT246" t="n">
        <v>0.3</v>
      </c>
      <c r="AU246" t="inlineStr"/>
      <c r="AV246" t="n">
        <v>0</v>
      </c>
      <c r="AW246" t="n">
        <v>2</v>
      </c>
      <c r="AX246" t="n">
        <v>78870576</v>
      </c>
      <c r="AY246" t="n">
        <v>1</v>
      </c>
      <c r="AZ246" t="n">
        <v>0</v>
      </c>
      <c r="BA246" t="n">
        <v>228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ROUND(Y246*Source!I476,7)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ROW(Source!A476)</f>
        <v/>
      </c>
      <c r="B247" t="n">
        <v>78869116</v>
      </c>
      <c r="C247" t="n">
        <v>78870562</v>
      </c>
      <c r="D247" t="n">
        <v>29149204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405-0219</t>
        </is>
      </c>
      <c r="J247" t="inlineStr">
        <is>
          <t>ТССЦ Московской обл., 405-0219, приказ Минстроя России №675/пр от 28.02.2017 № 257/пр</t>
        </is>
      </c>
      <c r="K247" t="inlineStr">
        <is>
          <t>Гипсовые вяжущие, марка Г3</t>
        </is>
      </c>
      <c r="L247" t="n">
        <v>1348</v>
      </c>
      <c r="N247" t="n">
        <v>1009</v>
      </c>
      <c r="O247" t="inlineStr">
        <is>
          <t>т</t>
        </is>
      </c>
      <c r="P247" t="inlineStr">
        <is>
          <t>т</t>
        </is>
      </c>
      <c r="Q247" t="n">
        <v>1000</v>
      </c>
      <c r="W247" t="n">
        <v>0</v>
      </c>
      <c r="X247" t="n">
        <v>-601557392</v>
      </c>
      <c r="Y247">
        <f>AT247</f>
        <v/>
      </c>
      <c r="AA247" t="n">
        <v>5482.15</v>
      </c>
      <c r="AB247" t="n">
        <v>0</v>
      </c>
      <c r="AC247" t="n">
        <v>0</v>
      </c>
      <c r="AD247" t="n">
        <v>0</v>
      </c>
      <c r="AE247" t="n">
        <v>729.98</v>
      </c>
      <c r="AF247" t="n">
        <v>0</v>
      </c>
      <c r="AG247" t="n">
        <v>0</v>
      </c>
      <c r="AH247" t="n">
        <v>0</v>
      </c>
      <c r="AI247" t="n">
        <v>7.51</v>
      </c>
      <c r="AJ247" t="n">
        <v>1</v>
      </c>
      <c r="AK247" t="n">
        <v>1</v>
      </c>
      <c r="AL247" t="n">
        <v>1</v>
      </c>
      <c r="AM247" t="n">
        <v>2</v>
      </c>
      <c r="AN247" t="n">
        <v>0</v>
      </c>
      <c r="AO247" t="n">
        <v>1</v>
      </c>
      <c r="AP247" t="n">
        <v>1</v>
      </c>
      <c r="AQ247" t="n">
        <v>0</v>
      </c>
      <c r="AR247" t="n">
        <v>0</v>
      </c>
      <c r="AS247" t="inlineStr"/>
      <c r="AT247" t="n">
        <v>0.01</v>
      </c>
      <c r="AU247" t="inlineStr"/>
      <c r="AV247" t="n">
        <v>0</v>
      </c>
      <c r="AW247" t="n">
        <v>2</v>
      </c>
      <c r="AX247" t="n">
        <v>78870577</v>
      </c>
      <c r="AY247" t="n">
        <v>1</v>
      </c>
      <c r="AZ247" t="n">
        <v>0</v>
      </c>
      <c r="BA247" t="n">
        <v>229</v>
      </c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ROUND(Y247*Source!I476,7)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ROW(Source!A476)</f>
        <v/>
      </c>
      <c r="B248" t="n">
        <v>78869116</v>
      </c>
      <c r="C248" t="n">
        <v>78870562</v>
      </c>
      <c r="D248" t="n">
        <v>29152127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501-8647</t>
        </is>
      </c>
      <c r="J248" t="inlineStr">
        <is>
          <t>ТССЦ Московской обл., 501-8647, приказ Минстроя России №675/пр от 28.02.2017 № 258/пр</t>
        </is>
      </c>
      <c r="K248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248" t="n">
        <v>1477</v>
      </c>
      <c r="N248" t="n">
        <v>1013</v>
      </c>
      <c r="O248" t="inlineStr">
        <is>
          <t>1000 м</t>
        </is>
      </c>
      <c r="P248" t="inlineStr">
        <is>
          <t>1000 М</t>
        </is>
      </c>
      <c r="Q248" t="n">
        <v>1</v>
      </c>
      <c r="W248" t="n">
        <v>0</v>
      </c>
      <c r="X248" t="n">
        <v>1820439132</v>
      </c>
      <c r="Y248">
        <f>AT248</f>
        <v/>
      </c>
      <c r="AA248" t="n">
        <v>53866.36</v>
      </c>
      <c r="AB248" t="n">
        <v>0</v>
      </c>
      <c r="AC248" t="n">
        <v>0</v>
      </c>
      <c r="AD248" t="n">
        <v>0</v>
      </c>
      <c r="AE248" t="n">
        <v>3379.32</v>
      </c>
      <c r="AF248" t="n">
        <v>0</v>
      </c>
      <c r="AG248" t="n">
        <v>0</v>
      </c>
      <c r="AH248" t="n">
        <v>0</v>
      </c>
      <c r="AI248" t="n">
        <v>15.94</v>
      </c>
      <c r="AJ248" t="n">
        <v>1</v>
      </c>
      <c r="AK248" t="n">
        <v>1</v>
      </c>
      <c r="AL248" t="n">
        <v>1</v>
      </c>
      <c r="AM248" t="n">
        <v>0</v>
      </c>
      <c r="AN248" t="n">
        <v>0</v>
      </c>
      <c r="AO248" t="n">
        <v>0</v>
      </c>
      <c r="AP248" t="n">
        <v>1</v>
      </c>
      <c r="AQ248" t="n">
        <v>0</v>
      </c>
      <c r="AR248" t="n">
        <v>0</v>
      </c>
      <c r="AS248" t="inlineStr"/>
      <c r="AT248" t="n">
        <v>0.1</v>
      </c>
      <c r="AU248" t="inlineStr"/>
      <c r="AV248" t="n">
        <v>0</v>
      </c>
      <c r="AW248" t="n">
        <v>1</v>
      </c>
      <c r="AX248" t="n">
        <v>-1</v>
      </c>
      <c r="AY248" t="n">
        <v>0</v>
      </c>
      <c r="AZ248" t="n">
        <v>0</v>
      </c>
      <c r="BA248" t="inlineStr"/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ROUND(Y248*Source!I476,7)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ROUND(ROUND(AE248*AI248,0)*CX248,0)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ROW(Source!A476)</f>
        <v/>
      </c>
      <c r="B249" t="n">
        <v>78869116</v>
      </c>
      <c r="C249" t="n">
        <v>78870562</v>
      </c>
      <c r="D249" t="n">
        <v>29159012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507-0700</t>
        </is>
      </c>
      <c r="J249" t="inlineStr">
        <is>
          <t>ТССЦ Московской обл., 507-0700, приказ Минстроя России №675/пр от 28.02.2017 № 258/пр</t>
        </is>
      </c>
      <c r="K249" t="inlineStr">
        <is>
          <t>Трубка поливинилхлоридная ХВТ</t>
        </is>
      </c>
      <c r="L249" t="n">
        <v>1346</v>
      </c>
      <c r="N249" t="n">
        <v>1009</v>
      </c>
      <c r="O249" t="inlineStr">
        <is>
          <t>кг</t>
        </is>
      </c>
      <c r="P249" t="inlineStr">
        <is>
          <t>кг</t>
        </is>
      </c>
      <c r="Q249" t="n">
        <v>1</v>
      </c>
      <c r="W249" t="n">
        <v>0</v>
      </c>
      <c r="X249" t="n">
        <v>-821506530</v>
      </c>
      <c r="Y249">
        <f>AT249</f>
        <v/>
      </c>
      <c r="AA249" t="n">
        <v>202.83</v>
      </c>
      <c r="AB249" t="n">
        <v>0</v>
      </c>
      <c r="AC249" t="n">
        <v>0</v>
      </c>
      <c r="AD249" t="n">
        <v>0</v>
      </c>
      <c r="AE249" t="n">
        <v>41.82</v>
      </c>
      <c r="AF249" t="n">
        <v>0</v>
      </c>
      <c r="AG249" t="n">
        <v>0</v>
      </c>
      <c r="AH249" t="n">
        <v>0</v>
      </c>
      <c r="AI249" t="n">
        <v>4.85</v>
      </c>
      <c r="AJ249" t="n">
        <v>1</v>
      </c>
      <c r="AK249" t="n">
        <v>1</v>
      </c>
      <c r="AL249" t="n">
        <v>1</v>
      </c>
      <c r="AM249" t="n">
        <v>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0.53</v>
      </c>
      <c r="AU249" t="inlineStr"/>
      <c r="AV249" t="n">
        <v>0</v>
      </c>
      <c r="AW249" t="n">
        <v>2</v>
      </c>
      <c r="AX249" t="n">
        <v>78870578</v>
      </c>
      <c r="AY249" t="n">
        <v>1</v>
      </c>
      <c r="AZ249" t="n">
        <v>0</v>
      </c>
      <c r="BA249" t="n">
        <v>230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V249" t="n">
        <v>0</v>
      </c>
      <c r="CW249" t="n">
        <v>0</v>
      </c>
      <c r="CX249">
        <f>ROUND(Y249*Source!I476,7)</f>
        <v/>
      </c>
      <c r="CY249">
        <f>AA249</f>
        <v/>
      </c>
      <c r="CZ249">
        <f>AE249</f>
        <v/>
      </c>
      <c r="DA249">
        <f>AI249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ROUND(ROUND(AE249*AI249,0)*CX249,0)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DF249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ROW(Source!A476)</f>
        <v/>
      </c>
      <c r="B250" t="n">
        <v>78869116</v>
      </c>
      <c r="C250" t="n">
        <v>78870562</v>
      </c>
      <c r="D250" t="n">
        <v>29165878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509-2900</t>
        </is>
      </c>
      <c r="J250" t="inlineStr">
        <is>
          <t>ТССЦ Московской обл., 509-2900, приказ Минстроя России №675/пр от 28.02.2017 № 258/пр</t>
        </is>
      </c>
      <c r="K250" t="inlineStr">
        <is>
          <t>Стяжка кабельная (бандаж) 3,6х200 мм</t>
        </is>
      </c>
      <c r="L250" t="n">
        <v>1355</v>
      </c>
      <c r="N250" t="n">
        <v>1010</v>
      </c>
      <c r="O250" t="inlineStr">
        <is>
          <t>100 шт.</t>
        </is>
      </c>
      <c r="P250" t="inlineStr">
        <is>
          <t>100 шт.</t>
        </is>
      </c>
      <c r="Q250" t="n">
        <v>100</v>
      </c>
      <c r="W250" t="n">
        <v>0</v>
      </c>
      <c r="X250" t="n">
        <v>1730274290</v>
      </c>
      <c r="Y250">
        <f>AT250</f>
        <v/>
      </c>
      <c r="AA250" t="n">
        <v>107.04</v>
      </c>
      <c r="AB250" t="n">
        <v>0</v>
      </c>
      <c r="AC250" t="n">
        <v>0</v>
      </c>
      <c r="AD250" t="n">
        <v>0</v>
      </c>
      <c r="AE250" t="n">
        <v>5.83</v>
      </c>
      <c r="AF250" t="n">
        <v>0</v>
      </c>
      <c r="AG250" t="n">
        <v>0</v>
      </c>
      <c r="AH250" t="n">
        <v>0</v>
      </c>
      <c r="AI250" t="n">
        <v>18.36</v>
      </c>
      <c r="AJ250" t="n">
        <v>1</v>
      </c>
      <c r="AK250" t="n">
        <v>1</v>
      </c>
      <c r="AL250" t="n">
        <v>1</v>
      </c>
      <c r="AM250" t="n">
        <v>0</v>
      </c>
      <c r="AN250" t="n">
        <v>0</v>
      </c>
      <c r="AO250" t="n">
        <v>0</v>
      </c>
      <c r="AP250" t="n">
        <v>1</v>
      </c>
      <c r="AQ250" t="n">
        <v>0</v>
      </c>
      <c r="AR250" t="n">
        <v>0</v>
      </c>
      <c r="AS250" t="inlineStr"/>
      <c r="AT250" t="n">
        <v>375</v>
      </c>
      <c r="AU250" t="inlineStr"/>
      <c r="AV250" t="n">
        <v>0</v>
      </c>
      <c r="AW250" t="n">
        <v>1</v>
      </c>
      <c r="AX250" t="n">
        <v>-1</v>
      </c>
      <c r="AY250" t="n">
        <v>0</v>
      </c>
      <c r="AZ250" t="n">
        <v>0</v>
      </c>
      <c r="BA250" t="inlineStr"/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 t="n">
        <v>0</v>
      </c>
      <c r="CX250">
        <f>ROUND(Y250*Source!I476,7)</f>
        <v/>
      </c>
      <c r="CY250">
        <f>AA250</f>
        <v/>
      </c>
      <c r="CZ250">
        <f>AE250</f>
        <v/>
      </c>
      <c r="DA250">
        <f>AI250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ROUND(ROUND(AE250*AI250,0)*CX250,0)</f>
        <v/>
      </c>
      <c r="DG250">
        <f>ROUND(ROUND(AF250,0)*CX250,0)</f>
        <v/>
      </c>
      <c r="DH250">
        <f>ROUND(ROUND(AG250,0)*CX250,0)</f>
        <v/>
      </c>
      <c r="DI250">
        <f>ROUND(ROUND(AH250,0)*CX250,0)</f>
        <v/>
      </c>
      <c r="DJ250">
        <f>DF250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ROW(Source!A476)</f>
        <v/>
      </c>
      <c r="B251" t="n">
        <v>78869116</v>
      </c>
      <c r="C251" t="n">
        <v>78870562</v>
      </c>
      <c r="D251" t="n">
        <v>29164353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509-8001</t>
        </is>
      </c>
      <c r="J251" t="inlineStr">
        <is>
          <t>ТССЦ Московской обл., 509-8001, приказ Минстроя России №675/пр от 28.02.2017 № 258/пр</t>
        </is>
      </c>
      <c r="K251" t="inlineStr">
        <is>
          <t>Патроны потолочные</t>
        </is>
      </c>
      <c r="L251" t="n">
        <v>1354</v>
      </c>
      <c r="N251" t="n">
        <v>1010</v>
      </c>
      <c r="O251" t="inlineStr">
        <is>
          <t>шт.</t>
        </is>
      </c>
      <c r="P251" t="inlineStr">
        <is>
          <t>шт.</t>
        </is>
      </c>
      <c r="Q251" t="n">
        <v>1</v>
      </c>
      <c r="W251" t="n">
        <v>0</v>
      </c>
      <c r="X251" t="n">
        <v>46131977</v>
      </c>
      <c r="Y251">
        <f>AT251</f>
        <v/>
      </c>
      <c r="AA251" t="n">
        <v>23.78</v>
      </c>
      <c r="AB251" t="n">
        <v>0</v>
      </c>
      <c r="AC251" t="n">
        <v>0</v>
      </c>
      <c r="AD251" t="n">
        <v>0</v>
      </c>
      <c r="AE251" t="n">
        <v>5.25</v>
      </c>
      <c r="AF251" t="n">
        <v>0</v>
      </c>
      <c r="AG251" t="n">
        <v>0</v>
      </c>
      <c r="AH251" t="n">
        <v>0</v>
      </c>
      <c r="AI251" t="n">
        <v>4.53</v>
      </c>
      <c r="AJ251" t="n">
        <v>1</v>
      </c>
      <c r="AK251" t="n">
        <v>1</v>
      </c>
      <c r="AL251" t="n">
        <v>1</v>
      </c>
      <c r="AM251" t="n">
        <v>0</v>
      </c>
      <c r="AN251" t="n">
        <v>0</v>
      </c>
      <c r="AO251" t="n">
        <v>0</v>
      </c>
      <c r="AP251" t="n">
        <v>1</v>
      </c>
      <c r="AQ251" t="n">
        <v>0</v>
      </c>
      <c r="AR251" t="n">
        <v>0</v>
      </c>
      <c r="AS251" t="inlineStr"/>
      <c r="AT251" t="n">
        <v>37.5</v>
      </c>
      <c r="AU251" t="inlineStr"/>
      <c r="AV251" t="n">
        <v>0</v>
      </c>
      <c r="AW251" t="n">
        <v>1</v>
      </c>
      <c r="AX251" t="n">
        <v>-1</v>
      </c>
      <c r="AY251" t="n">
        <v>0</v>
      </c>
      <c r="AZ251" t="n">
        <v>0</v>
      </c>
      <c r="BA251" t="inlineStr"/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ROUND(Y251*Source!I476,7)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ROW(Source!A476)</f>
        <v/>
      </c>
      <c r="B252" t="n">
        <v>78869116</v>
      </c>
      <c r="C252" t="n">
        <v>78870562</v>
      </c>
      <c r="D252" t="n">
        <v>29171808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999-9950</t>
        </is>
      </c>
      <c r="J252" t="inlineStr">
        <is>
          <t>ТССЦ Московской обл., 999-9950, приказ Минстроя России №675/пр от 21.09.2015 г.</t>
        </is>
      </c>
      <c r="K252" t="inlineStr">
        <is>
          <t>Вспомогательные ненормируемые материалы (2% от ОЗП)</t>
        </is>
      </c>
      <c r="L252" t="n">
        <v>1374</v>
      </c>
      <c r="N252" t="n">
        <v>1013</v>
      </c>
      <c r="O252" t="inlineStr">
        <is>
          <t>РУБ</t>
        </is>
      </c>
      <c r="P252" t="inlineStr">
        <is>
          <t>РУБ</t>
        </is>
      </c>
      <c r="Q252" t="n">
        <v>1</v>
      </c>
      <c r="W252" t="n">
        <v>0</v>
      </c>
      <c r="X252" t="n">
        <v>-915781824</v>
      </c>
      <c r="Y252">
        <f>AT252</f>
        <v/>
      </c>
      <c r="AA252" t="n">
        <v>1</v>
      </c>
      <c r="AB252" t="n">
        <v>0</v>
      </c>
      <c r="AC252" t="n">
        <v>0</v>
      </c>
      <c r="AD252" t="n">
        <v>0</v>
      </c>
      <c r="AE252" t="n">
        <v>1</v>
      </c>
      <c r="AF252" t="n">
        <v>0</v>
      </c>
      <c r="AG252" t="n">
        <v>0</v>
      </c>
      <c r="AH252" t="n">
        <v>0</v>
      </c>
      <c r="AI252" t="n">
        <v>1</v>
      </c>
      <c r="AJ252" t="n">
        <v>1</v>
      </c>
      <c r="AK252" t="n">
        <v>1</v>
      </c>
      <c r="AL252" t="n">
        <v>1</v>
      </c>
      <c r="AM252" t="n">
        <v>-2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3.1</v>
      </c>
      <c r="AU252" t="inlineStr"/>
      <c r="AV252" t="n">
        <v>0</v>
      </c>
      <c r="AW252" t="n">
        <v>2</v>
      </c>
      <c r="AX252" t="n">
        <v>78870579</v>
      </c>
      <c r="AY252" t="n">
        <v>1</v>
      </c>
      <c r="AZ252" t="n">
        <v>0</v>
      </c>
      <c r="BA252" t="n">
        <v>231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ROUND(Y252*Source!I476,7)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ROW(Source!A518)</f>
        <v/>
      </c>
      <c r="B253" t="n">
        <v>78869116</v>
      </c>
      <c r="C253" t="n">
        <v>78870650</v>
      </c>
      <c r="D253" t="n">
        <v>18442827</v>
      </c>
      <c r="E253" t="n">
        <v>1</v>
      </c>
      <c r="F253" t="n">
        <v>1</v>
      </c>
      <c r="G253" t="n">
        <v>1</v>
      </c>
      <c r="H253" t="n">
        <v>1</v>
      </c>
      <c r="I253" t="inlineStr">
        <is>
          <t>1-1053-90</t>
        </is>
      </c>
      <c r="J253" t="inlineStr"/>
      <c r="K253" t="inlineStr">
        <is>
          <t>Рабочий строитель среднего разряда 5,3</t>
        </is>
      </c>
      <c r="L253" t="n">
        <v>1369</v>
      </c>
      <c r="N253" t="n">
        <v>1013</v>
      </c>
      <c r="O253" t="inlineStr">
        <is>
          <t>чел.-ч</t>
        </is>
      </c>
      <c r="P253" t="inlineStr">
        <is>
          <t>чел.-ч</t>
        </is>
      </c>
      <c r="Q253" t="n">
        <v>1</v>
      </c>
      <c r="W253" t="n">
        <v>0</v>
      </c>
      <c r="X253" t="n">
        <v>717490484</v>
      </c>
      <c r="Y253">
        <f>(AT253*ROUND(8,7))</f>
        <v/>
      </c>
      <c r="AA253" t="n">
        <v>0</v>
      </c>
      <c r="AB253" t="n">
        <v>0</v>
      </c>
      <c r="AC253" t="n">
        <v>0</v>
      </c>
      <c r="AD253" t="n">
        <v>11.64</v>
      </c>
      <c r="AE253" t="n">
        <v>0</v>
      </c>
      <c r="AF253" t="n">
        <v>0</v>
      </c>
      <c r="AG253" t="n">
        <v>0</v>
      </c>
      <c r="AH253" t="n">
        <v>11.64</v>
      </c>
      <c r="AI253" t="n">
        <v>1</v>
      </c>
      <c r="AJ253" t="n">
        <v>1</v>
      </c>
      <c r="AK253" t="n">
        <v>1</v>
      </c>
      <c r="AL253" t="n">
        <v>1</v>
      </c>
      <c r="AM253" t="n">
        <v>-2</v>
      </c>
      <c r="AN253" t="n">
        <v>0</v>
      </c>
      <c r="AO253" t="n">
        <v>1</v>
      </c>
      <c r="AP253" t="n">
        <v>1</v>
      </c>
      <c r="AQ253" t="n">
        <v>0</v>
      </c>
      <c r="AR253" t="n">
        <v>0</v>
      </c>
      <c r="AS253" t="inlineStr"/>
      <c r="AT253" t="n">
        <v>5.01</v>
      </c>
      <c r="AU253" t="inlineStr">
        <is>
          <t>)*8</t>
        </is>
      </c>
      <c r="AV253" t="n">
        <v>1</v>
      </c>
      <c r="AW253" t="n">
        <v>2</v>
      </c>
      <c r="AX253" t="n">
        <v>78870657</v>
      </c>
      <c r="AY253" t="n">
        <v>1</v>
      </c>
      <c r="AZ253" t="n">
        <v>0</v>
      </c>
      <c r="BA253" t="n">
        <v>232</v>
      </c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U253">
        <f>ROUND(AT253*Source!I518*AH253*AL253,0)</f>
        <v/>
      </c>
      <c r="CV253">
        <f>ROUND(Y253*Source!I518,7)</f>
        <v/>
      </c>
      <c r="CW253" t="n">
        <v>0</v>
      </c>
      <c r="CX253">
        <f>ROUND(Y253*Source!I518,7)</f>
        <v/>
      </c>
      <c r="CY253">
        <f>AD253</f>
        <v/>
      </c>
      <c r="CZ253">
        <f>AH253</f>
        <v/>
      </c>
      <c r="DA253">
        <f>AL253</f>
        <v/>
      </c>
      <c r="DB253">
        <f>ROUND((ROUND(AT253*CZ253,2)*ROUND(8,7)),2)</f>
        <v/>
      </c>
      <c r="DC253">
        <f>ROUND((ROUND(AT253*AG253,2)*ROUND(8,7)),2)</f>
        <v/>
      </c>
      <c r="DD253" t="inlineStr"/>
      <c r="DE253" t="inlineStr"/>
      <c r="DF253">
        <f>ROUND(ROUND(AE253,0)*CX253,0)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DI253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ROW(Source!A518)</f>
        <v/>
      </c>
      <c r="B254" t="n">
        <v>78869116</v>
      </c>
      <c r="C254" t="n">
        <v>78870650</v>
      </c>
      <c r="D254" t="n">
        <v>29172703</v>
      </c>
      <c r="E254" t="n">
        <v>1</v>
      </c>
      <c r="F254" t="n">
        <v>1</v>
      </c>
      <c r="G254" t="n">
        <v>1</v>
      </c>
      <c r="H254" t="n">
        <v>2</v>
      </c>
      <c r="I254" t="inlineStr">
        <is>
          <t>042900</t>
        </is>
      </c>
      <c r="J254" t="inlineStr">
        <is>
          <t>ТСЭМ Московской обл., 042900, приказ Минстроя России №675/пр от 28.02.2017 № 264/пр</t>
        </is>
      </c>
      <c r="K2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4" t="n">
        <v>1368</v>
      </c>
      <c r="N254" t="n">
        <v>1011</v>
      </c>
      <c r="O254" t="inlineStr">
        <is>
          <t>маш.-ч</t>
        </is>
      </c>
      <c r="P254" t="inlineStr">
        <is>
          <t>маш.-ч</t>
        </is>
      </c>
      <c r="Q254" t="n">
        <v>1</v>
      </c>
      <c r="W254" t="n">
        <v>0</v>
      </c>
      <c r="X254" t="n">
        <v>1695838894</v>
      </c>
      <c r="Y254">
        <f>(AT254*ROUND(8,7))</f>
        <v/>
      </c>
      <c r="AA254" t="n">
        <v>0</v>
      </c>
      <c r="AB254" t="n">
        <v>177.13</v>
      </c>
      <c r="AC254" t="n">
        <v>0</v>
      </c>
      <c r="AD254" t="n">
        <v>0</v>
      </c>
      <c r="AE254" t="n">
        <v>0</v>
      </c>
      <c r="AF254" t="n">
        <v>29.67</v>
      </c>
      <c r="AG254" t="n">
        <v>0</v>
      </c>
      <c r="AH254" t="n">
        <v>0</v>
      </c>
      <c r="AI254" t="n">
        <v>1</v>
      </c>
      <c r="AJ254" t="n">
        <v>5.97</v>
      </c>
      <c r="AK254" t="n">
        <v>52.25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1.5</v>
      </c>
      <c r="AU254" t="inlineStr">
        <is>
          <t>)*8</t>
        </is>
      </c>
      <c r="AV254" t="n">
        <v>0</v>
      </c>
      <c r="AW254" t="n">
        <v>2</v>
      </c>
      <c r="AX254" t="n">
        <v>78870658</v>
      </c>
      <c r="AY254" t="n">
        <v>1</v>
      </c>
      <c r="AZ254" t="n">
        <v>0</v>
      </c>
      <c r="BA254" t="n">
        <v>233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>
        <f>ROUND(Y254*Source!I518*DO254,7)</f>
        <v/>
      </c>
      <c r="CX254">
        <f>ROUND(Y254*Source!I518,7)</f>
        <v/>
      </c>
      <c r="CY254">
        <f>AB254</f>
        <v/>
      </c>
      <c r="CZ254">
        <f>AF254</f>
        <v/>
      </c>
      <c r="DA254">
        <f>AJ254</f>
        <v/>
      </c>
      <c r="DB254">
        <f>ROUND((ROUND(AT254*CZ254,2)*ROUND(8,7)),2)</f>
        <v/>
      </c>
      <c r="DC254">
        <f>ROUND((ROUND(AT254*AG254,2)*ROUND(8,7)),2)</f>
        <v/>
      </c>
      <c r="DD254" t="inlineStr"/>
      <c r="DE254" t="inlineStr"/>
      <c r="DF254">
        <f>ROUND(ROUND(AE254,0)*CX254,0)</f>
        <v/>
      </c>
      <c r="DG254">
        <f>ROUND(ROUND(AF254*AJ254,0)*CX254,0)</f>
        <v/>
      </c>
      <c r="DH254">
        <f>ROUND(ROUND(AG254*AK254,0)*CX254,0)</f>
        <v/>
      </c>
      <c r="DI254">
        <f>ROUND(ROUND(AH254,0)*CX254,0)</f>
        <v/>
      </c>
      <c r="DJ254">
        <f>DG254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ROW(Source!A518)</f>
        <v/>
      </c>
      <c r="B255" t="n">
        <v>78869116</v>
      </c>
      <c r="C255" t="n">
        <v>78870650</v>
      </c>
      <c r="D255" t="n">
        <v>29110398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101-0388</t>
        </is>
      </c>
      <c r="J255" t="inlineStr">
        <is>
          <t>ТССЦ Московской обл., 101-0388, приказ Минстроя России №675/пр от 28.02.2017 № 254/пр</t>
        </is>
      </c>
      <c r="K255" t="inlineStr">
        <is>
          <t>Краски масляные земляные марки МА-0115 мумия, сурик железный</t>
        </is>
      </c>
      <c r="L255" t="n">
        <v>1348</v>
      </c>
      <c r="N255" t="n">
        <v>1009</v>
      </c>
      <c r="O255" t="inlineStr">
        <is>
          <t>т</t>
        </is>
      </c>
      <c r="P255" t="inlineStr">
        <is>
          <t>т</t>
        </is>
      </c>
      <c r="Q255" t="n">
        <v>1000</v>
      </c>
      <c r="W255" t="n">
        <v>0</v>
      </c>
      <c r="X255" t="n">
        <v>1625292450</v>
      </c>
      <c r="Y255">
        <f>(AT255*ROUND(8,7))</f>
        <v/>
      </c>
      <c r="AA255" t="n">
        <v>76804.47</v>
      </c>
      <c r="AB255" t="n">
        <v>0</v>
      </c>
      <c r="AC255" t="n">
        <v>0</v>
      </c>
      <c r="AD255" t="n">
        <v>0</v>
      </c>
      <c r="AE255" t="n">
        <v>15118.99</v>
      </c>
      <c r="AF255" t="n">
        <v>0</v>
      </c>
      <c r="AG255" t="n">
        <v>0</v>
      </c>
      <c r="AH255" t="n">
        <v>0</v>
      </c>
      <c r="AI255" t="n">
        <v>5.08</v>
      </c>
      <c r="AJ255" t="n">
        <v>1</v>
      </c>
      <c r="AK255" t="n">
        <v>1</v>
      </c>
      <c r="AL255" t="n">
        <v>1</v>
      </c>
      <c r="AM255" t="n">
        <v>2</v>
      </c>
      <c r="AN255" t="n">
        <v>0</v>
      </c>
      <c r="AO255" t="n">
        <v>1</v>
      </c>
      <c r="AP255" t="n">
        <v>1</v>
      </c>
      <c r="AQ255" t="n">
        <v>0</v>
      </c>
      <c r="AR255" t="n">
        <v>0</v>
      </c>
      <c r="AS255" t="inlineStr"/>
      <c r="AT255" t="n">
        <v>5e-05</v>
      </c>
      <c r="AU255" t="inlineStr">
        <is>
          <t>)*8</t>
        </is>
      </c>
      <c r="AV255" t="n">
        <v>0</v>
      </c>
      <c r="AW255" t="n">
        <v>2</v>
      </c>
      <c r="AX255" t="n">
        <v>78870659</v>
      </c>
      <c r="AY255" t="n">
        <v>1</v>
      </c>
      <c r="AZ255" t="n">
        <v>0</v>
      </c>
      <c r="BA255" t="n">
        <v>234</v>
      </c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ROUND(Y255*Source!I518,7)</f>
        <v/>
      </c>
      <c r="CY255">
        <f>AA255</f>
        <v/>
      </c>
      <c r="CZ255">
        <f>AE255</f>
        <v/>
      </c>
      <c r="DA255">
        <f>AI255</f>
        <v/>
      </c>
      <c r="DB255">
        <f>ROUND((ROUND(AT255*CZ255,2)*ROUND(8,7)),2)</f>
        <v/>
      </c>
      <c r="DC255">
        <f>ROUND((ROUND(AT255*AG255,2)*ROUND(8,7)),2)</f>
        <v/>
      </c>
      <c r="DD255" t="inlineStr"/>
      <c r="DE255" t="inlineStr"/>
      <c r="DF255">
        <f>ROUND(ROUND(AE255*AI255,0)*CX255,0)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ROW(Source!A518)</f>
        <v/>
      </c>
      <c r="B256" t="n">
        <v>78869116</v>
      </c>
      <c r="C256" t="n">
        <v>78870650</v>
      </c>
      <c r="D256" t="n">
        <v>29110573</v>
      </c>
      <c r="E256" t="n">
        <v>1</v>
      </c>
      <c r="F256" t="n">
        <v>1</v>
      </c>
      <c r="G256" t="n">
        <v>1</v>
      </c>
      <c r="H256" t="n">
        <v>3</v>
      </c>
      <c r="I256" t="inlineStr">
        <is>
          <t>101-0628</t>
        </is>
      </c>
      <c r="J256" t="inlineStr">
        <is>
          <t>ТССЦ Московской обл., 101-0628, приказ Минстроя России №675/пр от 28.02.2017 № 254/пр</t>
        </is>
      </c>
      <c r="K256" t="inlineStr">
        <is>
          <t>Олифа комбинированная, марки К-3</t>
        </is>
      </c>
      <c r="L256" t="n">
        <v>1348</v>
      </c>
      <c r="N256" t="n">
        <v>1009</v>
      </c>
      <c r="O256" t="inlineStr">
        <is>
          <t>т</t>
        </is>
      </c>
      <c r="P256" t="inlineStr">
        <is>
          <t>т</t>
        </is>
      </c>
      <c r="Q256" t="n">
        <v>1000</v>
      </c>
      <c r="W256" t="n">
        <v>0</v>
      </c>
      <c r="X256" t="n">
        <v>24062879</v>
      </c>
      <c r="Y256">
        <f>(AT256*ROUND(8,7))</f>
        <v/>
      </c>
      <c r="AA256" t="n">
        <v>87631.5</v>
      </c>
      <c r="AB256" t="n">
        <v>0</v>
      </c>
      <c r="AC256" t="n">
        <v>0</v>
      </c>
      <c r="AD256" t="n">
        <v>0</v>
      </c>
      <c r="AE256" t="n">
        <v>16950</v>
      </c>
      <c r="AF256" t="n">
        <v>0</v>
      </c>
      <c r="AG256" t="n">
        <v>0</v>
      </c>
      <c r="AH256" t="n">
        <v>0</v>
      </c>
      <c r="AI256" t="n">
        <v>5.17</v>
      </c>
      <c r="AJ256" t="n">
        <v>1</v>
      </c>
      <c r="AK256" t="n">
        <v>1</v>
      </c>
      <c r="AL256" t="n">
        <v>1</v>
      </c>
      <c r="AM256" t="n">
        <v>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2e-05</v>
      </c>
      <c r="AU256" t="inlineStr">
        <is>
          <t>)*8</t>
        </is>
      </c>
      <c r="AV256" t="n">
        <v>0</v>
      </c>
      <c r="AW256" t="n">
        <v>2</v>
      </c>
      <c r="AX256" t="n">
        <v>78870660</v>
      </c>
      <c r="AY256" t="n">
        <v>1</v>
      </c>
      <c r="AZ256" t="n">
        <v>0</v>
      </c>
      <c r="BA256" t="n">
        <v>235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V256" t="n">
        <v>0</v>
      </c>
      <c r="CW256" t="n">
        <v>0</v>
      </c>
      <c r="CX256">
        <f>ROUND(Y256*Source!I518,7)</f>
        <v/>
      </c>
      <c r="CY256">
        <f>AA256</f>
        <v/>
      </c>
      <c r="CZ256">
        <f>AE256</f>
        <v/>
      </c>
      <c r="DA256">
        <f>AI256</f>
        <v/>
      </c>
      <c r="DB256">
        <f>ROUND((ROUND(AT256*CZ256,2)*ROUND(8,7)),2)</f>
        <v/>
      </c>
      <c r="DC256">
        <f>ROUND((ROUND(AT256*AG256,2)*ROUND(8,7)),2)</f>
        <v/>
      </c>
      <c r="DD256" t="inlineStr"/>
      <c r="DE256" t="inlineStr"/>
      <c r="DF256">
        <f>ROUND(ROUND(AE256*AI256,0)*CX256,0)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DF256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ROW(Source!A518)</f>
        <v/>
      </c>
      <c r="B257" t="n">
        <v>78869116</v>
      </c>
      <c r="C257" t="n">
        <v>78870650</v>
      </c>
      <c r="D257" t="n">
        <v>29107963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101-1669</t>
        </is>
      </c>
      <c r="J257" t="inlineStr">
        <is>
          <t>ТССЦ Московской обл., 101-1669, приказ Минстроя России №675/пр от 28.02.2017 № 254/пр</t>
        </is>
      </c>
      <c r="K257" t="inlineStr">
        <is>
          <t>Очес льняной</t>
        </is>
      </c>
      <c r="L257" t="n">
        <v>1346</v>
      </c>
      <c r="N257" t="n">
        <v>1009</v>
      </c>
      <c r="O257" t="inlineStr">
        <is>
          <t>кг</t>
        </is>
      </c>
      <c r="P257" t="inlineStr">
        <is>
          <t>кг</t>
        </is>
      </c>
      <c r="Q257" t="n">
        <v>1</v>
      </c>
      <c r="W257" t="n">
        <v>0</v>
      </c>
      <c r="X257" t="n">
        <v>-2113933962</v>
      </c>
      <c r="Y257">
        <f>(AT257*ROUND(8,7))</f>
        <v/>
      </c>
      <c r="AA257" t="n">
        <v>590.67</v>
      </c>
      <c r="AB257" t="n">
        <v>0</v>
      </c>
      <c r="AC257" t="n">
        <v>0</v>
      </c>
      <c r="AD257" t="n">
        <v>0</v>
      </c>
      <c r="AE257" t="n">
        <v>37.29</v>
      </c>
      <c r="AF257" t="n">
        <v>0</v>
      </c>
      <c r="AG257" t="n">
        <v>0</v>
      </c>
      <c r="AH257" t="n">
        <v>0</v>
      </c>
      <c r="AI257" t="n">
        <v>15.84</v>
      </c>
      <c r="AJ257" t="n">
        <v>1</v>
      </c>
      <c r="AK257" t="n">
        <v>1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0.02</v>
      </c>
      <c r="AU257" t="inlineStr">
        <is>
          <t>)*8</t>
        </is>
      </c>
      <c r="AV257" t="n">
        <v>0</v>
      </c>
      <c r="AW257" t="n">
        <v>2</v>
      </c>
      <c r="AX257" t="n">
        <v>78870661</v>
      </c>
      <c r="AY257" t="n">
        <v>1</v>
      </c>
      <c r="AZ257" t="n">
        <v>0</v>
      </c>
      <c r="BA257" t="n">
        <v>236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 t="n">
        <v>0</v>
      </c>
      <c r="CX257">
        <f>ROUND(Y257*Source!I518,7)</f>
        <v/>
      </c>
      <c r="CY257">
        <f>AA257</f>
        <v/>
      </c>
      <c r="CZ257">
        <f>AE257</f>
        <v/>
      </c>
      <c r="DA257">
        <f>AI257</f>
        <v/>
      </c>
      <c r="DB257">
        <f>ROUND((ROUND(AT257*CZ257,2)*ROUND(8,7)),2)</f>
        <v/>
      </c>
      <c r="DC257">
        <f>ROUND((ROUND(AT257*AG257,2)*ROUND(8,7)),2)</f>
        <v/>
      </c>
      <c r="DD257" t="inlineStr"/>
      <c r="DE257" t="inlineStr"/>
      <c r="DF257">
        <f>ROUND(ROUND(AE257*AI257,0)*CX257,0)</f>
        <v/>
      </c>
      <c r="DG257">
        <f>ROUND(ROUND(AF257,0)*CX257,0)</f>
        <v/>
      </c>
      <c r="DH257">
        <f>ROUND(ROUND(AG257,0)*CX257,0)</f>
        <v/>
      </c>
      <c r="DI257">
        <f>ROUND(ROUND(AH257,0)*CX257,0)</f>
        <v/>
      </c>
      <c r="DJ257">
        <f>DF257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ROW(Source!A518)</f>
        <v/>
      </c>
      <c r="B258" t="n">
        <v>78869116</v>
      </c>
      <c r="C258" t="n">
        <v>78870650</v>
      </c>
      <c r="D258" t="n">
        <v>29150040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411-0001</t>
        </is>
      </c>
      <c r="J258" t="inlineStr">
        <is>
          <t>ТССЦ Московской обл., 411-0001, приказ Минстроя России №675/пр от 28.02.2017 № 257/пр</t>
        </is>
      </c>
      <c r="K258" t="inlineStr">
        <is>
          <t>Вода</t>
        </is>
      </c>
      <c r="L258" t="n">
        <v>1339</v>
      </c>
      <c r="N258" t="n">
        <v>1007</v>
      </c>
      <c r="O258" t="inlineStr">
        <is>
          <t>м3</t>
        </is>
      </c>
      <c r="P258" t="inlineStr">
        <is>
          <t>м3</t>
        </is>
      </c>
      <c r="Q258" t="n">
        <v>1</v>
      </c>
      <c r="W258" t="n">
        <v>0</v>
      </c>
      <c r="X258" t="n">
        <v>619799737</v>
      </c>
      <c r="Y258">
        <f>(AT258*ROUND(8,7))</f>
        <v/>
      </c>
      <c r="AA258" t="n">
        <v>31.28</v>
      </c>
      <c r="AB258" t="n">
        <v>0</v>
      </c>
      <c r="AC258" t="n">
        <v>0</v>
      </c>
      <c r="AD258" t="n">
        <v>0</v>
      </c>
      <c r="AE258" t="n">
        <v>2.44</v>
      </c>
      <c r="AF258" t="n">
        <v>0</v>
      </c>
      <c r="AG258" t="n">
        <v>0</v>
      </c>
      <c r="AH258" t="n">
        <v>0</v>
      </c>
      <c r="AI258" t="n">
        <v>12.82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1</v>
      </c>
      <c r="AU258" t="inlineStr">
        <is>
          <t>)*8</t>
        </is>
      </c>
      <c r="AV258" t="n">
        <v>0</v>
      </c>
      <c r="AW258" t="n">
        <v>2</v>
      </c>
      <c r="AX258" t="n">
        <v>78870662</v>
      </c>
      <c r="AY258" t="n">
        <v>1</v>
      </c>
      <c r="AZ258" t="n">
        <v>0</v>
      </c>
      <c r="BA258" t="n">
        <v>237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ROUND(Y258*Source!I518,7)</f>
        <v/>
      </c>
      <c r="CY258">
        <f>AA258</f>
        <v/>
      </c>
      <c r="CZ258">
        <f>AE258</f>
        <v/>
      </c>
      <c r="DA258">
        <f>AI258</f>
        <v/>
      </c>
      <c r="DB258">
        <f>ROUND((ROUND(AT258*CZ258,2)*ROUND(8,7)),2)</f>
        <v/>
      </c>
      <c r="DC258">
        <f>ROUND((ROUND(AT258*AG258,2)*ROUND(8,7)),2)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ROW(Source!A519)</f>
        <v/>
      </c>
      <c r="B259" t="n">
        <v>78869116</v>
      </c>
      <c r="C259" t="n">
        <v>78870663</v>
      </c>
      <c r="D259" t="n">
        <v>18408291</v>
      </c>
      <c r="E259" t="n">
        <v>1</v>
      </c>
      <c r="F259" t="n">
        <v>1</v>
      </c>
      <c r="G259" t="n">
        <v>1</v>
      </c>
      <c r="H259" t="n">
        <v>1</v>
      </c>
      <c r="I259" t="inlineStr">
        <is>
          <t>1-1025-90</t>
        </is>
      </c>
      <c r="J259" t="inlineStr"/>
      <c r="K259" t="inlineStr">
        <is>
          <t>Рабочий строитель среднего разряда 2,5</t>
        </is>
      </c>
      <c r="L259" t="n">
        <v>1369</v>
      </c>
      <c r="N259" t="n">
        <v>1013</v>
      </c>
      <c r="O259" t="inlineStr">
        <is>
          <t>чел.-ч</t>
        </is>
      </c>
      <c r="P259" t="inlineStr">
        <is>
          <t>чел.-ч</t>
        </is>
      </c>
      <c r="Q259" t="n">
        <v>1</v>
      </c>
      <c r="W259" t="n">
        <v>0</v>
      </c>
      <c r="X259" t="n">
        <v>1933892413</v>
      </c>
      <c r="Y259">
        <f>AT259</f>
        <v/>
      </c>
      <c r="AA259" t="n">
        <v>0</v>
      </c>
      <c r="AB259" t="n">
        <v>0</v>
      </c>
      <c r="AC259" t="n">
        <v>0</v>
      </c>
      <c r="AD259" t="n">
        <v>8.17</v>
      </c>
      <c r="AE259" t="n">
        <v>0</v>
      </c>
      <c r="AF259" t="n">
        <v>0</v>
      </c>
      <c r="AG259" t="n">
        <v>0</v>
      </c>
      <c r="AH259" t="n">
        <v>8.17</v>
      </c>
      <c r="AI259" t="n">
        <v>1</v>
      </c>
      <c r="AJ259" t="n">
        <v>1</v>
      </c>
      <c r="AK259" t="n">
        <v>1</v>
      </c>
      <c r="AL259" t="n">
        <v>1</v>
      </c>
      <c r="AM259" t="n">
        <v>-2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32.2</v>
      </c>
      <c r="AU259" t="inlineStr"/>
      <c r="AV259" t="n">
        <v>1</v>
      </c>
      <c r="AW259" t="n">
        <v>2</v>
      </c>
      <c r="AX259" t="n">
        <v>78870669</v>
      </c>
      <c r="AY259" t="n">
        <v>1</v>
      </c>
      <c r="AZ259" t="n">
        <v>0</v>
      </c>
      <c r="BA259" t="n">
        <v>238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U259">
        <f>ROUND(AT259*Source!I519*AH259*AL259,0)</f>
        <v/>
      </c>
      <c r="CV259">
        <f>ROUND(Y259*Source!I519,7)</f>
        <v/>
      </c>
      <c r="CW259" t="n">
        <v>0</v>
      </c>
      <c r="CX259">
        <f>ROUND(Y259*Source!I519,7)</f>
        <v/>
      </c>
      <c r="CY259">
        <f>AD259</f>
        <v/>
      </c>
      <c r="CZ259">
        <f>AH259</f>
        <v/>
      </c>
      <c r="DA259">
        <f>AL259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DI259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ROW(Source!A519)</f>
        <v/>
      </c>
      <c r="B260" t="n">
        <v>78869116</v>
      </c>
      <c r="C260" t="n">
        <v>78870663</v>
      </c>
      <c r="D260" t="n">
        <v>29174913</v>
      </c>
      <c r="E260" t="n">
        <v>1</v>
      </c>
      <c r="F260" t="n">
        <v>1</v>
      </c>
      <c r="G260" t="n">
        <v>1</v>
      </c>
      <c r="H260" t="n">
        <v>2</v>
      </c>
      <c r="I260" t="inlineStr">
        <is>
          <t>400001</t>
        </is>
      </c>
      <c r="J260" t="inlineStr">
        <is>
          <t>ТСЭМ Московской обл., 400001, приказ Минстроя России №675/пр от 28.02.2017 № 264/пр</t>
        </is>
      </c>
      <c r="K260" t="inlineStr">
        <is>
          <t>Автомобили бортовые, грузоподъемность до 5 т</t>
        </is>
      </c>
      <c r="L260" t="n">
        <v>1368</v>
      </c>
      <c r="N260" t="n">
        <v>1011</v>
      </c>
      <c r="O260" t="inlineStr">
        <is>
          <t>маш.-ч</t>
        </is>
      </c>
      <c r="P260" t="inlineStr">
        <is>
          <t>маш.-ч</t>
        </is>
      </c>
      <c r="Q260" t="n">
        <v>1</v>
      </c>
      <c r="W260" t="n">
        <v>0</v>
      </c>
      <c r="X260" t="n">
        <v>1230759911</v>
      </c>
      <c r="Y260">
        <f>AT260</f>
        <v/>
      </c>
      <c r="AA260" t="n">
        <v>0</v>
      </c>
      <c r="AB260" t="n">
        <v>2177.51</v>
      </c>
      <c r="AC260" t="n">
        <v>606.1</v>
      </c>
      <c r="AD260" t="n">
        <v>0</v>
      </c>
      <c r="AE260" t="n">
        <v>0</v>
      </c>
      <c r="AF260" t="n">
        <v>87.17</v>
      </c>
      <c r="AG260" t="n">
        <v>11.6</v>
      </c>
      <c r="AH260" t="n">
        <v>0</v>
      </c>
      <c r="AI260" t="n">
        <v>1</v>
      </c>
      <c r="AJ260" t="n">
        <v>24.98</v>
      </c>
      <c r="AK260" t="n">
        <v>52.25</v>
      </c>
      <c r="AL260" t="n">
        <v>1</v>
      </c>
      <c r="AM260" t="n">
        <v>2</v>
      </c>
      <c r="AN260" t="n">
        <v>0</v>
      </c>
      <c r="AO260" t="n">
        <v>1</v>
      </c>
      <c r="AP260" t="n">
        <v>1</v>
      </c>
      <c r="AQ260" t="n">
        <v>0</v>
      </c>
      <c r="AR260" t="n">
        <v>0</v>
      </c>
      <c r="AS260" t="inlineStr"/>
      <c r="AT260" t="n">
        <v>0.01</v>
      </c>
      <c r="AU260" t="inlineStr"/>
      <c r="AV260" t="n">
        <v>0</v>
      </c>
      <c r="AW260" t="n">
        <v>2</v>
      </c>
      <c r="AX260" t="n">
        <v>78870670</v>
      </c>
      <c r="AY260" t="n">
        <v>1</v>
      </c>
      <c r="AZ260" t="n">
        <v>0</v>
      </c>
      <c r="BA260" t="n">
        <v>239</v>
      </c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>
        <f>ROUND(Y260*Source!I519*DO260,7)</f>
        <v/>
      </c>
      <c r="CX260">
        <f>ROUND(Y260*Source!I519,7)</f>
        <v/>
      </c>
      <c r="CY260">
        <f>AB260</f>
        <v/>
      </c>
      <c r="CZ260">
        <f>AF260</f>
        <v/>
      </c>
      <c r="DA260">
        <f>AJ260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ROUND(ROUND(AE260,0)*CX260,0)</f>
        <v/>
      </c>
      <c r="DG260">
        <f>ROUND(ROUND(AF260*AJ260,0)*CX260,0)</f>
        <v/>
      </c>
      <c r="DH260">
        <f>ROUND(ROUND(AG260*AK260,0)*CX260,0)</f>
        <v/>
      </c>
      <c r="DI260">
        <f>ROUND(ROUND(AH260,0)*CX260,0)</f>
        <v/>
      </c>
      <c r="DJ260">
        <f>DG260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ROW(Source!A519)</f>
        <v/>
      </c>
      <c r="B261" t="n">
        <v>78869116</v>
      </c>
      <c r="C261" t="n">
        <v>78870663</v>
      </c>
      <c r="D261" t="n">
        <v>29110139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101-1703</t>
        </is>
      </c>
      <c r="J261" t="inlineStr">
        <is>
          <t>ТССЦ Московской обл., 101-1703, приказ Минстроя России №675/пр от 28.02.2017 № 254/пр</t>
        </is>
      </c>
      <c r="K261" t="inlineStr">
        <is>
          <t>Прокладки резиновые (пластина техническая прессованная)</t>
        </is>
      </c>
      <c r="L261" t="n">
        <v>1346</v>
      </c>
      <c r="N261" t="n">
        <v>1009</v>
      </c>
      <c r="O261" t="inlineStr">
        <is>
          <t>кг</t>
        </is>
      </c>
      <c r="P261" t="inlineStr">
        <is>
          <t>кг</t>
        </is>
      </c>
      <c r="Q261" t="n">
        <v>1</v>
      </c>
      <c r="W261" t="n">
        <v>0</v>
      </c>
      <c r="X261" t="n">
        <v>-1947909329</v>
      </c>
      <c r="Y261">
        <f>AT261</f>
        <v/>
      </c>
      <c r="AA261" t="n">
        <v>341.04</v>
      </c>
      <c r="AB261" t="n">
        <v>0</v>
      </c>
      <c r="AC261" t="n">
        <v>0</v>
      </c>
      <c r="AD261" t="n">
        <v>0</v>
      </c>
      <c r="AE261" t="n">
        <v>23.09</v>
      </c>
      <c r="AF261" t="n">
        <v>0</v>
      </c>
      <c r="AG261" t="n">
        <v>0</v>
      </c>
      <c r="AH261" t="n">
        <v>0</v>
      </c>
      <c r="AI261" t="n">
        <v>14.77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2</v>
      </c>
      <c r="AU261" t="inlineStr"/>
      <c r="AV261" t="n">
        <v>0</v>
      </c>
      <c r="AW261" t="n">
        <v>2</v>
      </c>
      <c r="AX261" t="n">
        <v>78870671</v>
      </c>
      <c r="AY261" t="n">
        <v>1</v>
      </c>
      <c r="AZ261" t="n">
        <v>0</v>
      </c>
      <c r="BA261" t="n">
        <v>240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ROUND(Y261*Source!I519,7)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ROW(Source!A519)</f>
        <v/>
      </c>
      <c r="B262" t="n">
        <v>78869116</v>
      </c>
      <c r="C262" t="n">
        <v>78870663</v>
      </c>
      <c r="D262" t="n">
        <v>29114240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101-2576</t>
        </is>
      </c>
      <c r="J262" t="inlineStr">
        <is>
          <t>ТССЦ Московской обл., 101-2576, приказ Минстроя России №675/пр от 28.02.2017 № 254/пр</t>
        </is>
      </c>
      <c r="K262" t="inlineStr">
        <is>
          <t>Болты с гайками и шайбами для санитарно-технических работ диаметром 16 мм</t>
        </is>
      </c>
      <c r="L262" t="n">
        <v>1348</v>
      </c>
      <c r="N262" t="n">
        <v>1009</v>
      </c>
      <c r="O262" t="inlineStr">
        <is>
          <t>т</t>
        </is>
      </c>
      <c r="P262" t="inlineStr">
        <is>
          <t>т</t>
        </is>
      </c>
      <c r="Q262" t="n">
        <v>1000</v>
      </c>
      <c r="W262" t="n">
        <v>0</v>
      </c>
      <c r="X262" t="n">
        <v>-1701539228</v>
      </c>
      <c r="Y262">
        <f>AT262</f>
        <v/>
      </c>
      <c r="AA262" t="n">
        <v>145037.4</v>
      </c>
      <c r="AB262" t="n">
        <v>0</v>
      </c>
      <c r="AC262" t="n">
        <v>0</v>
      </c>
      <c r="AD262" t="n">
        <v>0</v>
      </c>
      <c r="AE262" t="n">
        <v>14830</v>
      </c>
      <c r="AF262" t="n">
        <v>0</v>
      </c>
      <c r="AG262" t="n">
        <v>0</v>
      </c>
      <c r="AH262" t="n">
        <v>0</v>
      </c>
      <c r="AI262" t="n">
        <v>9.779999999999999</v>
      </c>
      <c r="AJ262" t="n">
        <v>1</v>
      </c>
      <c r="AK262" t="n">
        <v>1</v>
      </c>
      <c r="AL262" t="n">
        <v>1</v>
      </c>
      <c r="AM262" t="n">
        <v>2</v>
      </c>
      <c r="AN262" t="n">
        <v>0</v>
      </c>
      <c r="AO262" t="n">
        <v>1</v>
      </c>
      <c r="AP262" t="n">
        <v>1</v>
      </c>
      <c r="AQ262" t="n">
        <v>0</v>
      </c>
      <c r="AR262" t="n">
        <v>0</v>
      </c>
      <c r="AS262" t="inlineStr"/>
      <c r="AT262" t="n">
        <v>0.005</v>
      </c>
      <c r="AU262" t="inlineStr"/>
      <c r="AV262" t="n">
        <v>0</v>
      </c>
      <c r="AW262" t="n">
        <v>2</v>
      </c>
      <c r="AX262" t="n">
        <v>78870672</v>
      </c>
      <c r="AY262" t="n">
        <v>1</v>
      </c>
      <c r="AZ262" t="n">
        <v>0</v>
      </c>
      <c r="BA262" t="n">
        <v>241</v>
      </c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ROUND(Y262*Source!I519,7)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ROUND(ROUND(AE262*AI262,0)*CX262,0)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ROW(Source!A519)</f>
        <v/>
      </c>
      <c r="B263" t="n">
        <v>78869116</v>
      </c>
      <c r="C263" t="n">
        <v>78870663</v>
      </c>
      <c r="D263" t="n">
        <v>29150040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411-0001</t>
        </is>
      </c>
      <c r="J263" t="inlineStr">
        <is>
          <t>ТССЦ Московской обл., 411-0001, приказ Минстроя России №675/пр от 28.02.2017 № 257/пр</t>
        </is>
      </c>
      <c r="K263" t="inlineStr">
        <is>
          <t>Вода</t>
        </is>
      </c>
      <c r="L263" t="n">
        <v>1339</v>
      </c>
      <c r="N263" t="n">
        <v>1007</v>
      </c>
      <c r="O263" t="inlineStr">
        <is>
          <t>м3</t>
        </is>
      </c>
      <c r="P263" t="inlineStr">
        <is>
          <t>м3</t>
        </is>
      </c>
      <c r="Q263" t="n">
        <v>1</v>
      </c>
      <c r="W263" t="n">
        <v>0</v>
      </c>
      <c r="X263" t="n">
        <v>619799737</v>
      </c>
      <c r="Y263">
        <f>AT263</f>
        <v/>
      </c>
      <c r="AA263" t="n">
        <v>31.28</v>
      </c>
      <c r="AB263" t="n">
        <v>0</v>
      </c>
      <c r="AC263" t="n">
        <v>0</v>
      </c>
      <c r="AD263" t="n">
        <v>0</v>
      </c>
      <c r="AE263" t="n">
        <v>2.44</v>
      </c>
      <c r="AF263" t="n">
        <v>0</v>
      </c>
      <c r="AG263" t="n">
        <v>0</v>
      </c>
      <c r="AH263" t="n">
        <v>0</v>
      </c>
      <c r="AI263" t="n">
        <v>12.82</v>
      </c>
      <c r="AJ263" t="n">
        <v>1</v>
      </c>
      <c r="AK263" t="n">
        <v>1</v>
      </c>
      <c r="AL263" t="n">
        <v>1</v>
      </c>
      <c r="AM263" t="n">
        <v>2</v>
      </c>
      <c r="AN263" t="n">
        <v>0</v>
      </c>
      <c r="AO263" t="n">
        <v>1</v>
      </c>
      <c r="AP263" t="n">
        <v>1</v>
      </c>
      <c r="AQ263" t="n">
        <v>0</v>
      </c>
      <c r="AR263" t="n">
        <v>0</v>
      </c>
      <c r="AS263" t="inlineStr"/>
      <c r="AT263" t="n">
        <v>7.8</v>
      </c>
      <c r="AU263" t="inlineStr"/>
      <c r="AV263" t="n">
        <v>0</v>
      </c>
      <c r="AW263" t="n">
        <v>2</v>
      </c>
      <c r="AX263" t="n">
        <v>78870673</v>
      </c>
      <c r="AY263" t="n">
        <v>1</v>
      </c>
      <c r="AZ263" t="n">
        <v>0</v>
      </c>
      <c r="BA263" t="n">
        <v>242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V263" t="n">
        <v>0</v>
      </c>
      <c r="CW263" t="n">
        <v>0</v>
      </c>
      <c r="CX263">
        <f>ROUND(Y263*Source!I519,7)</f>
        <v/>
      </c>
      <c r="CY263">
        <f>AA263</f>
        <v/>
      </c>
      <c r="CZ263">
        <f>AE263</f>
        <v/>
      </c>
      <c r="DA263">
        <f>AI263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ROUND(ROUND(AE263*AI263,0)*CX263,0)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DF263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ROW(Source!A558)</f>
        <v/>
      </c>
      <c r="B264" t="n">
        <v>78869116</v>
      </c>
      <c r="C264" t="n">
        <v>78870737</v>
      </c>
      <c r="D264" t="n">
        <v>18408291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1-1025-90</t>
        </is>
      </c>
      <c r="J264" t="inlineStr"/>
      <c r="K264" t="inlineStr">
        <is>
          <t>Рабочий строитель среднего разряда 2,5</t>
        </is>
      </c>
      <c r="L264" t="n">
        <v>1369</v>
      </c>
      <c r="N264" t="n">
        <v>1013</v>
      </c>
      <c r="O264" t="inlineStr">
        <is>
          <t>чел.-ч</t>
        </is>
      </c>
      <c r="P264" t="inlineStr">
        <is>
          <t>чел.-ч</t>
        </is>
      </c>
      <c r="Q264" t="n">
        <v>1</v>
      </c>
      <c r="W264" t="n">
        <v>0</v>
      </c>
      <c r="X264" t="n">
        <v>1933892413</v>
      </c>
      <c r="Y264">
        <f>AT264</f>
        <v/>
      </c>
      <c r="AA264" t="n">
        <v>0</v>
      </c>
      <c r="AB264" t="n">
        <v>0</v>
      </c>
      <c r="AC264" t="n">
        <v>0</v>
      </c>
      <c r="AD264" t="n">
        <v>8.17</v>
      </c>
      <c r="AE264" t="n">
        <v>0</v>
      </c>
      <c r="AF264" t="n">
        <v>0</v>
      </c>
      <c r="AG264" t="n">
        <v>0</v>
      </c>
      <c r="AH264" t="n">
        <v>8.17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1</v>
      </c>
      <c r="AQ264" t="n">
        <v>0</v>
      </c>
      <c r="AR264" t="n">
        <v>0</v>
      </c>
      <c r="AS264" t="inlineStr"/>
      <c r="AT264" t="n">
        <v>32.2</v>
      </c>
      <c r="AU264" t="inlineStr"/>
      <c r="AV264" t="n">
        <v>1</v>
      </c>
      <c r="AW264" t="n">
        <v>2</v>
      </c>
      <c r="AX264" t="n">
        <v>78870743</v>
      </c>
      <c r="AY264" t="n">
        <v>1</v>
      </c>
      <c r="AZ264" t="n">
        <v>0</v>
      </c>
      <c r="BA264" t="n">
        <v>243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U264">
        <f>ROUND(AT264*Source!I558*AH264*AL264,0)</f>
        <v/>
      </c>
      <c r="CV264">
        <f>ROUND(Y264*Source!I558,7)</f>
        <v/>
      </c>
      <c r="CW264" t="n">
        <v>0</v>
      </c>
      <c r="CX264">
        <f>ROUND(Y264*Source!I558,7)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ROW(Source!A558)</f>
        <v/>
      </c>
      <c r="B265" t="n">
        <v>78869116</v>
      </c>
      <c r="C265" t="n">
        <v>78870737</v>
      </c>
      <c r="D265" t="n">
        <v>29174913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400001</t>
        </is>
      </c>
      <c r="J265" t="inlineStr">
        <is>
          <t>ТСЭМ Московской обл., 400001, приказ Минстроя России №675/пр от 28.02.2017 № 264/пр</t>
        </is>
      </c>
      <c r="K265" t="inlineStr">
        <is>
          <t>Автомобили бортовые, грузоподъемность до 5 т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1230759911</v>
      </c>
      <c r="Y265">
        <f>AT265</f>
        <v/>
      </c>
      <c r="AA265" t="n">
        <v>0</v>
      </c>
      <c r="AB265" t="n">
        <v>2177.51</v>
      </c>
      <c r="AC265" t="n">
        <v>606.1</v>
      </c>
      <c r="AD265" t="n">
        <v>0</v>
      </c>
      <c r="AE265" t="n">
        <v>0</v>
      </c>
      <c r="AF265" t="n">
        <v>87.17</v>
      </c>
      <c r="AG265" t="n">
        <v>11.6</v>
      </c>
      <c r="AH265" t="n">
        <v>0</v>
      </c>
      <c r="AI265" t="n">
        <v>1</v>
      </c>
      <c r="AJ265" t="n">
        <v>24.98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1</v>
      </c>
      <c r="AQ265" t="n">
        <v>0</v>
      </c>
      <c r="AR265" t="n">
        <v>0</v>
      </c>
      <c r="AS265" t="inlineStr"/>
      <c r="AT265" t="n">
        <v>0.01</v>
      </c>
      <c r="AU265" t="inlineStr"/>
      <c r="AV265" t="n">
        <v>0</v>
      </c>
      <c r="AW265" t="n">
        <v>2</v>
      </c>
      <c r="AX265" t="n">
        <v>78870744</v>
      </c>
      <c r="AY265" t="n">
        <v>1</v>
      </c>
      <c r="AZ265" t="n">
        <v>0</v>
      </c>
      <c r="BA265" t="n">
        <v>244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ROUND(Y265*Source!I558*DO265,7)</f>
        <v/>
      </c>
      <c r="CX265">
        <f>ROUND(Y265*Source!I558,7)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ROW(Source!A558)</f>
        <v/>
      </c>
      <c r="B266" t="n">
        <v>78869116</v>
      </c>
      <c r="C266" t="n">
        <v>78870737</v>
      </c>
      <c r="D266" t="n">
        <v>29110139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101-1703</t>
        </is>
      </c>
      <c r="J266" t="inlineStr">
        <is>
          <t>ТССЦ Московской обл., 101-1703, приказ Минстроя России №675/пр от 28.02.2017 № 254/пр</t>
        </is>
      </c>
      <c r="K266" t="inlineStr">
        <is>
          <t>Прокладки резиновые (пластина техническая прессованная)</t>
        </is>
      </c>
      <c r="L266" t="n">
        <v>1346</v>
      </c>
      <c r="N266" t="n">
        <v>1009</v>
      </c>
      <c r="O266" t="inlineStr">
        <is>
          <t>кг</t>
        </is>
      </c>
      <c r="P266" t="inlineStr">
        <is>
          <t>кг</t>
        </is>
      </c>
      <c r="Q266" t="n">
        <v>1</v>
      </c>
      <c r="W266" t="n">
        <v>0</v>
      </c>
      <c r="X266" t="n">
        <v>-1947909329</v>
      </c>
      <c r="Y266">
        <f>AT266</f>
        <v/>
      </c>
      <c r="AA266" t="n">
        <v>341.04</v>
      </c>
      <c r="AB266" t="n">
        <v>0</v>
      </c>
      <c r="AC266" t="n">
        <v>0</v>
      </c>
      <c r="AD266" t="n">
        <v>0</v>
      </c>
      <c r="AE266" t="n">
        <v>23.09</v>
      </c>
      <c r="AF266" t="n">
        <v>0</v>
      </c>
      <c r="AG266" t="n">
        <v>0</v>
      </c>
      <c r="AH266" t="n">
        <v>0</v>
      </c>
      <c r="AI266" t="n">
        <v>14.77</v>
      </c>
      <c r="AJ266" t="n">
        <v>1</v>
      </c>
      <c r="AK266" t="n">
        <v>1</v>
      </c>
      <c r="AL266" t="n">
        <v>1</v>
      </c>
      <c r="AM266" t="n">
        <v>2</v>
      </c>
      <c r="AN266" t="n">
        <v>0</v>
      </c>
      <c r="AO266" t="n">
        <v>1</v>
      </c>
      <c r="AP266" t="n">
        <v>1</v>
      </c>
      <c r="AQ266" t="n">
        <v>0</v>
      </c>
      <c r="AR266" t="n">
        <v>0</v>
      </c>
      <c r="AS266" t="inlineStr"/>
      <c r="AT266" t="n">
        <v>2</v>
      </c>
      <c r="AU266" t="inlineStr"/>
      <c r="AV266" t="n">
        <v>0</v>
      </c>
      <c r="AW266" t="n">
        <v>2</v>
      </c>
      <c r="AX266" t="n">
        <v>78870745</v>
      </c>
      <c r="AY266" t="n">
        <v>1</v>
      </c>
      <c r="AZ266" t="n">
        <v>0</v>
      </c>
      <c r="BA266" t="n">
        <v>245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 t="n">
        <v>0</v>
      </c>
      <c r="CX266">
        <f>ROUND(Y266*Source!I558,7)</f>
        <v/>
      </c>
      <c r="CY266">
        <f>AA266</f>
        <v/>
      </c>
      <c r="CZ266">
        <f>AE266</f>
        <v/>
      </c>
      <c r="DA266">
        <f>AI266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ROUND(ROUND(AE266*AI266,0)*CX266,0)</f>
        <v/>
      </c>
      <c r="DG266">
        <f>ROUND(ROUND(AF266,0)*CX266,0)</f>
        <v/>
      </c>
      <c r="DH266">
        <f>ROUND(ROUND(AG266,0)*CX266,0)</f>
        <v/>
      </c>
      <c r="DI266">
        <f>ROUND(ROUND(AH266,0)*CX266,0)</f>
        <v/>
      </c>
      <c r="DJ266">
        <f>DF266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ROW(Source!A558)</f>
        <v/>
      </c>
      <c r="B267" t="n">
        <v>78869116</v>
      </c>
      <c r="C267" t="n">
        <v>78870737</v>
      </c>
      <c r="D267" t="n">
        <v>29114240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101-2576</t>
        </is>
      </c>
      <c r="J267" t="inlineStr">
        <is>
          <t>ТССЦ Московской обл., 101-2576, приказ Минстроя России №675/пр от 28.02.2017 № 254/пр</t>
        </is>
      </c>
      <c r="K267" t="inlineStr">
        <is>
          <t>Болты с гайками и шайбами для санитарно-технических работ диаметром 16 мм</t>
        </is>
      </c>
      <c r="L267" t="n">
        <v>1348</v>
      </c>
      <c r="N267" t="n">
        <v>1009</v>
      </c>
      <c r="O267" t="inlineStr">
        <is>
          <t>т</t>
        </is>
      </c>
      <c r="P267" t="inlineStr">
        <is>
          <t>т</t>
        </is>
      </c>
      <c r="Q267" t="n">
        <v>1000</v>
      </c>
      <c r="W267" t="n">
        <v>0</v>
      </c>
      <c r="X267" t="n">
        <v>-1701539228</v>
      </c>
      <c r="Y267">
        <f>AT267</f>
        <v/>
      </c>
      <c r="AA267" t="n">
        <v>145037.4</v>
      </c>
      <c r="AB267" t="n">
        <v>0</v>
      </c>
      <c r="AC267" t="n">
        <v>0</v>
      </c>
      <c r="AD267" t="n">
        <v>0</v>
      </c>
      <c r="AE267" t="n">
        <v>14830</v>
      </c>
      <c r="AF267" t="n">
        <v>0</v>
      </c>
      <c r="AG267" t="n">
        <v>0</v>
      </c>
      <c r="AH267" t="n">
        <v>0</v>
      </c>
      <c r="AI267" t="n">
        <v>9.779999999999999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1</v>
      </c>
      <c r="AQ267" t="n">
        <v>0</v>
      </c>
      <c r="AR267" t="n">
        <v>0</v>
      </c>
      <c r="AS267" t="inlineStr"/>
      <c r="AT267" t="n">
        <v>0.005</v>
      </c>
      <c r="AU267" t="inlineStr"/>
      <c r="AV267" t="n">
        <v>0</v>
      </c>
      <c r="AW267" t="n">
        <v>2</v>
      </c>
      <c r="AX267" t="n">
        <v>78870746</v>
      </c>
      <c r="AY267" t="n">
        <v>1</v>
      </c>
      <c r="AZ267" t="n">
        <v>0</v>
      </c>
      <c r="BA267" t="n">
        <v>246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ROUND(Y267*Source!I558,7)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ROW(Source!A558)</f>
        <v/>
      </c>
      <c r="B268" t="n">
        <v>78869116</v>
      </c>
      <c r="C268" t="n">
        <v>78870737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1</v>
      </c>
      <c r="AQ268" t="n">
        <v>0</v>
      </c>
      <c r="AR268" t="n">
        <v>0</v>
      </c>
      <c r="AS268" t="inlineStr"/>
      <c r="AT268" t="n">
        <v>7.8</v>
      </c>
      <c r="AU268" t="inlineStr"/>
      <c r="AV268" t="n">
        <v>0</v>
      </c>
      <c r="AW268" t="n">
        <v>2</v>
      </c>
      <c r="AX268" t="n">
        <v>78870747</v>
      </c>
      <c r="AY268" t="n">
        <v>1</v>
      </c>
      <c r="AZ268" t="n">
        <v>0</v>
      </c>
      <c r="BA268" t="n">
        <v>247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ROUND(Y268*Source!I558,7)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ROW(Source!A559)</f>
        <v/>
      </c>
      <c r="B269" t="n">
        <v>78869116</v>
      </c>
      <c r="C269" t="n">
        <v>78870748</v>
      </c>
      <c r="D269" t="n">
        <v>18409850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1-1035-90</t>
        </is>
      </c>
      <c r="J269" t="inlineStr"/>
      <c r="K269" t="inlineStr">
        <is>
          <t>Рабочий строитель среднего разряда 3,5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855544366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9.07</v>
      </c>
      <c r="AE269" t="n">
        <v>0</v>
      </c>
      <c r="AF269" t="n">
        <v>0</v>
      </c>
      <c r="AG269" t="n">
        <v>0</v>
      </c>
      <c r="AH269" t="n">
        <v>9.07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81</v>
      </c>
      <c r="AU269" t="inlineStr"/>
      <c r="AV269" t="n">
        <v>1</v>
      </c>
      <c r="AW269" t="n">
        <v>2</v>
      </c>
      <c r="AX269" t="n">
        <v>78870757</v>
      </c>
      <c r="AY269" t="n">
        <v>1</v>
      </c>
      <c r="AZ269" t="n">
        <v>0</v>
      </c>
      <c r="BA269" t="n">
        <v>248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ROUND(AT269*Source!I559*AH269*AL269,0)</f>
        <v/>
      </c>
      <c r="CV269">
        <f>ROUND(Y269*Source!I559,7)</f>
        <v/>
      </c>
      <c r="CW269" t="n">
        <v>0</v>
      </c>
      <c r="CX269">
        <f>ROUND(Y269*Source!I559,7)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ROW(Source!A559)</f>
        <v/>
      </c>
      <c r="B270" t="n">
        <v>78869116</v>
      </c>
      <c r="C270" t="n">
        <v>78870748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1230759911</v>
      </c>
      <c r="Y270">
        <f>AT270</f>
        <v/>
      </c>
      <c r="AA270" t="n">
        <v>0</v>
      </c>
      <c r="AB270" t="n">
        <v>2177.51</v>
      </c>
      <c r="AC270" t="n">
        <v>606.1</v>
      </c>
      <c r="AD270" t="n">
        <v>0</v>
      </c>
      <c r="AE270" t="n">
        <v>0</v>
      </c>
      <c r="AF270" t="n">
        <v>87.17</v>
      </c>
      <c r="AG270" t="n">
        <v>11.6</v>
      </c>
      <c r="AH270" t="n">
        <v>0</v>
      </c>
      <c r="AI270" t="n">
        <v>1</v>
      </c>
      <c r="AJ270" t="n">
        <v>24.98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0.05</v>
      </c>
      <c r="AU270" t="inlineStr"/>
      <c r="AV270" t="n">
        <v>0</v>
      </c>
      <c r="AW270" t="n">
        <v>2</v>
      </c>
      <c r="AX270" t="n">
        <v>78870758</v>
      </c>
      <c r="AY270" t="n">
        <v>1</v>
      </c>
      <c r="AZ270" t="n">
        <v>0</v>
      </c>
      <c r="BA270" t="n">
        <v>249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ROUND(Y270*Source!I559*DO270,7)</f>
        <v/>
      </c>
      <c r="CX270">
        <f>ROUND(Y270*Source!I559,7)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ROW(Source!A559)</f>
        <v/>
      </c>
      <c r="B271" t="n">
        <v>78869116</v>
      </c>
      <c r="C271" t="n">
        <v>78870748</v>
      </c>
      <c r="D271" t="n">
        <v>29110398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101-0388</t>
        </is>
      </c>
      <c r="J271" t="inlineStr">
        <is>
          <t>ТССЦ Московской обл., 101-0388, приказ Минстроя России №675/пр от 28.02.2017 № 254/пр</t>
        </is>
      </c>
      <c r="K271" t="inlineStr">
        <is>
          <t>Краски масляные земляные марки МА-0115 мумия, сурик железный</t>
        </is>
      </c>
      <c r="L271" t="n">
        <v>1348</v>
      </c>
      <c r="N271" t="n">
        <v>1009</v>
      </c>
      <c r="O271" t="inlineStr">
        <is>
          <t>т</t>
        </is>
      </c>
      <c r="P271" t="inlineStr">
        <is>
          <t>т</t>
        </is>
      </c>
      <c r="Q271" t="n">
        <v>1000</v>
      </c>
      <c r="W271" t="n">
        <v>0</v>
      </c>
      <c r="X271" t="n">
        <v>1625292450</v>
      </c>
      <c r="Y271">
        <f>AT271</f>
        <v/>
      </c>
      <c r="AA271" t="n">
        <v>76804.47</v>
      </c>
      <c r="AB271" t="n">
        <v>0</v>
      </c>
      <c r="AC271" t="n">
        <v>0</v>
      </c>
      <c r="AD271" t="n">
        <v>0</v>
      </c>
      <c r="AE271" t="n">
        <v>15118.99</v>
      </c>
      <c r="AF271" t="n">
        <v>0</v>
      </c>
      <c r="AG271" t="n">
        <v>0</v>
      </c>
      <c r="AH271" t="n">
        <v>0</v>
      </c>
      <c r="AI271" t="n">
        <v>5.08</v>
      </c>
      <c r="AJ271" t="n">
        <v>1</v>
      </c>
      <c r="AK271" t="n">
        <v>1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0.0014</v>
      </c>
      <c r="AU271" t="inlineStr"/>
      <c r="AV271" t="n">
        <v>0</v>
      </c>
      <c r="AW271" t="n">
        <v>2</v>
      </c>
      <c r="AX271" t="n">
        <v>78870759</v>
      </c>
      <c r="AY271" t="n">
        <v>1</v>
      </c>
      <c r="AZ271" t="n">
        <v>0</v>
      </c>
      <c r="BA271" t="n">
        <v>250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 t="n">
        <v>0</v>
      </c>
      <c r="CX271">
        <f>ROUND(Y271*Source!I559,7)</f>
        <v/>
      </c>
      <c r="CY271">
        <f>AA271</f>
        <v/>
      </c>
      <c r="CZ271">
        <f>AE271</f>
        <v/>
      </c>
      <c r="DA271">
        <f>AI271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ROUND(ROUND(AE271*AI271,0)*CX271,0)</f>
        <v/>
      </c>
      <c r="DG271">
        <f>ROUND(ROUND(AF271,0)*CX271,0)</f>
        <v/>
      </c>
      <c r="DH271">
        <f>ROUND(ROUND(AG271,0)*CX271,0)</f>
        <v/>
      </c>
      <c r="DI271">
        <f>ROUND(ROUND(AH271,0)*CX271,0)</f>
        <v/>
      </c>
      <c r="DJ271">
        <f>DF271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ROW(Source!A559)</f>
        <v/>
      </c>
      <c r="B272" t="n">
        <v>78869116</v>
      </c>
      <c r="C272" t="n">
        <v>78870748</v>
      </c>
      <c r="D272" t="n">
        <v>29110573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101-0628</t>
        </is>
      </c>
      <c r="J272" t="inlineStr">
        <is>
          <t>ТССЦ Московской обл., 101-0628, приказ Минстроя России №675/пр от 28.02.2017 № 254/пр</t>
        </is>
      </c>
      <c r="K272" t="inlineStr">
        <is>
          <t>Олифа комбинированная, марки К-3</t>
        </is>
      </c>
      <c r="L272" t="n">
        <v>1348</v>
      </c>
      <c r="N272" t="n">
        <v>1009</v>
      </c>
      <c r="O272" t="inlineStr">
        <is>
          <t>т</t>
        </is>
      </c>
      <c r="P272" t="inlineStr">
        <is>
          <t>т</t>
        </is>
      </c>
      <c r="Q272" t="n">
        <v>1000</v>
      </c>
      <c r="W272" t="n">
        <v>0</v>
      </c>
      <c r="X272" t="n">
        <v>24062879</v>
      </c>
      <c r="Y272">
        <f>AT272</f>
        <v/>
      </c>
      <c r="AA272" t="n">
        <v>87631.5</v>
      </c>
      <c r="AB272" t="n">
        <v>0</v>
      </c>
      <c r="AC272" t="n">
        <v>0</v>
      </c>
      <c r="AD272" t="n">
        <v>0</v>
      </c>
      <c r="AE272" t="n">
        <v>16950</v>
      </c>
      <c r="AF272" t="n">
        <v>0</v>
      </c>
      <c r="AG272" t="n">
        <v>0</v>
      </c>
      <c r="AH272" t="n">
        <v>0</v>
      </c>
      <c r="AI272" t="n">
        <v>5.17</v>
      </c>
      <c r="AJ272" t="n">
        <v>1</v>
      </c>
      <c r="AK272" t="n">
        <v>1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0.0007</v>
      </c>
      <c r="AU272" t="inlineStr"/>
      <c r="AV272" t="n">
        <v>0</v>
      </c>
      <c r="AW272" t="n">
        <v>2</v>
      </c>
      <c r="AX272" t="n">
        <v>78870760</v>
      </c>
      <c r="AY272" t="n">
        <v>1</v>
      </c>
      <c r="AZ272" t="n">
        <v>0</v>
      </c>
      <c r="BA272" t="n">
        <v>251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 t="n">
        <v>0</v>
      </c>
      <c r="CX272">
        <f>ROUND(Y272*Source!I559,7)</f>
        <v/>
      </c>
      <c r="CY272">
        <f>AA272</f>
        <v/>
      </c>
      <c r="CZ272">
        <f>AE272</f>
        <v/>
      </c>
      <c r="DA272">
        <f>AI272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ROUND(ROUND(AE272*AI272,0)*CX272,0)</f>
        <v/>
      </c>
      <c r="DG272">
        <f>ROUND(ROUND(AF272,0)*CX272,0)</f>
        <v/>
      </c>
      <c r="DH272">
        <f>ROUND(ROUND(AG272,0)*CX272,0)</f>
        <v/>
      </c>
      <c r="DI272">
        <f>ROUND(ROUND(AH272,0)*CX272,0)</f>
        <v/>
      </c>
      <c r="DJ272">
        <f>DF272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ROW(Source!A559)</f>
        <v/>
      </c>
      <c r="B273" t="n">
        <v>78869116</v>
      </c>
      <c r="C273" t="n">
        <v>78870748</v>
      </c>
      <c r="D273" t="n">
        <v>29107963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101-1669</t>
        </is>
      </c>
      <c r="J273" t="inlineStr">
        <is>
          <t>ТССЦ Московской обл., 101-1669, приказ Минстроя России №675/пр от 28.02.2017 № 254/пр</t>
        </is>
      </c>
      <c r="K273" t="inlineStr">
        <is>
          <t>Очес льняной</t>
        </is>
      </c>
      <c r="L273" t="n">
        <v>1346</v>
      </c>
      <c r="N273" t="n">
        <v>1009</v>
      </c>
      <c r="O273" t="inlineStr">
        <is>
          <t>кг</t>
        </is>
      </c>
      <c r="P273" t="inlineStr">
        <is>
          <t>кг</t>
        </is>
      </c>
      <c r="Q273" t="n">
        <v>1</v>
      </c>
      <c r="W273" t="n">
        <v>0</v>
      </c>
      <c r="X273" t="n">
        <v>-2113933962</v>
      </c>
      <c r="Y273">
        <f>AT273</f>
        <v/>
      </c>
      <c r="AA273" t="n">
        <v>590.67</v>
      </c>
      <c r="AB273" t="n">
        <v>0</v>
      </c>
      <c r="AC273" t="n">
        <v>0</v>
      </c>
      <c r="AD273" t="n">
        <v>0</v>
      </c>
      <c r="AE273" t="n">
        <v>37.29</v>
      </c>
      <c r="AF273" t="n">
        <v>0</v>
      </c>
      <c r="AG273" t="n">
        <v>0</v>
      </c>
      <c r="AH273" t="n">
        <v>0</v>
      </c>
      <c r="AI273" t="n">
        <v>15.84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0.7</v>
      </c>
      <c r="AU273" t="inlineStr"/>
      <c r="AV273" t="n">
        <v>0</v>
      </c>
      <c r="AW273" t="n">
        <v>2</v>
      </c>
      <c r="AX273" t="n">
        <v>78870761</v>
      </c>
      <c r="AY273" t="n">
        <v>1</v>
      </c>
      <c r="AZ273" t="n">
        <v>0</v>
      </c>
      <c r="BA273" t="n">
        <v>252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ROUND(Y273*Source!I559,7)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ROW(Source!A559)</f>
        <v/>
      </c>
      <c r="B274" t="n">
        <v>78869116</v>
      </c>
      <c r="C274" t="n">
        <v>78870748</v>
      </c>
      <c r="D274" t="n">
        <v>29143378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302-0062</t>
        </is>
      </c>
      <c r="J274" t="inlineStr">
        <is>
          <t>ТССЦ Московской обл., 302-0062, приказ Минстроя России №675/пр от 28.02.2017 № 256/пр</t>
        </is>
      </c>
      <c r="K274" t="inlineStr">
        <is>
          <t>Кран шаровый муфтовый Valtec для воды диаметром 15 мм, тип в/в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W274" t="n">
        <v>0</v>
      </c>
      <c r="X274" t="n">
        <v>-1687406522</v>
      </c>
      <c r="Y274">
        <f>AT274</f>
        <v/>
      </c>
      <c r="AA274" t="n">
        <v>384.3</v>
      </c>
      <c r="AB274" t="n">
        <v>0</v>
      </c>
      <c r="AC274" t="n">
        <v>0</v>
      </c>
      <c r="AD274" t="n">
        <v>0</v>
      </c>
      <c r="AE274" t="n">
        <v>28.53</v>
      </c>
      <c r="AF274" t="n">
        <v>0</v>
      </c>
      <c r="AG274" t="n">
        <v>0</v>
      </c>
      <c r="AH274" t="n">
        <v>0</v>
      </c>
      <c r="AI274" t="n">
        <v>13.47</v>
      </c>
      <c r="AJ274" t="n">
        <v>1</v>
      </c>
      <c r="AK274" t="n">
        <v>1</v>
      </c>
      <c r="AL274" t="n">
        <v>1</v>
      </c>
      <c r="AM274" t="n">
        <v>0</v>
      </c>
      <c r="AN274" t="n">
        <v>0</v>
      </c>
      <c r="AO274" t="n">
        <v>0</v>
      </c>
      <c r="AP274" t="n">
        <v>1</v>
      </c>
      <c r="AQ274" t="n">
        <v>0</v>
      </c>
      <c r="AR274" t="n">
        <v>0</v>
      </c>
      <c r="AS274" t="inlineStr"/>
      <c r="AT274" t="n">
        <v>100</v>
      </c>
      <c r="AU274" t="inlineStr"/>
      <c r="AV274" t="n">
        <v>0</v>
      </c>
      <c r="AW274" t="n">
        <v>1</v>
      </c>
      <c r="AX274" t="n">
        <v>-1</v>
      </c>
      <c r="AY274" t="n">
        <v>0</v>
      </c>
      <c r="AZ274" t="n">
        <v>0</v>
      </c>
      <c r="BA274" t="inlineStr"/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ROUND(Y274*Source!I559,7)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ROW(Source!A559)</f>
        <v/>
      </c>
      <c r="B275" t="n">
        <v>78869116</v>
      </c>
      <c r="C275" t="n">
        <v>78870748</v>
      </c>
      <c r="D275" t="n">
        <v>29142465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302-1342</t>
        </is>
      </c>
      <c r="J275" t="inlineStr">
        <is>
          <t>ТССЦ Московской обл., 302-1342, приказ Минстроя России №675/пр от 28.02.2017 № 256/пр</t>
        </is>
      </c>
      <c r="K275" t="inlineStr">
        <is>
          <t>Вентили проходные муфтовые 15кч18п для воды давлением 1,6 МПа (16 кгс/см2), диаметром 20 мм</t>
        </is>
      </c>
      <c r="L275" t="n">
        <v>1354</v>
      </c>
      <c r="N275" t="n">
        <v>1010</v>
      </c>
      <c r="O275" t="inlineStr">
        <is>
          <t>шт.</t>
        </is>
      </c>
      <c r="P275" t="inlineStr">
        <is>
          <t>шт.</t>
        </is>
      </c>
      <c r="Q275" t="n">
        <v>1</v>
      </c>
      <c r="W275" t="n">
        <v>0</v>
      </c>
      <c r="X275" t="n">
        <v>-852705161</v>
      </c>
      <c r="Y275">
        <f>AT275</f>
        <v/>
      </c>
      <c r="AA275" t="n">
        <v>221.81</v>
      </c>
      <c r="AB275" t="n">
        <v>0</v>
      </c>
      <c r="AC275" t="n">
        <v>0</v>
      </c>
      <c r="AD275" t="n">
        <v>0</v>
      </c>
      <c r="AE275" t="n">
        <v>21.81</v>
      </c>
      <c r="AF275" t="n">
        <v>0</v>
      </c>
      <c r="AG275" t="n">
        <v>0</v>
      </c>
      <c r="AH275" t="n">
        <v>0</v>
      </c>
      <c r="AI275" t="n">
        <v>10.17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100</v>
      </c>
      <c r="AU275" t="inlineStr"/>
      <c r="AV275" t="n">
        <v>0</v>
      </c>
      <c r="AW275" t="n">
        <v>2</v>
      </c>
      <c r="AX275" t="n">
        <v>78870762</v>
      </c>
      <c r="AY275" t="n">
        <v>1</v>
      </c>
      <c r="AZ275" t="n">
        <v>0</v>
      </c>
      <c r="BA275" t="n">
        <v>253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ROUND(Y275*Source!I559,7)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ROW(Source!A559)</f>
        <v/>
      </c>
      <c r="B276" t="n">
        <v>78869116</v>
      </c>
      <c r="C276" t="n">
        <v>78870748</v>
      </c>
      <c r="D276" t="n">
        <v>29164350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509-9899</t>
        </is>
      </c>
      <c r="J276" t="inlineStr">
        <is>
          <t>ТССЦ Московской обл., 509-9899, приказ Минстроя России №675/пр от 28.02.2017 № 258/пр</t>
        </is>
      </c>
      <c r="K276" t="inlineStr">
        <is>
          <t>Строительный мусор и масса возвратных материалов</t>
        </is>
      </c>
      <c r="L276" t="n">
        <v>1348</v>
      </c>
      <c r="N276" t="n">
        <v>1009</v>
      </c>
      <c r="O276" t="inlineStr">
        <is>
          <t>т</t>
        </is>
      </c>
      <c r="P276" t="inlineStr">
        <is>
          <t>т</t>
        </is>
      </c>
      <c r="Q276" t="n">
        <v>1000</v>
      </c>
      <c r="W276" t="n">
        <v>0</v>
      </c>
      <c r="X276" t="n">
        <v>1839160745</v>
      </c>
      <c r="Y276">
        <f>AT276</f>
        <v/>
      </c>
      <c r="AA276" t="n">
        <v>0</v>
      </c>
      <c r="AB276" t="n">
        <v>0</v>
      </c>
      <c r="AC276" t="n">
        <v>0</v>
      </c>
      <c r="AD276" t="n">
        <v>0</v>
      </c>
      <c r="AE276" t="n">
        <v>0</v>
      </c>
      <c r="AF276" t="n">
        <v>0</v>
      </c>
      <c r="AG276" t="n">
        <v>0</v>
      </c>
      <c r="AH276" t="n">
        <v>0</v>
      </c>
      <c r="AI276" t="n">
        <v>1</v>
      </c>
      <c r="AJ276" t="n">
        <v>1</v>
      </c>
      <c r="AK276" t="n">
        <v>1</v>
      </c>
      <c r="AL276" t="n">
        <v>1</v>
      </c>
      <c r="AM276" t="n">
        <v>0</v>
      </c>
      <c r="AN276" t="n">
        <v>0</v>
      </c>
      <c r="AO276" t="n">
        <v>0</v>
      </c>
      <c r="AP276" t="n">
        <v>1</v>
      </c>
      <c r="AQ276" t="n">
        <v>0</v>
      </c>
      <c r="AR276" t="n">
        <v>0</v>
      </c>
      <c r="AS276" t="inlineStr"/>
      <c r="AT276" t="n">
        <v>0.04</v>
      </c>
      <c r="AU276" t="inlineStr"/>
      <c r="AV276" t="n">
        <v>0</v>
      </c>
      <c r="AW276" t="n">
        <v>2</v>
      </c>
      <c r="AX276" t="n">
        <v>78870763</v>
      </c>
      <c r="AY276" t="n">
        <v>1</v>
      </c>
      <c r="AZ276" t="n">
        <v>0</v>
      </c>
      <c r="BA276" t="n">
        <v>254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ROUND(Y276*Source!I559,7)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ROW(Source!A562)</f>
        <v/>
      </c>
      <c r="B277" t="n">
        <v>78869116</v>
      </c>
      <c r="C277" t="n">
        <v>78870766</v>
      </c>
      <c r="D277" t="n">
        <v>18442827</v>
      </c>
      <c r="E277" t="n">
        <v>1</v>
      </c>
      <c r="F277" t="n">
        <v>1</v>
      </c>
      <c r="G277" t="n">
        <v>1</v>
      </c>
      <c r="H277" t="n">
        <v>1</v>
      </c>
      <c r="I277" t="inlineStr">
        <is>
          <t>1-1053-90</t>
        </is>
      </c>
      <c r="J277" t="inlineStr"/>
      <c r="K277" t="inlineStr">
        <is>
          <t>Рабочий строитель среднего разряда 5,3</t>
        </is>
      </c>
      <c r="L277" t="n">
        <v>1369</v>
      </c>
      <c r="N277" t="n">
        <v>1013</v>
      </c>
      <c r="O277" t="inlineStr">
        <is>
          <t>чел.-ч</t>
        </is>
      </c>
      <c r="P277" t="inlineStr">
        <is>
          <t>чел.-ч</t>
        </is>
      </c>
      <c r="Q277" t="n">
        <v>1</v>
      </c>
      <c r="W277" t="n">
        <v>0</v>
      </c>
      <c r="X277" t="n">
        <v>717490484</v>
      </c>
      <c r="Y277">
        <f>(AT277*ROUND(5,7))</f>
        <v/>
      </c>
      <c r="AA277" t="n">
        <v>0</v>
      </c>
      <c r="AB277" t="n">
        <v>0</v>
      </c>
      <c r="AC277" t="n">
        <v>0</v>
      </c>
      <c r="AD277" t="n">
        <v>11.64</v>
      </c>
      <c r="AE277" t="n">
        <v>0</v>
      </c>
      <c r="AF277" t="n">
        <v>0</v>
      </c>
      <c r="AG277" t="n">
        <v>0</v>
      </c>
      <c r="AH277" t="n">
        <v>11.64</v>
      </c>
      <c r="AI277" t="n">
        <v>1</v>
      </c>
      <c r="AJ277" t="n">
        <v>1</v>
      </c>
      <c r="AK277" t="n">
        <v>1</v>
      </c>
      <c r="AL277" t="n">
        <v>1</v>
      </c>
      <c r="AM277" t="n">
        <v>-2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5.01</v>
      </c>
      <c r="AU277" t="inlineStr">
        <is>
          <t>)*5</t>
        </is>
      </c>
      <c r="AV277" t="n">
        <v>1</v>
      </c>
      <c r="AW277" t="n">
        <v>2</v>
      </c>
      <c r="AX277" t="n">
        <v>78870773</v>
      </c>
      <c r="AY277" t="n">
        <v>1</v>
      </c>
      <c r="AZ277" t="n">
        <v>2048</v>
      </c>
      <c r="BA277" t="n">
        <v>255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U277">
        <f>ROUND(AT277*Source!I562*AH277*AL277,0)</f>
        <v/>
      </c>
      <c r="CV277">
        <f>ROUND(Y277*Source!I562,7)</f>
        <v/>
      </c>
      <c r="CW277" t="n">
        <v>0</v>
      </c>
      <c r="CX277">
        <f>ROUND(Y277*Source!I562,7)</f>
        <v/>
      </c>
      <c r="CY277">
        <f>AD277</f>
        <v/>
      </c>
      <c r="CZ277">
        <f>AH277</f>
        <v/>
      </c>
      <c r="DA277">
        <f>AL277</f>
        <v/>
      </c>
      <c r="DB277">
        <f>ROUND((ROUND(AT277*CZ277,2)*ROUND(5,7)),2)</f>
        <v/>
      </c>
      <c r="DC277">
        <f>ROUND((ROUND(AT277*AG277,2)*ROUND(5,7)),2)</f>
        <v/>
      </c>
      <c r="DD277" t="inlineStr"/>
      <c r="DE277" t="inlineStr"/>
      <c r="DF277">
        <f>ROUND(ROUND(AE277,0)*CX277,0)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DI277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ROW(Source!A562)</f>
        <v/>
      </c>
      <c r="B278" t="n">
        <v>78869116</v>
      </c>
      <c r="C278" t="n">
        <v>78870766</v>
      </c>
      <c r="D278" t="n">
        <v>29172703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042900</t>
        </is>
      </c>
      <c r="J278" t="inlineStr">
        <is>
          <t>ТСЭМ Московской обл., 042900, приказ Минстроя России №675/пр от 28.02.2017 № 264/пр</t>
        </is>
      </c>
      <c r="K27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W278" t="n">
        <v>0</v>
      </c>
      <c r="X278" t="n">
        <v>1695838894</v>
      </c>
      <c r="Y278">
        <f>(AT278*ROUND(5,7))</f>
        <v/>
      </c>
      <c r="AA278" t="n">
        <v>0</v>
      </c>
      <c r="AB278" t="n">
        <v>177.13</v>
      </c>
      <c r="AC278" t="n">
        <v>0</v>
      </c>
      <c r="AD278" t="n">
        <v>0</v>
      </c>
      <c r="AE278" t="n">
        <v>0</v>
      </c>
      <c r="AF278" t="n">
        <v>29.67</v>
      </c>
      <c r="AG278" t="n">
        <v>0</v>
      </c>
      <c r="AH278" t="n">
        <v>0</v>
      </c>
      <c r="AI278" t="n">
        <v>1</v>
      </c>
      <c r="AJ278" t="n">
        <v>5.97</v>
      </c>
      <c r="AK278" t="n">
        <v>52.25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1.5</v>
      </c>
      <c r="AU278" t="inlineStr">
        <is>
          <t>)*5</t>
        </is>
      </c>
      <c r="AV278" t="n">
        <v>0</v>
      </c>
      <c r="AW278" t="n">
        <v>2</v>
      </c>
      <c r="AX278" t="n">
        <v>78870774</v>
      </c>
      <c r="AY278" t="n">
        <v>1</v>
      </c>
      <c r="AZ278" t="n">
        <v>0</v>
      </c>
      <c r="BA278" t="n">
        <v>256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>
        <f>ROUND(Y278*Source!I562*DO278,7)</f>
        <v/>
      </c>
      <c r="CX278">
        <f>ROUND(Y278*Source!I562,7)</f>
        <v/>
      </c>
      <c r="CY278">
        <f>AB278</f>
        <v/>
      </c>
      <c r="CZ278">
        <f>AF278</f>
        <v/>
      </c>
      <c r="DA278">
        <f>AJ278</f>
        <v/>
      </c>
      <c r="DB278">
        <f>ROUND((ROUND(AT278*CZ278,2)*ROUND(5,7)),2)</f>
        <v/>
      </c>
      <c r="DC278">
        <f>ROUND((ROUND(AT278*AG278,2)*ROUND(5,7)),2)</f>
        <v/>
      </c>
      <c r="DD278" t="inlineStr"/>
      <c r="DE278" t="inlineStr"/>
      <c r="DF278">
        <f>ROUND(ROUND(AE278,0)*CX278,0)</f>
        <v/>
      </c>
      <c r="DG278">
        <f>ROUND(ROUND(AF278*AJ278,0)*CX278,0)</f>
        <v/>
      </c>
      <c r="DH278">
        <f>ROUND(ROUND(AG278*AK278,0)*CX278,0)</f>
        <v/>
      </c>
      <c r="DI278">
        <f>ROUND(ROUND(AH278,0)*CX278,0)</f>
        <v/>
      </c>
      <c r="DJ278">
        <f>DG278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ROW(Source!A562)</f>
        <v/>
      </c>
      <c r="B279" t="n">
        <v>78869116</v>
      </c>
      <c r="C279" t="n">
        <v>78870766</v>
      </c>
      <c r="D279" t="n">
        <v>29110398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101-0388</t>
        </is>
      </c>
      <c r="J279" t="inlineStr">
        <is>
          <t>ТССЦ Московской обл., 101-0388, приказ Минстроя России №675/пр от 28.02.2017 № 254/пр</t>
        </is>
      </c>
      <c r="K279" t="inlineStr">
        <is>
          <t>Краски масляные земляные марки МА-0115 мумия, сурик железный</t>
        </is>
      </c>
      <c r="L279" t="n">
        <v>1348</v>
      </c>
      <c r="N279" t="n">
        <v>1009</v>
      </c>
      <c r="O279" t="inlineStr">
        <is>
          <t>т</t>
        </is>
      </c>
      <c r="P279" t="inlineStr">
        <is>
          <t>т</t>
        </is>
      </c>
      <c r="Q279" t="n">
        <v>1000</v>
      </c>
      <c r="W279" t="n">
        <v>0</v>
      </c>
      <c r="X279" t="n">
        <v>1625292450</v>
      </c>
      <c r="Y279">
        <f>(AT279*ROUND(5,7))</f>
        <v/>
      </c>
      <c r="AA279" t="n">
        <v>76804.47</v>
      </c>
      <c r="AB279" t="n">
        <v>0</v>
      </c>
      <c r="AC279" t="n">
        <v>0</v>
      </c>
      <c r="AD279" t="n">
        <v>0</v>
      </c>
      <c r="AE279" t="n">
        <v>15118.99</v>
      </c>
      <c r="AF279" t="n">
        <v>0</v>
      </c>
      <c r="AG279" t="n">
        <v>0</v>
      </c>
      <c r="AH279" t="n">
        <v>0</v>
      </c>
      <c r="AI279" t="n">
        <v>5.08</v>
      </c>
      <c r="AJ279" t="n">
        <v>1</v>
      </c>
      <c r="AK279" t="n">
        <v>1</v>
      </c>
      <c r="AL279" t="n">
        <v>1</v>
      </c>
      <c r="AM279" t="n">
        <v>2</v>
      </c>
      <c r="AN279" t="n">
        <v>0</v>
      </c>
      <c r="AO279" t="n">
        <v>1</v>
      </c>
      <c r="AP279" t="n">
        <v>1</v>
      </c>
      <c r="AQ279" t="n">
        <v>0</v>
      </c>
      <c r="AR279" t="n">
        <v>0</v>
      </c>
      <c r="AS279" t="inlineStr"/>
      <c r="AT279" t="n">
        <v>5e-05</v>
      </c>
      <c r="AU279" t="inlineStr">
        <is>
          <t>)*5</t>
        </is>
      </c>
      <c r="AV279" t="n">
        <v>0</v>
      </c>
      <c r="AW279" t="n">
        <v>2</v>
      </c>
      <c r="AX279" t="n">
        <v>78870775</v>
      </c>
      <c r="AY279" t="n">
        <v>1</v>
      </c>
      <c r="AZ279" t="n">
        <v>0</v>
      </c>
      <c r="BA279" t="n">
        <v>257</v>
      </c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ROUND(Y279*Source!I562,7)</f>
        <v/>
      </c>
      <c r="CY279">
        <f>AA279</f>
        <v/>
      </c>
      <c r="CZ279">
        <f>AE279</f>
        <v/>
      </c>
      <c r="DA279">
        <f>AI279</f>
        <v/>
      </c>
      <c r="DB279">
        <f>ROUND((ROUND(AT279*CZ279,2)*ROUND(5,7)),2)</f>
        <v/>
      </c>
      <c r="DC279">
        <f>ROUND((ROUND(AT279*AG279,2)*ROUND(5,7)),2)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ROW(Source!A562)</f>
        <v/>
      </c>
      <c r="B280" t="n">
        <v>78869116</v>
      </c>
      <c r="C280" t="n">
        <v>78870766</v>
      </c>
      <c r="D280" t="n">
        <v>29110573</v>
      </c>
      <c r="E280" t="n">
        <v>1</v>
      </c>
      <c r="F280" t="n">
        <v>1</v>
      </c>
      <c r="G280" t="n">
        <v>1</v>
      </c>
      <c r="H280" t="n">
        <v>3</v>
      </c>
      <c r="I280" t="inlineStr">
        <is>
          <t>101-0628</t>
        </is>
      </c>
      <c r="J280" t="inlineStr">
        <is>
          <t>ТССЦ Московской обл., 101-0628, приказ Минстроя России №675/пр от 28.02.2017 № 254/пр</t>
        </is>
      </c>
      <c r="K280" t="inlineStr">
        <is>
          <t>Олифа комбинированная, марки К-3</t>
        </is>
      </c>
      <c r="L280" t="n">
        <v>1348</v>
      </c>
      <c r="N280" t="n">
        <v>1009</v>
      </c>
      <c r="O280" t="inlineStr">
        <is>
          <t>т</t>
        </is>
      </c>
      <c r="P280" t="inlineStr">
        <is>
          <t>т</t>
        </is>
      </c>
      <c r="Q280" t="n">
        <v>1000</v>
      </c>
      <c r="W280" t="n">
        <v>0</v>
      </c>
      <c r="X280" t="n">
        <v>24062879</v>
      </c>
      <c r="Y280">
        <f>(AT280*ROUND(5,7))</f>
        <v/>
      </c>
      <c r="AA280" t="n">
        <v>87631.5</v>
      </c>
      <c r="AB280" t="n">
        <v>0</v>
      </c>
      <c r="AC280" t="n">
        <v>0</v>
      </c>
      <c r="AD280" t="n">
        <v>0</v>
      </c>
      <c r="AE280" t="n">
        <v>16950</v>
      </c>
      <c r="AF280" t="n">
        <v>0</v>
      </c>
      <c r="AG280" t="n">
        <v>0</v>
      </c>
      <c r="AH280" t="n">
        <v>0</v>
      </c>
      <c r="AI280" t="n">
        <v>5.17</v>
      </c>
      <c r="AJ280" t="n">
        <v>1</v>
      </c>
      <c r="AK280" t="n">
        <v>1</v>
      </c>
      <c r="AL280" t="n">
        <v>1</v>
      </c>
      <c r="AM280" t="n">
        <v>2</v>
      </c>
      <c r="AN280" t="n">
        <v>0</v>
      </c>
      <c r="AO280" t="n">
        <v>1</v>
      </c>
      <c r="AP280" t="n">
        <v>1</v>
      </c>
      <c r="AQ280" t="n">
        <v>0</v>
      </c>
      <c r="AR280" t="n">
        <v>0</v>
      </c>
      <c r="AS280" t="inlineStr"/>
      <c r="AT280" t="n">
        <v>2e-05</v>
      </c>
      <c r="AU280" t="inlineStr">
        <is>
          <t>)*5</t>
        </is>
      </c>
      <c r="AV280" t="n">
        <v>0</v>
      </c>
      <c r="AW280" t="n">
        <v>2</v>
      </c>
      <c r="AX280" t="n">
        <v>78870776</v>
      </c>
      <c r="AY280" t="n">
        <v>1</v>
      </c>
      <c r="AZ280" t="n">
        <v>0</v>
      </c>
      <c r="BA280" t="n">
        <v>258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V280" t="n">
        <v>0</v>
      </c>
      <c r="CW280" t="n">
        <v>0</v>
      </c>
      <c r="CX280">
        <f>ROUND(Y280*Source!I562,7)</f>
        <v/>
      </c>
      <c r="CY280">
        <f>AA280</f>
        <v/>
      </c>
      <c r="CZ280">
        <f>AE280</f>
        <v/>
      </c>
      <c r="DA280">
        <f>AI280</f>
        <v/>
      </c>
      <c r="DB280">
        <f>ROUND((ROUND(AT280*CZ280,2)*ROUND(5,7)),2)</f>
        <v/>
      </c>
      <c r="DC280">
        <f>ROUND((ROUND(AT280*AG280,2)*ROUND(5,7)),2)</f>
        <v/>
      </c>
      <c r="DD280" t="inlineStr"/>
      <c r="DE280" t="inlineStr"/>
      <c r="DF280">
        <f>ROUND(ROUND(AE280*AI280,0)*CX280,0)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DF280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ROW(Source!A562)</f>
        <v/>
      </c>
      <c r="B281" t="n">
        <v>78869116</v>
      </c>
      <c r="C281" t="n">
        <v>78870766</v>
      </c>
      <c r="D281" t="n">
        <v>29107963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101-1669</t>
        </is>
      </c>
      <c r="J281" t="inlineStr">
        <is>
          <t>ТССЦ Московской обл., 101-1669, приказ Минстроя России №675/пр от 28.02.2017 № 254/пр</t>
        </is>
      </c>
      <c r="K281" t="inlineStr">
        <is>
          <t>Очес льняной</t>
        </is>
      </c>
      <c r="L281" t="n">
        <v>1346</v>
      </c>
      <c r="N281" t="n">
        <v>1009</v>
      </c>
      <c r="O281" t="inlineStr">
        <is>
          <t>кг</t>
        </is>
      </c>
      <c r="P281" t="inlineStr">
        <is>
          <t>кг</t>
        </is>
      </c>
      <c r="Q281" t="n">
        <v>1</v>
      </c>
      <c r="W281" t="n">
        <v>0</v>
      </c>
      <c r="X281" t="n">
        <v>-2113933962</v>
      </c>
      <c r="Y281">
        <f>(AT281*ROUND(5,7))</f>
        <v/>
      </c>
      <c r="AA281" t="n">
        <v>590.67</v>
      </c>
      <c r="AB281" t="n">
        <v>0</v>
      </c>
      <c r="AC281" t="n">
        <v>0</v>
      </c>
      <c r="AD281" t="n">
        <v>0</v>
      </c>
      <c r="AE281" t="n">
        <v>37.29</v>
      </c>
      <c r="AF281" t="n">
        <v>0</v>
      </c>
      <c r="AG281" t="n">
        <v>0</v>
      </c>
      <c r="AH281" t="n">
        <v>0</v>
      </c>
      <c r="AI281" t="n">
        <v>15.84</v>
      </c>
      <c r="AJ281" t="n">
        <v>1</v>
      </c>
      <c r="AK281" t="n">
        <v>1</v>
      </c>
      <c r="AL281" t="n">
        <v>1</v>
      </c>
      <c r="AM281" t="n">
        <v>2</v>
      </c>
      <c r="AN281" t="n">
        <v>0</v>
      </c>
      <c r="AO281" t="n">
        <v>1</v>
      </c>
      <c r="AP281" t="n">
        <v>1</v>
      </c>
      <c r="AQ281" t="n">
        <v>0</v>
      </c>
      <c r="AR281" t="n">
        <v>0</v>
      </c>
      <c r="AS281" t="inlineStr"/>
      <c r="AT281" t="n">
        <v>0.02</v>
      </c>
      <c r="AU281" t="inlineStr">
        <is>
          <t>)*5</t>
        </is>
      </c>
      <c r="AV281" t="n">
        <v>0</v>
      </c>
      <c r="AW281" t="n">
        <v>2</v>
      </c>
      <c r="AX281" t="n">
        <v>78870777</v>
      </c>
      <c r="AY281" t="n">
        <v>1</v>
      </c>
      <c r="AZ281" t="n">
        <v>0</v>
      </c>
      <c r="BA281" t="n">
        <v>259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ROUND(Y281*Source!I562,7)</f>
        <v/>
      </c>
      <c r="CY281">
        <f>AA281</f>
        <v/>
      </c>
      <c r="CZ281">
        <f>AE281</f>
        <v/>
      </c>
      <c r="DA281">
        <f>AI281</f>
        <v/>
      </c>
      <c r="DB281">
        <f>ROUND((ROUND(AT281*CZ281,2)*ROUND(5,7)),2)</f>
        <v/>
      </c>
      <c r="DC281">
        <f>ROUND((ROUND(AT281*AG281,2)*ROUND(5,7)),2)</f>
        <v/>
      </c>
      <c r="DD281" t="inlineStr"/>
      <c r="DE281" t="inlineStr"/>
      <c r="DF281">
        <f>ROUND(ROUND(AE281*AI281,0)*CX281,0)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DF281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ROW(Source!A562)</f>
        <v/>
      </c>
      <c r="B282" t="n">
        <v>78869116</v>
      </c>
      <c r="C282" t="n">
        <v>78870766</v>
      </c>
      <c r="D282" t="n">
        <v>29150040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411-0001</t>
        </is>
      </c>
      <c r="J282" t="inlineStr">
        <is>
          <t>ТССЦ Московской обл., 411-0001, приказ Минстроя России №675/пр от 28.02.2017 № 257/пр</t>
        </is>
      </c>
      <c r="K282" t="inlineStr">
        <is>
          <t>Вода</t>
        </is>
      </c>
      <c r="L282" t="n">
        <v>1339</v>
      </c>
      <c r="N282" t="n">
        <v>1007</v>
      </c>
      <c r="O282" t="inlineStr">
        <is>
          <t>м3</t>
        </is>
      </c>
      <c r="P282" t="inlineStr">
        <is>
          <t>м3</t>
        </is>
      </c>
      <c r="Q282" t="n">
        <v>1</v>
      </c>
      <c r="W282" t="n">
        <v>0</v>
      </c>
      <c r="X282" t="n">
        <v>619799737</v>
      </c>
      <c r="Y282">
        <f>(AT282*ROUND(5,7))</f>
        <v/>
      </c>
      <c r="AA282" t="n">
        <v>31.28</v>
      </c>
      <c r="AB282" t="n">
        <v>0</v>
      </c>
      <c r="AC282" t="n">
        <v>0</v>
      </c>
      <c r="AD282" t="n">
        <v>0</v>
      </c>
      <c r="AE282" t="n">
        <v>2.44</v>
      </c>
      <c r="AF282" t="n">
        <v>0</v>
      </c>
      <c r="AG282" t="n">
        <v>0</v>
      </c>
      <c r="AH282" t="n">
        <v>0</v>
      </c>
      <c r="AI282" t="n">
        <v>12.82</v>
      </c>
      <c r="AJ282" t="n">
        <v>1</v>
      </c>
      <c r="AK282" t="n">
        <v>1</v>
      </c>
      <c r="AL282" t="n">
        <v>1</v>
      </c>
      <c r="AM282" t="n">
        <v>2</v>
      </c>
      <c r="AN282" t="n">
        <v>0</v>
      </c>
      <c r="AO282" t="n">
        <v>1</v>
      </c>
      <c r="AP282" t="n">
        <v>1</v>
      </c>
      <c r="AQ282" t="n">
        <v>0</v>
      </c>
      <c r="AR282" t="n">
        <v>0</v>
      </c>
      <c r="AS282" t="inlineStr"/>
      <c r="AT282" t="n">
        <v>1</v>
      </c>
      <c r="AU282" t="inlineStr">
        <is>
          <t>)*5</t>
        </is>
      </c>
      <c r="AV282" t="n">
        <v>0</v>
      </c>
      <c r="AW282" t="n">
        <v>2</v>
      </c>
      <c r="AX282" t="n">
        <v>78870778</v>
      </c>
      <c r="AY282" t="n">
        <v>1</v>
      </c>
      <c r="AZ282" t="n">
        <v>0</v>
      </c>
      <c r="BA282" t="n">
        <v>260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 t="n">
        <v>0</v>
      </c>
      <c r="CX282">
        <f>ROUND(Y282*Source!I562,7)</f>
        <v/>
      </c>
      <c r="CY282">
        <f>AA282</f>
        <v/>
      </c>
      <c r="CZ282">
        <f>AE282</f>
        <v/>
      </c>
      <c r="DA282">
        <f>AI282</f>
        <v/>
      </c>
      <c r="DB282">
        <f>ROUND((ROUND(AT282*CZ282,2)*ROUND(5,7)),2)</f>
        <v/>
      </c>
      <c r="DC282">
        <f>ROUND((ROUND(AT282*AG282,2)*ROUND(5,7)),2)</f>
        <v/>
      </c>
      <c r="DD282" t="inlineStr"/>
      <c r="DE282" t="inlineStr"/>
      <c r="DF282">
        <f>ROUND(ROUND(AE282*AI282,0)*CX282,0)</f>
        <v/>
      </c>
      <c r="DG282">
        <f>ROUND(ROUND(AF282,0)*CX282,0)</f>
        <v/>
      </c>
      <c r="DH282">
        <f>ROUND(ROUND(AG282,0)*CX282,0)</f>
        <v/>
      </c>
      <c r="DI282">
        <f>ROUND(ROUND(AH282,0)*CX282,0)</f>
        <v/>
      </c>
      <c r="DJ282">
        <f>DF282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ROW(Source!A601)</f>
        <v/>
      </c>
      <c r="B283" t="n">
        <v>78869116</v>
      </c>
      <c r="C283" t="n">
        <v>78870842</v>
      </c>
      <c r="D283" t="n">
        <v>18408291</v>
      </c>
      <c r="E283" t="n">
        <v>1</v>
      </c>
      <c r="F283" t="n">
        <v>1</v>
      </c>
      <c r="G283" t="n">
        <v>1</v>
      </c>
      <c r="H283" t="n">
        <v>1</v>
      </c>
      <c r="I283" t="inlineStr">
        <is>
          <t>1-1025-90</t>
        </is>
      </c>
      <c r="J283" t="inlineStr"/>
      <c r="K283" t="inlineStr">
        <is>
          <t>Рабочий строитель среднего разряда 2,5</t>
        </is>
      </c>
      <c r="L283" t="n">
        <v>1369</v>
      </c>
      <c r="N283" t="n">
        <v>1013</v>
      </c>
      <c r="O283" t="inlineStr">
        <is>
          <t>чел.-ч</t>
        </is>
      </c>
      <c r="P283" t="inlineStr">
        <is>
          <t>чел.-ч</t>
        </is>
      </c>
      <c r="Q283" t="n">
        <v>1</v>
      </c>
      <c r="W283" t="n">
        <v>0</v>
      </c>
      <c r="X283" t="n">
        <v>1933892413</v>
      </c>
      <c r="Y283">
        <f>AT283</f>
        <v/>
      </c>
      <c r="AA283" t="n">
        <v>0</v>
      </c>
      <c r="AB283" t="n">
        <v>0</v>
      </c>
      <c r="AC283" t="n">
        <v>0</v>
      </c>
      <c r="AD283" t="n">
        <v>8.17</v>
      </c>
      <c r="AE283" t="n">
        <v>0</v>
      </c>
      <c r="AF283" t="n">
        <v>0</v>
      </c>
      <c r="AG283" t="n">
        <v>0</v>
      </c>
      <c r="AH283" t="n">
        <v>8.17</v>
      </c>
      <c r="AI283" t="n">
        <v>1</v>
      </c>
      <c r="AJ283" t="n">
        <v>1</v>
      </c>
      <c r="AK283" t="n">
        <v>1</v>
      </c>
      <c r="AL283" t="n">
        <v>1</v>
      </c>
      <c r="AM283" t="n">
        <v>-2</v>
      </c>
      <c r="AN283" t="n">
        <v>0</v>
      </c>
      <c r="AO283" t="n">
        <v>1</v>
      </c>
      <c r="AP283" t="n">
        <v>1</v>
      </c>
      <c r="AQ283" t="n">
        <v>0</v>
      </c>
      <c r="AR283" t="n">
        <v>0</v>
      </c>
      <c r="AS283" t="inlineStr"/>
      <c r="AT283" t="n">
        <v>32.2</v>
      </c>
      <c r="AU283" t="inlineStr"/>
      <c r="AV283" t="n">
        <v>1</v>
      </c>
      <c r="AW283" t="n">
        <v>2</v>
      </c>
      <c r="AX283" t="n">
        <v>78870848</v>
      </c>
      <c r="AY283" t="n">
        <v>1</v>
      </c>
      <c r="AZ283" t="n">
        <v>0</v>
      </c>
      <c r="BA283" t="n">
        <v>261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U283">
        <f>ROUND(AT283*Source!I601*AH283*AL283,0)</f>
        <v/>
      </c>
      <c r="CV283">
        <f>ROUND(Y283*Source!I601,7)</f>
        <v/>
      </c>
      <c r="CW283" t="n">
        <v>0</v>
      </c>
      <c r="CX283">
        <f>ROUND(Y283*Source!I601,7)</f>
        <v/>
      </c>
      <c r="CY283">
        <f>AD283</f>
        <v/>
      </c>
      <c r="CZ283">
        <f>AH283</f>
        <v/>
      </c>
      <c r="DA283">
        <f>AL283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ROUND(ROUND(AF283,0)*CX283,0)</f>
        <v/>
      </c>
      <c r="DH283">
        <f>ROUND(ROUND(AG283,0)*CX283,0)</f>
        <v/>
      </c>
      <c r="DI283">
        <f>ROUND(ROUND(AH283,0)*CX283,0)</f>
        <v/>
      </c>
      <c r="DJ283">
        <f>DI283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ROW(Source!A601)</f>
        <v/>
      </c>
      <c r="B284" t="n">
        <v>78869116</v>
      </c>
      <c r="C284" t="n">
        <v>78870842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1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78870849</v>
      </c>
      <c r="AY284" t="n">
        <v>1</v>
      </c>
      <c r="AZ284" t="n">
        <v>0</v>
      </c>
      <c r="BA284" t="n">
        <v>262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ROUND(Y284*Source!I601*DO284,7)</f>
        <v/>
      </c>
      <c r="CX284">
        <f>ROUND(Y284*Source!I601,7)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ROW(Source!A601)</f>
        <v/>
      </c>
      <c r="B285" t="n">
        <v>78869116</v>
      </c>
      <c r="C285" t="n">
        <v>78870842</v>
      </c>
      <c r="D285" t="n">
        <v>29110139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101-1703</t>
        </is>
      </c>
      <c r="J285" t="inlineStr">
        <is>
          <t>ТССЦ Московской обл., 101-1703, приказ Минстроя России №675/пр от 28.02.2017 № 254/пр</t>
        </is>
      </c>
      <c r="K285" t="inlineStr">
        <is>
          <t>Прокладки резиновые (пластина техническая прессованная)</t>
        </is>
      </c>
      <c r="L285" t="n">
        <v>1346</v>
      </c>
      <c r="N285" t="n">
        <v>1009</v>
      </c>
      <c r="O285" t="inlineStr">
        <is>
          <t>кг</t>
        </is>
      </c>
      <c r="P285" t="inlineStr">
        <is>
          <t>кг</t>
        </is>
      </c>
      <c r="Q285" t="n">
        <v>1</v>
      </c>
      <c r="W285" t="n">
        <v>0</v>
      </c>
      <c r="X285" t="n">
        <v>-1947909329</v>
      </c>
      <c r="Y285">
        <f>AT285</f>
        <v/>
      </c>
      <c r="AA285" t="n">
        <v>341.04</v>
      </c>
      <c r="AB285" t="n">
        <v>0</v>
      </c>
      <c r="AC285" t="n">
        <v>0</v>
      </c>
      <c r="AD285" t="n">
        <v>0</v>
      </c>
      <c r="AE285" t="n">
        <v>23.09</v>
      </c>
      <c r="AF285" t="n">
        <v>0</v>
      </c>
      <c r="AG285" t="n">
        <v>0</v>
      </c>
      <c r="AH285" t="n">
        <v>0</v>
      </c>
      <c r="AI285" t="n">
        <v>14.77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1</v>
      </c>
      <c r="AQ285" t="n">
        <v>0</v>
      </c>
      <c r="AR285" t="n">
        <v>0</v>
      </c>
      <c r="AS285" t="inlineStr"/>
      <c r="AT285" t="n">
        <v>2</v>
      </c>
      <c r="AU285" t="inlineStr"/>
      <c r="AV285" t="n">
        <v>0</v>
      </c>
      <c r="AW285" t="n">
        <v>2</v>
      </c>
      <c r="AX285" t="n">
        <v>78870850</v>
      </c>
      <c r="AY285" t="n">
        <v>1</v>
      </c>
      <c r="AZ285" t="n">
        <v>0</v>
      </c>
      <c r="BA285" t="n">
        <v>263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ROUND(Y285*Source!I601,7)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ROW(Source!A601)</f>
        <v/>
      </c>
      <c r="B286" t="n">
        <v>78869116</v>
      </c>
      <c r="C286" t="n">
        <v>78870842</v>
      </c>
      <c r="D286" t="n">
        <v>29114240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101-2576</t>
        </is>
      </c>
      <c r="J286" t="inlineStr">
        <is>
          <t>ТССЦ Московской обл., 101-2576, приказ Минстроя России №675/пр от 28.02.2017 № 254/пр</t>
        </is>
      </c>
      <c r="K286" t="inlineStr">
        <is>
          <t>Болты с гайками и шайбами для санитарно-технических работ диаметром 16 мм</t>
        </is>
      </c>
      <c r="L286" t="n">
        <v>1348</v>
      </c>
      <c r="N286" t="n">
        <v>1009</v>
      </c>
      <c r="O286" t="inlineStr">
        <is>
          <t>т</t>
        </is>
      </c>
      <c r="P286" t="inlineStr">
        <is>
          <t>т</t>
        </is>
      </c>
      <c r="Q286" t="n">
        <v>1000</v>
      </c>
      <c r="W286" t="n">
        <v>0</v>
      </c>
      <c r="X286" t="n">
        <v>-1701539228</v>
      </c>
      <c r="Y286">
        <f>AT286</f>
        <v/>
      </c>
      <c r="AA286" t="n">
        <v>145037.4</v>
      </c>
      <c r="AB286" t="n">
        <v>0</v>
      </c>
      <c r="AC286" t="n">
        <v>0</v>
      </c>
      <c r="AD286" t="n">
        <v>0</v>
      </c>
      <c r="AE286" t="n">
        <v>14830</v>
      </c>
      <c r="AF286" t="n">
        <v>0</v>
      </c>
      <c r="AG286" t="n">
        <v>0</v>
      </c>
      <c r="AH286" t="n">
        <v>0</v>
      </c>
      <c r="AI286" t="n">
        <v>9.779999999999999</v>
      </c>
      <c r="AJ286" t="n">
        <v>1</v>
      </c>
      <c r="AK286" t="n">
        <v>1</v>
      </c>
      <c r="AL286" t="n">
        <v>1</v>
      </c>
      <c r="AM286" t="n">
        <v>2</v>
      </c>
      <c r="AN286" t="n">
        <v>0</v>
      </c>
      <c r="AO286" t="n">
        <v>1</v>
      </c>
      <c r="AP286" t="n">
        <v>1</v>
      </c>
      <c r="AQ286" t="n">
        <v>0</v>
      </c>
      <c r="AR286" t="n">
        <v>0</v>
      </c>
      <c r="AS286" t="inlineStr"/>
      <c r="AT286" t="n">
        <v>0.005</v>
      </c>
      <c r="AU286" t="inlineStr"/>
      <c r="AV286" t="n">
        <v>0</v>
      </c>
      <c r="AW286" t="n">
        <v>2</v>
      </c>
      <c r="AX286" t="n">
        <v>78870851</v>
      </c>
      <c r="AY286" t="n">
        <v>1</v>
      </c>
      <c r="AZ286" t="n">
        <v>0</v>
      </c>
      <c r="BA286" t="n">
        <v>264</v>
      </c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ROUND(Y286*Source!I601,7)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ROW(Source!A601)</f>
        <v/>
      </c>
      <c r="B287" t="n">
        <v>78869116</v>
      </c>
      <c r="C287" t="n">
        <v>78870842</v>
      </c>
      <c r="D287" t="n">
        <v>29150040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411-0001</t>
        </is>
      </c>
      <c r="J287" t="inlineStr">
        <is>
          <t>ТССЦ Московской обл., 411-0001, приказ Минстроя России №675/пр от 28.02.2017 № 257/пр</t>
        </is>
      </c>
      <c r="K287" t="inlineStr">
        <is>
          <t>Вода</t>
        </is>
      </c>
      <c r="L287" t="n">
        <v>1339</v>
      </c>
      <c r="N287" t="n">
        <v>1007</v>
      </c>
      <c r="O287" t="inlineStr">
        <is>
          <t>м3</t>
        </is>
      </c>
      <c r="P287" t="inlineStr">
        <is>
          <t>м3</t>
        </is>
      </c>
      <c r="Q287" t="n">
        <v>1</v>
      </c>
      <c r="W287" t="n">
        <v>0</v>
      </c>
      <c r="X287" t="n">
        <v>619799737</v>
      </c>
      <c r="Y287">
        <f>AT287</f>
        <v/>
      </c>
      <c r="AA287" t="n">
        <v>31.28</v>
      </c>
      <c r="AB287" t="n">
        <v>0</v>
      </c>
      <c r="AC287" t="n">
        <v>0</v>
      </c>
      <c r="AD287" t="n">
        <v>0</v>
      </c>
      <c r="AE287" t="n">
        <v>2.44</v>
      </c>
      <c r="AF287" t="n">
        <v>0</v>
      </c>
      <c r="AG287" t="n">
        <v>0</v>
      </c>
      <c r="AH287" t="n">
        <v>0</v>
      </c>
      <c r="AI287" t="n">
        <v>12.82</v>
      </c>
      <c r="AJ287" t="n">
        <v>1</v>
      </c>
      <c r="AK287" t="n">
        <v>1</v>
      </c>
      <c r="AL287" t="n">
        <v>1</v>
      </c>
      <c r="AM287" t="n">
        <v>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7.8</v>
      </c>
      <c r="AU287" t="inlineStr"/>
      <c r="AV287" t="n">
        <v>0</v>
      </c>
      <c r="AW287" t="n">
        <v>2</v>
      </c>
      <c r="AX287" t="n">
        <v>78870852</v>
      </c>
      <c r="AY287" t="n">
        <v>1</v>
      </c>
      <c r="AZ287" t="n">
        <v>0</v>
      </c>
      <c r="BA287" t="n">
        <v>265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V287" t="n">
        <v>0</v>
      </c>
      <c r="CW287" t="n">
        <v>0</v>
      </c>
      <c r="CX287">
        <f>ROUND(Y287*Source!I601,7)</f>
        <v/>
      </c>
      <c r="CY287">
        <f>AA287</f>
        <v/>
      </c>
      <c r="CZ287">
        <f>AE287</f>
        <v/>
      </c>
      <c r="DA287">
        <f>AI287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ROUND(ROUND(AE287*AI287,0)*CX287,0)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DF287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ROW(Source!A602)</f>
        <v/>
      </c>
      <c r="B288" t="n">
        <v>78869116</v>
      </c>
      <c r="C288" t="n">
        <v>78870853</v>
      </c>
      <c r="D288" t="n">
        <v>18442827</v>
      </c>
      <c r="E288" t="n">
        <v>1</v>
      </c>
      <c r="F288" t="n">
        <v>1</v>
      </c>
      <c r="G288" t="n">
        <v>1</v>
      </c>
      <c r="H288" t="n">
        <v>1</v>
      </c>
      <c r="I288" t="inlineStr">
        <is>
          <t>1-1053-90</t>
        </is>
      </c>
      <c r="J288" t="inlineStr"/>
      <c r="K288" t="inlineStr">
        <is>
          <t>Рабочий строитель среднего разряда 5,3</t>
        </is>
      </c>
      <c r="L288" t="n">
        <v>1369</v>
      </c>
      <c r="N288" t="n">
        <v>1013</v>
      </c>
      <c r="O288" t="inlineStr">
        <is>
          <t>чел.-ч</t>
        </is>
      </c>
      <c r="P288" t="inlineStr">
        <is>
          <t>чел.-ч</t>
        </is>
      </c>
      <c r="Q288" t="n">
        <v>1</v>
      </c>
      <c r="W288" t="n">
        <v>0</v>
      </c>
      <c r="X288" t="n">
        <v>717490484</v>
      </c>
      <c r="Y288">
        <f>(AT288*ROUND(5,7))</f>
        <v/>
      </c>
      <c r="AA288" t="n">
        <v>0</v>
      </c>
      <c r="AB288" t="n">
        <v>0</v>
      </c>
      <c r="AC288" t="n">
        <v>0</v>
      </c>
      <c r="AD288" t="n">
        <v>11.64</v>
      </c>
      <c r="AE288" t="n">
        <v>0</v>
      </c>
      <c r="AF288" t="n">
        <v>0</v>
      </c>
      <c r="AG288" t="n">
        <v>0</v>
      </c>
      <c r="AH288" t="n">
        <v>11.64</v>
      </c>
      <c r="AI288" t="n">
        <v>1</v>
      </c>
      <c r="AJ288" t="n">
        <v>1</v>
      </c>
      <c r="AK288" t="n">
        <v>1</v>
      </c>
      <c r="AL288" t="n">
        <v>1</v>
      </c>
      <c r="AM288" t="n">
        <v>-2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5.01</v>
      </c>
      <c r="AU288" t="inlineStr">
        <is>
          <t>)*5</t>
        </is>
      </c>
      <c r="AV288" t="n">
        <v>1</v>
      </c>
      <c r="AW288" t="n">
        <v>2</v>
      </c>
      <c r="AX288" t="n">
        <v>78870860</v>
      </c>
      <c r="AY288" t="n">
        <v>1</v>
      </c>
      <c r="AZ288" t="n">
        <v>2048</v>
      </c>
      <c r="BA288" t="n">
        <v>266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U288">
        <f>ROUND(AT288*Source!I602*AH288*AL288,0)</f>
        <v/>
      </c>
      <c r="CV288">
        <f>ROUND(Y288*Source!I602,7)</f>
        <v/>
      </c>
      <c r="CW288" t="n">
        <v>0</v>
      </c>
      <c r="CX288">
        <f>ROUND(Y288*Source!I602,7)</f>
        <v/>
      </c>
      <c r="CY288">
        <f>AD288</f>
        <v/>
      </c>
      <c r="CZ288">
        <f>AH288</f>
        <v/>
      </c>
      <c r="DA288">
        <f>AL288</f>
        <v/>
      </c>
      <c r="DB288">
        <f>ROUND((ROUND(AT288*CZ288,2)*ROUND(5,7)),2)</f>
        <v/>
      </c>
      <c r="DC288">
        <f>ROUND((ROUND(AT288*AG288,2)*ROUND(5,7)),2)</f>
        <v/>
      </c>
      <c r="DD288" t="inlineStr"/>
      <c r="DE288" t="inlineStr"/>
      <c r="DF288">
        <f>ROUND(ROUND(AE288,0)*CX288,0)</f>
        <v/>
      </c>
      <c r="DG288">
        <f>ROUND(ROUND(AF288,0)*CX288,0)</f>
        <v/>
      </c>
      <c r="DH288">
        <f>ROUND(ROUND(AG288,0)*CX288,0)</f>
        <v/>
      </c>
      <c r="DI288">
        <f>ROUND(ROUND(AH288,0)*CX288,0)</f>
        <v/>
      </c>
      <c r="DJ288">
        <f>DI288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ROW(Source!A602)</f>
        <v/>
      </c>
      <c r="B289" t="n">
        <v>78869116</v>
      </c>
      <c r="C289" t="n">
        <v>78870853</v>
      </c>
      <c r="D289" t="n">
        <v>29172703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042900</t>
        </is>
      </c>
      <c r="J289" t="inlineStr">
        <is>
          <t>ТСЭМ Московской обл., 042900, приказ Минстроя России №675/пр от 28.02.2017 № 264/пр</t>
        </is>
      </c>
      <c r="K28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1695838894</v>
      </c>
      <c r="Y289">
        <f>(AT289*ROUND(5,7))</f>
        <v/>
      </c>
      <c r="AA289" t="n">
        <v>0</v>
      </c>
      <c r="AB289" t="n">
        <v>177.13</v>
      </c>
      <c r="AC289" t="n">
        <v>0</v>
      </c>
      <c r="AD289" t="n">
        <v>0</v>
      </c>
      <c r="AE289" t="n">
        <v>0</v>
      </c>
      <c r="AF289" t="n">
        <v>29.67</v>
      </c>
      <c r="AG289" t="n">
        <v>0</v>
      </c>
      <c r="AH289" t="n">
        <v>0</v>
      </c>
      <c r="AI289" t="n">
        <v>1</v>
      </c>
      <c r="AJ289" t="n">
        <v>5.97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1.5</v>
      </c>
      <c r="AU289" t="inlineStr">
        <is>
          <t>)*5</t>
        </is>
      </c>
      <c r="AV289" t="n">
        <v>0</v>
      </c>
      <c r="AW289" t="n">
        <v>2</v>
      </c>
      <c r="AX289" t="n">
        <v>78870861</v>
      </c>
      <c r="AY289" t="n">
        <v>1</v>
      </c>
      <c r="AZ289" t="n">
        <v>0</v>
      </c>
      <c r="BA289" t="n">
        <v>267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ROUND(Y289*Source!I602*DO289,7)</f>
        <v/>
      </c>
      <c r="CX289">
        <f>ROUND(Y289*Source!I602,7)</f>
        <v/>
      </c>
      <c r="CY289">
        <f>AB289</f>
        <v/>
      </c>
      <c r="CZ289">
        <f>AF289</f>
        <v/>
      </c>
      <c r="DA289">
        <f>AJ289</f>
        <v/>
      </c>
      <c r="DB289">
        <f>ROUND((ROUND(AT289*CZ289,2)*ROUND(5,7)),2)</f>
        <v/>
      </c>
      <c r="DC289">
        <f>ROUND((ROUND(AT289*AG289,2)*ROUND(5,7)),2)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ROW(Source!A602)</f>
        <v/>
      </c>
      <c r="B290" t="n">
        <v>78869116</v>
      </c>
      <c r="C290" t="n">
        <v>78870853</v>
      </c>
      <c r="D290" t="n">
        <v>29110398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101-0388</t>
        </is>
      </c>
      <c r="J290" t="inlineStr">
        <is>
          <t>ТССЦ Московской обл., 101-0388, приказ Минстроя России №675/пр от 28.02.2017 № 254/пр</t>
        </is>
      </c>
      <c r="K290" t="inlineStr">
        <is>
          <t>Краски масляные земляные марки МА-0115 мумия, сурик железный</t>
        </is>
      </c>
      <c r="L290" t="n">
        <v>1348</v>
      </c>
      <c r="N290" t="n">
        <v>1009</v>
      </c>
      <c r="O290" t="inlineStr">
        <is>
          <t>т</t>
        </is>
      </c>
      <c r="P290" t="inlineStr">
        <is>
          <t>т</t>
        </is>
      </c>
      <c r="Q290" t="n">
        <v>1000</v>
      </c>
      <c r="W290" t="n">
        <v>0</v>
      </c>
      <c r="X290" t="n">
        <v>1625292450</v>
      </c>
      <c r="Y290">
        <f>(AT290*ROUND(5,7))</f>
        <v/>
      </c>
      <c r="AA290" t="n">
        <v>76804.47</v>
      </c>
      <c r="AB290" t="n">
        <v>0</v>
      </c>
      <c r="AC290" t="n">
        <v>0</v>
      </c>
      <c r="AD290" t="n">
        <v>0</v>
      </c>
      <c r="AE290" t="n">
        <v>15118.99</v>
      </c>
      <c r="AF290" t="n">
        <v>0</v>
      </c>
      <c r="AG290" t="n">
        <v>0</v>
      </c>
      <c r="AH290" t="n">
        <v>0</v>
      </c>
      <c r="AI290" t="n">
        <v>5.08</v>
      </c>
      <c r="AJ290" t="n">
        <v>1</v>
      </c>
      <c r="AK290" t="n">
        <v>1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5e-05</v>
      </c>
      <c r="AU290" t="inlineStr">
        <is>
          <t>)*5</t>
        </is>
      </c>
      <c r="AV290" t="n">
        <v>0</v>
      </c>
      <c r="AW290" t="n">
        <v>2</v>
      </c>
      <c r="AX290" t="n">
        <v>78870862</v>
      </c>
      <c r="AY290" t="n">
        <v>1</v>
      </c>
      <c r="AZ290" t="n">
        <v>0</v>
      </c>
      <c r="BA290" t="n">
        <v>268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 t="n">
        <v>0</v>
      </c>
      <c r="CX290">
        <f>ROUND(Y290*Source!I602,7)</f>
        <v/>
      </c>
      <c r="CY290">
        <f>AA290</f>
        <v/>
      </c>
      <c r="CZ290">
        <f>AE290</f>
        <v/>
      </c>
      <c r="DA290">
        <f>AI290</f>
        <v/>
      </c>
      <c r="DB290">
        <f>ROUND((ROUND(AT290*CZ290,2)*ROUND(5,7)),2)</f>
        <v/>
      </c>
      <c r="DC290">
        <f>ROUND((ROUND(AT290*AG290,2)*ROUND(5,7)),2)</f>
        <v/>
      </c>
      <c r="DD290" t="inlineStr"/>
      <c r="DE290" t="inlineStr"/>
      <c r="DF290">
        <f>ROUND(ROUND(AE290*AI290,0)*CX290,0)</f>
        <v/>
      </c>
      <c r="DG290">
        <f>ROUND(ROUND(AF290,0)*CX290,0)</f>
        <v/>
      </c>
      <c r="DH290">
        <f>ROUND(ROUND(AG290,0)*CX290,0)</f>
        <v/>
      </c>
      <c r="DI290">
        <f>ROUND(ROUND(AH290,0)*CX290,0)</f>
        <v/>
      </c>
      <c r="DJ290">
        <f>DF290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ROW(Source!A602)</f>
        <v/>
      </c>
      <c r="B291" t="n">
        <v>78869116</v>
      </c>
      <c r="C291" t="n">
        <v>78870853</v>
      </c>
      <c r="D291" t="n">
        <v>29110573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101-0628</t>
        </is>
      </c>
      <c r="J291" t="inlineStr">
        <is>
          <t>ТССЦ Московской обл., 101-0628, приказ Минстроя России №675/пр от 28.02.2017 № 254/пр</t>
        </is>
      </c>
      <c r="K291" t="inlineStr">
        <is>
          <t>Олифа комбинированная, марки К-3</t>
        </is>
      </c>
      <c r="L291" t="n">
        <v>1348</v>
      </c>
      <c r="N291" t="n">
        <v>1009</v>
      </c>
      <c r="O291" t="inlineStr">
        <is>
          <t>т</t>
        </is>
      </c>
      <c r="P291" t="inlineStr">
        <is>
          <t>т</t>
        </is>
      </c>
      <c r="Q291" t="n">
        <v>1000</v>
      </c>
      <c r="W291" t="n">
        <v>0</v>
      </c>
      <c r="X291" t="n">
        <v>24062879</v>
      </c>
      <c r="Y291">
        <f>(AT291*ROUND(5,7))</f>
        <v/>
      </c>
      <c r="AA291" t="n">
        <v>87631.5</v>
      </c>
      <c r="AB291" t="n">
        <v>0</v>
      </c>
      <c r="AC291" t="n">
        <v>0</v>
      </c>
      <c r="AD291" t="n">
        <v>0</v>
      </c>
      <c r="AE291" t="n">
        <v>16950</v>
      </c>
      <c r="AF291" t="n">
        <v>0</v>
      </c>
      <c r="AG291" t="n">
        <v>0</v>
      </c>
      <c r="AH291" t="n">
        <v>0</v>
      </c>
      <c r="AI291" t="n">
        <v>5.17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2e-05</v>
      </c>
      <c r="AU291" t="inlineStr">
        <is>
          <t>)*5</t>
        </is>
      </c>
      <c r="AV291" t="n">
        <v>0</v>
      </c>
      <c r="AW291" t="n">
        <v>2</v>
      </c>
      <c r="AX291" t="n">
        <v>78870863</v>
      </c>
      <c r="AY291" t="n">
        <v>1</v>
      </c>
      <c r="AZ291" t="n">
        <v>0</v>
      </c>
      <c r="BA291" t="n">
        <v>269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ROUND(Y291*Source!I602,7)</f>
        <v/>
      </c>
      <c r="CY291">
        <f>AA291</f>
        <v/>
      </c>
      <c r="CZ291">
        <f>AE291</f>
        <v/>
      </c>
      <c r="DA291">
        <f>AI291</f>
        <v/>
      </c>
      <c r="DB291">
        <f>ROUND((ROUND(AT291*CZ291,2)*ROUND(5,7)),2)</f>
        <v/>
      </c>
      <c r="DC291">
        <f>ROUND((ROUND(AT291*AG291,2)*ROUND(5,7)),2)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ROW(Source!A602)</f>
        <v/>
      </c>
      <c r="B292" t="n">
        <v>78869116</v>
      </c>
      <c r="C292" t="n">
        <v>78870853</v>
      </c>
      <c r="D292" t="n">
        <v>29107963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101-1669</t>
        </is>
      </c>
      <c r="J292" t="inlineStr">
        <is>
          <t>ТССЦ Московской обл., 101-1669, приказ Минстроя России №675/пр от 28.02.2017 № 254/пр</t>
        </is>
      </c>
      <c r="K292" t="inlineStr">
        <is>
          <t>Очес льняной</t>
        </is>
      </c>
      <c r="L292" t="n">
        <v>1346</v>
      </c>
      <c r="N292" t="n">
        <v>1009</v>
      </c>
      <c r="O292" t="inlineStr">
        <is>
          <t>кг</t>
        </is>
      </c>
      <c r="P292" t="inlineStr">
        <is>
          <t>кг</t>
        </is>
      </c>
      <c r="Q292" t="n">
        <v>1</v>
      </c>
      <c r="W292" t="n">
        <v>0</v>
      </c>
      <c r="X292" t="n">
        <v>-2113933962</v>
      </c>
      <c r="Y292">
        <f>(AT292*ROUND(5,7))</f>
        <v/>
      </c>
      <c r="AA292" t="n">
        <v>590.67</v>
      </c>
      <c r="AB292" t="n">
        <v>0</v>
      </c>
      <c r="AC292" t="n">
        <v>0</v>
      </c>
      <c r="AD292" t="n">
        <v>0</v>
      </c>
      <c r="AE292" t="n">
        <v>37.29</v>
      </c>
      <c r="AF292" t="n">
        <v>0</v>
      </c>
      <c r="AG292" t="n">
        <v>0</v>
      </c>
      <c r="AH292" t="n">
        <v>0</v>
      </c>
      <c r="AI292" t="n">
        <v>15.84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0.02</v>
      </c>
      <c r="AU292" t="inlineStr">
        <is>
          <t>)*5</t>
        </is>
      </c>
      <c r="AV292" t="n">
        <v>0</v>
      </c>
      <c r="AW292" t="n">
        <v>2</v>
      </c>
      <c r="AX292" t="n">
        <v>78870864</v>
      </c>
      <c r="AY292" t="n">
        <v>1</v>
      </c>
      <c r="AZ292" t="n">
        <v>0</v>
      </c>
      <c r="BA292" t="n">
        <v>270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ROUND(Y292*Source!I602,7)</f>
        <v/>
      </c>
      <c r="CY292">
        <f>AA292</f>
        <v/>
      </c>
      <c r="CZ292">
        <f>AE292</f>
        <v/>
      </c>
      <c r="DA292">
        <f>AI292</f>
        <v/>
      </c>
      <c r="DB292">
        <f>ROUND((ROUND(AT292*CZ292,2)*ROUND(5,7)),2)</f>
        <v/>
      </c>
      <c r="DC292">
        <f>ROUND((ROUND(AT292*AG292,2)*ROUND(5,7)),2)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ROW(Source!A602)</f>
        <v/>
      </c>
      <c r="B293" t="n">
        <v>78869116</v>
      </c>
      <c r="C293" t="n">
        <v>78870853</v>
      </c>
      <c r="D293" t="n">
        <v>29150040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411-0001</t>
        </is>
      </c>
      <c r="J293" t="inlineStr">
        <is>
          <t>ТССЦ Московской обл., 411-0001, приказ Минстроя России №675/пр от 28.02.2017 № 257/пр</t>
        </is>
      </c>
      <c r="K293" t="inlineStr">
        <is>
          <t>Вода</t>
        </is>
      </c>
      <c r="L293" t="n">
        <v>1339</v>
      </c>
      <c r="N293" t="n">
        <v>1007</v>
      </c>
      <c r="O293" t="inlineStr">
        <is>
          <t>м3</t>
        </is>
      </c>
      <c r="P293" t="inlineStr">
        <is>
          <t>м3</t>
        </is>
      </c>
      <c r="Q293" t="n">
        <v>1</v>
      </c>
      <c r="W293" t="n">
        <v>0</v>
      </c>
      <c r="X293" t="n">
        <v>619799737</v>
      </c>
      <c r="Y293">
        <f>(AT293*ROUND(5,7))</f>
        <v/>
      </c>
      <c r="AA293" t="n">
        <v>31.28</v>
      </c>
      <c r="AB293" t="n">
        <v>0</v>
      </c>
      <c r="AC293" t="n">
        <v>0</v>
      </c>
      <c r="AD293" t="n">
        <v>0</v>
      </c>
      <c r="AE293" t="n">
        <v>2.44</v>
      </c>
      <c r="AF293" t="n">
        <v>0</v>
      </c>
      <c r="AG293" t="n">
        <v>0</v>
      </c>
      <c r="AH293" t="n">
        <v>0</v>
      </c>
      <c r="AI293" t="n">
        <v>12.82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1</v>
      </c>
      <c r="AU293" t="inlineStr">
        <is>
          <t>)*5</t>
        </is>
      </c>
      <c r="AV293" t="n">
        <v>0</v>
      </c>
      <c r="AW293" t="n">
        <v>2</v>
      </c>
      <c r="AX293" t="n">
        <v>78870865</v>
      </c>
      <c r="AY293" t="n">
        <v>1</v>
      </c>
      <c r="AZ293" t="n">
        <v>0</v>
      </c>
      <c r="BA293" t="n">
        <v>271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ROUND(Y293*Source!I602,7)</f>
        <v/>
      </c>
      <c r="CY293">
        <f>AA293</f>
        <v/>
      </c>
      <c r="CZ293">
        <f>AE293</f>
        <v/>
      </c>
      <c r="DA293">
        <f>AI293</f>
        <v/>
      </c>
      <c r="DB293">
        <f>ROUND((ROUND(AT293*CZ293,2)*ROUND(5,7)),2)</f>
        <v/>
      </c>
      <c r="DC293">
        <f>ROUND((ROUND(AT293*AG293,2)*ROUND(5,7)),2)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ROW(Source!A603)</f>
        <v/>
      </c>
      <c r="B294" t="n">
        <v>78869116</v>
      </c>
      <c r="C294" t="n">
        <v>78870866</v>
      </c>
      <c r="D294" t="n">
        <v>18407150</v>
      </c>
      <c r="E294" t="n">
        <v>1</v>
      </c>
      <c r="F294" t="n">
        <v>1</v>
      </c>
      <c r="G294" t="n">
        <v>1</v>
      </c>
      <c r="H294" t="n">
        <v>1</v>
      </c>
      <c r="I294" t="inlineStr">
        <is>
          <t>1-1030-90</t>
        </is>
      </c>
      <c r="J294" t="inlineStr"/>
      <c r="K294" t="inlineStr">
        <is>
          <t>Рабочий строитель среднего разряда 3</t>
        </is>
      </c>
      <c r="L294" t="n">
        <v>1369</v>
      </c>
      <c r="N294" t="n">
        <v>1013</v>
      </c>
      <c r="O294" t="inlineStr">
        <is>
          <t>чел.-ч</t>
        </is>
      </c>
      <c r="P294" t="inlineStr">
        <is>
          <t>чел.-ч</t>
        </is>
      </c>
      <c r="Q294" t="n">
        <v>1</v>
      </c>
      <c r="W294" t="n">
        <v>0</v>
      </c>
      <c r="X294" t="n">
        <v>-931037793</v>
      </c>
      <c r="Y294">
        <f>AT294</f>
        <v/>
      </c>
      <c r="AA294" t="n">
        <v>0</v>
      </c>
      <c r="AB294" t="n">
        <v>0</v>
      </c>
      <c r="AC294" t="n">
        <v>0</v>
      </c>
      <c r="AD294" t="n">
        <v>8.529999999999999</v>
      </c>
      <c r="AE294" t="n">
        <v>0</v>
      </c>
      <c r="AF294" t="n">
        <v>0</v>
      </c>
      <c r="AG294" t="n">
        <v>0</v>
      </c>
      <c r="AH294" t="n">
        <v>8.529999999999999</v>
      </c>
      <c r="AI294" t="n">
        <v>1</v>
      </c>
      <c r="AJ294" t="n">
        <v>1</v>
      </c>
      <c r="AK294" t="n">
        <v>1</v>
      </c>
      <c r="AL294" t="n">
        <v>1</v>
      </c>
      <c r="AM294" t="n">
        <v>-2</v>
      </c>
      <c r="AN294" t="n">
        <v>0</v>
      </c>
      <c r="AO294" t="n">
        <v>1</v>
      </c>
      <c r="AP294" t="n">
        <v>0</v>
      </c>
      <c r="AQ294" t="n">
        <v>0</v>
      </c>
      <c r="AR294" t="n">
        <v>0</v>
      </c>
      <c r="AS294" t="inlineStr"/>
      <c r="AT294" t="n">
        <v>13.9</v>
      </c>
      <c r="AU294" t="inlineStr"/>
      <c r="AV294" t="n">
        <v>1</v>
      </c>
      <c r="AW294" t="n">
        <v>2</v>
      </c>
      <c r="AX294" t="n">
        <v>78870870</v>
      </c>
      <c r="AY294" t="n">
        <v>1</v>
      </c>
      <c r="AZ294" t="n">
        <v>0</v>
      </c>
      <c r="BA294" t="n">
        <v>272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U294">
        <f>ROUND(AT294*Source!I603*AH294*AL294,0)</f>
        <v/>
      </c>
      <c r="CV294">
        <f>ROUND(Y294*Source!I603,7)</f>
        <v/>
      </c>
      <c r="CW294" t="n">
        <v>0</v>
      </c>
      <c r="CX294">
        <f>ROUND(Y294*Source!I603,7)</f>
        <v/>
      </c>
      <c r="CY294">
        <f>AD294</f>
        <v/>
      </c>
      <c r="CZ294">
        <f>AH294</f>
        <v/>
      </c>
      <c r="DA294">
        <f>AL294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DI294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ROW(Source!A603)</f>
        <v/>
      </c>
      <c r="B295" t="n">
        <v>78869116</v>
      </c>
      <c r="C295" t="n">
        <v>78870866</v>
      </c>
      <c r="D295" t="n">
        <v>29169821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509-0696</t>
        </is>
      </c>
      <c r="J295" t="inlineStr">
        <is>
          <t>ТССЦ Московской обл., 509-0696, приказ Минстроя России №675/пр от 28.02.2017 № 258/пр</t>
        </is>
      </c>
      <c r="K295" t="inlineStr">
        <is>
          <t>Лампы люминесцентные ртутные низкого давления типа ЛБ, ЛД, ЛДЦ, ЛТВ, ЛБХ 20</t>
        </is>
      </c>
      <c r="L295" t="n">
        <v>1358</v>
      </c>
      <c r="N295" t="n">
        <v>1010</v>
      </c>
      <c r="O295" t="inlineStr">
        <is>
          <t>10 шт.</t>
        </is>
      </c>
      <c r="P295" t="inlineStr">
        <is>
          <t>10 шт.</t>
        </is>
      </c>
      <c r="Q295" t="n">
        <v>10</v>
      </c>
      <c r="W295" t="n">
        <v>0</v>
      </c>
      <c r="X295" t="n">
        <v>-1187244712</v>
      </c>
      <c r="Y295">
        <f>AT295</f>
        <v/>
      </c>
      <c r="AA295" t="n">
        <v>352.73</v>
      </c>
      <c r="AB295" t="n">
        <v>0</v>
      </c>
      <c r="AC295" t="n">
        <v>0</v>
      </c>
      <c r="AD295" t="n">
        <v>0</v>
      </c>
      <c r="AE295" t="n">
        <v>85.2</v>
      </c>
      <c r="AF295" t="n">
        <v>0</v>
      </c>
      <c r="AG295" t="n">
        <v>0</v>
      </c>
      <c r="AH295" t="n">
        <v>0</v>
      </c>
      <c r="AI295" t="n">
        <v>4.14</v>
      </c>
      <c r="AJ295" t="n">
        <v>1</v>
      </c>
      <c r="AK295" t="n">
        <v>1</v>
      </c>
      <c r="AL295" t="n">
        <v>1</v>
      </c>
      <c r="AM295" t="n">
        <v>2</v>
      </c>
      <c r="AN295" t="n">
        <v>0</v>
      </c>
      <c r="AO295" t="n">
        <v>1</v>
      </c>
      <c r="AP295" t="n">
        <v>0</v>
      </c>
      <c r="AQ295" t="n">
        <v>0</v>
      </c>
      <c r="AR295" t="n">
        <v>0</v>
      </c>
      <c r="AS295" t="inlineStr"/>
      <c r="AT295" t="n">
        <v>10</v>
      </c>
      <c r="AU295" t="inlineStr"/>
      <c r="AV295" t="n">
        <v>0</v>
      </c>
      <c r="AW295" t="n">
        <v>2</v>
      </c>
      <c r="AX295" t="n">
        <v>78870871</v>
      </c>
      <c r="AY295" t="n">
        <v>1</v>
      </c>
      <c r="AZ295" t="n">
        <v>0</v>
      </c>
      <c r="BA295" t="n">
        <v>273</v>
      </c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ROUND(Y295*Source!I603,7)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ROW(Source!A603)</f>
        <v/>
      </c>
      <c r="B296" t="n">
        <v>78869116</v>
      </c>
      <c r="C296" t="n">
        <v>78870866</v>
      </c>
      <c r="D296" t="n">
        <v>29169828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509-6744</t>
        </is>
      </c>
      <c r="J296" t="inlineStr">
        <is>
          <t>ТССЦ Московской обл., 509-6744, приказ Минстроя России №675/пр от 28.02.2017 № 258/пр</t>
        </is>
      </c>
      <c r="K296" t="inlineStr">
        <is>
          <t>Лампы люминесцентные компактные энергосберегающие с цоколем Е27 мощностью 55 Вт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-228955380</v>
      </c>
      <c r="Y296">
        <f>AT296</f>
        <v/>
      </c>
      <c r="AA296" t="n">
        <v>237.77</v>
      </c>
      <c r="AB296" t="n">
        <v>0</v>
      </c>
      <c r="AC296" t="n">
        <v>0</v>
      </c>
      <c r="AD296" t="n">
        <v>0</v>
      </c>
      <c r="AE296" t="n">
        <v>140.69</v>
      </c>
      <c r="AF296" t="n">
        <v>0</v>
      </c>
      <c r="AG296" t="n">
        <v>0</v>
      </c>
      <c r="AH296" t="n">
        <v>0</v>
      </c>
      <c r="AI296" t="n">
        <v>1.69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100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ROUND(Y296*Source!I603,7)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ROW(Source!A605)</f>
        <v/>
      </c>
      <c r="B297" t="n">
        <v>78869116</v>
      </c>
      <c r="C297" t="n">
        <v>78870873</v>
      </c>
      <c r="D297" t="n">
        <v>18407150</v>
      </c>
      <c r="E297" t="n">
        <v>1</v>
      </c>
      <c r="F297" t="n">
        <v>1</v>
      </c>
      <c r="G297" t="n">
        <v>1</v>
      </c>
      <c r="H297" t="n">
        <v>1</v>
      </c>
      <c r="I297" t="inlineStr">
        <is>
          <t>1-1030-90</t>
        </is>
      </c>
      <c r="J297" t="inlineStr"/>
      <c r="K297" t="inlineStr">
        <is>
          <t>Рабочий строитель среднего разряда 3</t>
        </is>
      </c>
      <c r="L297" t="n">
        <v>1369</v>
      </c>
      <c r="N297" t="n">
        <v>1013</v>
      </c>
      <c r="O297" t="inlineStr">
        <is>
          <t>чел.-ч</t>
        </is>
      </c>
      <c r="P297" t="inlineStr">
        <is>
          <t>чел.-ч</t>
        </is>
      </c>
      <c r="Q297" t="n">
        <v>1</v>
      </c>
      <c r="W297" t="n">
        <v>0</v>
      </c>
      <c r="X297" t="n">
        <v>-931037793</v>
      </c>
      <c r="Y297">
        <f>AT297</f>
        <v/>
      </c>
      <c r="AA297" t="n">
        <v>0</v>
      </c>
      <c r="AB297" t="n">
        <v>0</v>
      </c>
      <c r="AC297" t="n">
        <v>0</v>
      </c>
      <c r="AD297" t="n">
        <v>8.529999999999999</v>
      </c>
      <c r="AE297" t="n">
        <v>0</v>
      </c>
      <c r="AF297" t="n">
        <v>0</v>
      </c>
      <c r="AG297" t="n">
        <v>0</v>
      </c>
      <c r="AH297" t="n">
        <v>8.529999999999999</v>
      </c>
      <c r="AI297" t="n">
        <v>1</v>
      </c>
      <c r="AJ297" t="n">
        <v>1</v>
      </c>
      <c r="AK297" t="n">
        <v>1</v>
      </c>
      <c r="AL297" t="n">
        <v>1</v>
      </c>
      <c r="AM297" t="n">
        <v>-2</v>
      </c>
      <c r="AN297" t="n">
        <v>0</v>
      </c>
      <c r="AO297" t="n">
        <v>1</v>
      </c>
      <c r="AP297" t="n">
        <v>0</v>
      </c>
      <c r="AQ297" t="n">
        <v>0</v>
      </c>
      <c r="AR297" t="n">
        <v>0</v>
      </c>
      <c r="AS297" t="inlineStr"/>
      <c r="AT297" t="n">
        <v>37.8</v>
      </c>
      <c r="AU297" t="inlineStr"/>
      <c r="AV297" t="n">
        <v>1</v>
      </c>
      <c r="AW297" t="n">
        <v>2</v>
      </c>
      <c r="AX297" t="n">
        <v>78870875</v>
      </c>
      <c r="AY297" t="n">
        <v>1</v>
      </c>
      <c r="AZ297" t="n">
        <v>0</v>
      </c>
      <c r="BA297" t="n">
        <v>274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U297">
        <f>ROUND(AT297*Source!I605*AH297*AL297,0)</f>
        <v/>
      </c>
      <c r="CV297">
        <f>ROUND(Y297*Source!I605,7)</f>
        <v/>
      </c>
      <c r="CW297" t="n">
        <v>0</v>
      </c>
      <c r="CX297">
        <f>ROUND(Y297*Source!I605,7)</f>
        <v/>
      </c>
      <c r="CY297">
        <f>AD297</f>
        <v/>
      </c>
      <c r="CZ297">
        <f>AH297</f>
        <v/>
      </c>
      <c r="DA297">
        <f>AL297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DI297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ROW(Source!A606)</f>
        <v/>
      </c>
      <c r="B298" t="n">
        <v>78869116</v>
      </c>
      <c r="C298" t="n">
        <v>78870876</v>
      </c>
      <c r="D298" t="n">
        <v>18413627</v>
      </c>
      <c r="E298" t="n">
        <v>1</v>
      </c>
      <c r="F298" t="n">
        <v>1</v>
      </c>
      <c r="G298" t="n">
        <v>1</v>
      </c>
      <c r="H298" t="n">
        <v>1</v>
      </c>
      <c r="I298" t="inlineStr">
        <is>
          <t>1-1042-90</t>
        </is>
      </c>
      <c r="J298" t="inlineStr"/>
      <c r="K298" t="inlineStr">
        <is>
          <t>Рабочий строитель среднего разряда 4,2</t>
        </is>
      </c>
      <c r="L298" t="n">
        <v>1369</v>
      </c>
      <c r="N298" t="n">
        <v>1013</v>
      </c>
      <c r="O298" t="inlineStr">
        <is>
          <t>чел.-ч</t>
        </is>
      </c>
      <c r="P298" t="inlineStr">
        <is>
          <t>чел.-ч</t>
        </is>
      </c>
      <c r="Q298" t="n">
        <v>1</v>
      </c>
      <c r="W298" t="n">
        <v>0</v>
      </c>
      <c r="X298" t="n">
        <v>-1366182279</v>
      </c>
      <c r="Y298">
        <f>AT298</f>
        <v/>
      </c>
      <c r="AA298" t="n">
        <v>0</v>
      </c>
      <c r="AB298" t="n">
        <v>0</v>
      </c>
      <c r="AC298" t="n">
        <v>0</v>
      </c>
      <c r="AD298" t="n">
        <v>9.92</v>
      </c>
      <c r="AE298" t="n">
        <v>0</v>
      </c>
      <c r="AF298" t="n">
        <v>0</v>
      </c>
      <c r="AG298" t="n">
        <v>0</v>
      </c>
      <c r="AH298" t="n">
        <v>9.92</v>
      </c>
      <c r="AI298" t="n">
        <v>1</v>
      </c>
      <c r="AJ298" t="n">
        <v>1</v>
      </c>
      <c r="AK298" t="n">
        <v>1</v>
      </c>
      <c r="AL298" t="n">
        <v>1</v>
      </c>
      <c r="AM298" t="n">
        <v>-2</v>
      </c>
      <c r="AN298" t="n">
        <v>0</v>
      </c>
      <c r="AO298" t="n">
        <v>1</v>
      </c>
      <c r="AP298" t="n">
        <v>0</v>
      </c>
      <c r="AQ298" t="n">
        <v>0</v>
      </c>
      <c r="AR298" t="n">
        <v>0</v>
      </c>
      <c r="AS298" t="inlineStr"/>
      <c r="AT298" t="n">
        <v>121.8</v>
      </c>
      <c r="AU298" t="inlineStr"/>
      <c r="AV298" t="n">
        <v>1</v>
      </c>
      <c r="AW298" t="n">
        <v>2</v>
      </c>
      <c r="AX298" t="n">
        <v>78870892</v>
      </c>
      <c r="AY298" t="n">
        <v>1</v>
      </c>
      <c r="AZ298" t="n">
        <v>0</v>
      </c>
      <c r="BA298" t="n">
        <v>275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U298">
        <f>ROUND(AT298*Source!I606*AH298*AL298,0)</f>
        <v/>
      </c>
      <c r="CV298">
        <f>ROUND(Y298*Source!I606,7)</f>
        <v/>
      </c>
      <c r="CW298" t="n">
        <v>0</v>
      </c>
      <c r="CX298">
        <f>ROUND(Y298*Source!I606,7)</f>
        <v/>
      </c>
      <c r="CY298">
        <f>AD298</f>
        <v/>
      </c>
      <c r="CZ298">
        <f>AH298</f>
        <v/>
      </c>
      <c r="DA298">
        <f>AL298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DI298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ROW(Source!A606)</f>
        <v/>
      </c>
      <c r="B299" t="n">
        <v>78869116</v>
      </c>
      <c r="C299" t="n">
        <v>78870876</v>
      </c>
      <c r="D299" t="n">
        <v>121548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2</t>
        </is>
      </c>
      <c r="J299" t="inlineStr"/>
      <c r="K299" t="inlineStr">
        <is>
          <t>Затраты труда машинистов</t>
        </is>
      </c>
      <c r="L299" t="n">
        <v>608254</v>
      </c>
      <c r="N299" t="n">
        <v>1013</v>
      </c>
      <c r="O299" t="inlineStr">
        <is>
          <t>чел.час</t>
        </is>
      </c>
      <c r="P299" t="inlineStr">
        <is>
          <t>чел.час</t>
        </is>
      </c>
      <c r="Q299" t="n">
        <v>1</v>
      </c>
      <c r="W299" t="n">
        <v>0</v>
      </c>
      <c r="X299" t="n">
        <v>-185737400</v>
      </c>
      <c r="Y299">
        <f>AT299</f>
        <v/>
      </c>
      <c r="AA299" t="n">
        <v>0</v>
      </c>
      <c r="AB299" t="n">
        <v>0</v>
      </c>
      <c r="AC299" t="n">
        <v>0</v>
      </c>
      <c r="AD299" t="n">
        <v>0</v>
      </c>
      <c r="AE299" t="n">
        <v>0</v>
      </c>
      <c r="AF299" t="n">
        <v>0</v>
      </c>
      <c r="AG299" t="n">
        <v>0</v>
      </c>
      <c r="AH299" t="n">
        <v>0</v>
      </c>
      <c r="AI299" t="n">
        <v>1</v>
      </c>
      <c r="AJ299" t="n">
        <v>1</v>
      </c>
      <c r="AK299" t="n">
        <v>1</v>
      </c>
      <c r="AL299" t="n">
        <v>1</v>
      </c>
      <c r="AM299" t="n">
        <v>-2</v>
      </c>
      <c r="AN299" t="n">
        <v>0</v>
      </c>
      <c r="AO299" t="n">
        <v>1</v>
      </c>
      <c r="AP299" t="n">
        <v>0</v>
      </c>
      <c r="AQ299" t="n">
        <v>0</v>
      </c>
      <c r="AR299" t="n">
        <v>0</v>
      </c>
      <c r="AS299" t="inlineStr"/>
      <c r="AT299" t="n">
        <v>4.72</v>
      </c>
      <c r="AU299" t="inlineStr"/>
      <c r="AV299" t="n">
        <v>2</v>
      </c>
      <c r="AW299" t="n">
        <v>2</v>
      </c>
      <c r="AX299" t="n">
        <v>78870893</v>
      </c>
      <c r="AY299" t="n">
        <v>1</v>
      </c>
      <c r="AZ299" t="n">
        <v>0</v>
      </c>
      <c r="BA299" t="n">
        <v>276</v>
      </c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ROUND(Y299*Source!I606,7)</f>
        <v/>
      </c>
      <c r="CY299">
        <f>AD299</f>
        <v/>
      </c>
      <c r="CZ299">
        <f>AH299</f>
        <v/>
      </c>
      <c r="DA299">
        <f>AL299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DI299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ROW(Source!A606)</f>
        <v/>
      </c>
      <c r="B300" t="n">
        <v>78869116</v>
      </c>
      <c r="C300" t="n">
        <v>78870876</v>
      </c>
      <c r="D300" t="n">
        <v>29172268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020129</t>
        </is>
      </c>
      <c r="J300" t="inlineStr">
        <is>
          <t>ТСЭМ Московской обл., 020129, приказ Минстроя России №675/пр от 28.02.2017 № 264/пр</t>
        </is>
      </c>
      <c r="K300" t="inlineStr">
        <is>
          <t>Краны башенные при работе на других видах строительства 8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W300" t="n">
        <v>0</v>
      </c>
      <c r="X300" t="n">
        <v>-438066613</v>
      </c>
      <c r="Y300">
        <f>AT300</f>
        <v/>
      </c>
      <c r="AA300" t="n">
        <v>0</v>
      </c>
      <c r="AB300" t="n">
        <v>1211.33</v>
      </c>
      <c r="AC300" t="n">
        <v>705.38</v>
      </c>
      <c r="AD300" t="n">
        <v>0</v>
      </c>
      <c r="AE300" t="n">
        <v>0</v>
      </c>
      <c r="AF300" t="n">
        <v>86.40000000000001</v>
      </c>
      <c r="AG300" t="n">
        <v>13.5</v>
      </c>
      <c r="AH300" t="n">
        <v>0</v>
      </c>
      <c r="AI300" t="n">
        <v>1</v>
      </c>
      <c r="AJ300" t="n">
        <v>14.02</v>
      </c>
      <c r="AK300" t="n">
        <v>52.25</v>
      </c>
      <c r="AL300" t="n">
        <v>1</v>
      </c>
      <c r="AM300" t="n">
        <v>2</v>
      </c>
      <c r="AN300" t="n">
        <v>0</v>
      </c>
      <c r="AO300" t="n">
        <v>1</v>
      </c>
      <c r="AP300" t="n">
        <v>0</v>
      </c>
      <c r="AQ300" t="n">
        <v>0</v>
      </c>
      <c r="AR300" t="n">
        <v>0</v>
      </c>
      <c r="AS300" t="inlineStr"/>
      <c r="AT300" t="n">
        <v>0.05</v>
      </c>
      <c r="AU300" t="inlineStr"/>
      <c r="AV300" t="n">
        <v>0</v>
      </c>
      <c r="AW300" t="n">
        <v>2</v>
      </c>
      <c r="AX300" t="n">
        <v>78870894</v>
      </c>
      <c r="AY300" t="n">
        <v>1</v>
      </c>
      <c r="AZ300" t="n">
        <v>0</v>
      </c>
      <c r="BA300" t="n">
        <v>277</v>
      </c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>
        <f>ROUND(Y300*Source!I606*DO300,7)</f>
        <v/>
      </c>
      <c r="CX300">
        <f>ROUND(Y300*Source!I606,7)</f>
        <v/>
      </c>
      <c r="CY300">
        <f>AB300</f>
        <v/>
      </c>
      <c r="CZ300">
        <f>AF300</f>
        <v/>
      </c>
      <c r="DA300">
        <f>AJ300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ROUND(ROUND(AE300,0)*CX300,0)</f>
        <v/>
      </c>
      <c r="DG300">
        <f>ROUND(ROUND(AF300*AJ300,0)*CX300,0)</f>
        <v/>
      </c>
      <c r="DH300">
        <f>ROUND(ROUND(AG300*AK300,0)*CX300,0)</f>
        <v/>
      </c>
      <c r="DI300">
        <f>ROUND(ROUND(AH300,0)*CX300,0)</f>
        <v/>
      </c>
      <c r="DJ300">
        <f>DG300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ROW(Source!A606)</f>
        <v/>
      </c>
      <c r="B301" t="n">
        <v>78869116</v>
      </c>
      <c r="C301" t="n">
        <v>78870876</v>
      </c>
      <c r="D301" t="n">
        <v>29172379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021141</t>
        </is>
      </c>
      <c r="J301" t="inlineStr">
        <is>
          <t>ТСЭМ Московской обл., 021141, приказ Минстроя России №675/пр от 28.02.2017 № 264/пр</t>
        </is>
      </c>
      <c r="K301" t="inlineStr">
        <is>
          <t>Краны на автомобильном ходу при работе на других видах строительства 10 т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W301" t="n">
        <v>0</v>
      </c>
      <c r="X301" t="n">
        <v>1106923569</v>
      </c>
      <c r="Y301">
        <f>AT301</f>
        <v/>
      </c>
      <c r="AA301" t="n">
        <v>0</v>
      </c>
      <c r="AB301" t="n">
        <v>1490.72</v>
      </c>
      <c r="AC301" t="n">
        <v>705.38</v>
      </c>
      <c r="AD301" t="n">
        <v>0</v>
      </c>
      <c r="AE301" t="n">
        <v>0</v>
      </c>
      <c r="AF301" t="n">
        <v>112</v>
      </c>
      <c r="AG301" t="n">
        <v>13.5</v>
      </c>
      <c r="AH301" t="n">
        <v>0</v>
      </c>
      <c r="AI301" t="n">
        <v>1</v>
      </c>
      <c r="AJ301" t="n">
        <v>13.31</v>
      </c>
      <c r="AK301" t="n">
        <v>52.25</v>
      </c>
      <c r="AL301" t="n">
        <v>1</v>
      </c>
      <c r="AM301" t="n">
        <v>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0.03</v>
      </c>
      <c r="AU301" t="inlineStr"/>
      <c r="AV301" t="n">
        <v>0</v>
      </c>
      <c r="AW301" t="n">
        <v>2</v>
      </c>
      <c r="AX301" t="n">
        <v>78870895</v>
      </c>
      <c r="AY301" t="n">
        <v>1</v>
      </c>
      <c r="AZ301" t="n">
        <v>0</v>
      </c>
      <c r="BA301" t="n">
        <v>278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V301" t="n">
        <v>0</v>
      </c>
      <c r="CW301">
        <f>ROUND(Y301*Source!I606*DO301,7)</f>
        <v/>
      </c>
      <c r="CX301">
        <f>ROUND(Y301*Source!I606,7)</f>
        <v/>
      </c>
      <c r="CY301">
        <f>AB301</f>
        <v/>
      </c>
      <c r="CZ301">
        <f>AF301</f>
        <v/>
      </c>
      <c r="DA301">
        <f>AJ301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ROUND(ROUND(AF301*AJ301,0)*CX301,0)</f>
        <v/>
      </c>
      <c r="DH301">
        <f>ROUND(ROUND(AG301*AK301,0)*CX301,0)</f>
        <v/>
      </c>
      <c r="DI301">
        <f>ROUND(ROUND(AH301,0)*CX301,0)</f>
        <v/>
      </c>
      <c r="DJ301">
        <f>DG301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ROW(Source!A606)</f>
        <v/>
      </c>
      <c r="B302" t="n">
        <v>78869116</v>
      </c>
      <c r="C302" t="n">
        <v>78870876</v>
      </c>
      <c r="D302" t="n">
        <v>29172951</v>
      </c>
      <c r="E302" t="n">
        <v>1</v>
      </c>
      <c r="F302" t="n">
        <v>1</v>
      </c>
      <c r="G302" t="n">
        <v>1</v>
      </c>
      <c r="H302" t="n">
        <v>2</v>
      </c>
      <c r="I302" t="inlineStr">
        <is>
          <t>081600</t>
        </is>
      </c>
      <c r="J302" t="inlineStr">
        <is>
          <t>ТСЭМ Московской обл., 081600, приказ Минстроя России №675/пр от 28.02.2017 № 264/пр</t>
        </is>
      </c>
      <c r="K302" t="inlineStr">
        <is>
          <t>Агрегаты для сварки полиэтиленовых труб</t>
        </is>
      </c>
      <c r="L302" t="n">
        <v>1368</v>
      </c>
      <c r="N302" t="n">
        <v>1011</v>
      </c>
      <c r="O302" t="inlineStr">
        <is>
          <t>маш.-ч</t>
        </is>
      </c>
      <c r="P302" t="inlineStr">
        <is>
          <t>маш.-ч</t>
        </is>
      </c>
      <c r="Q302" t="n">
        <v>1</v>
      </c>
      <c r="W302" t="n">
        <v>0</v>
      </c>
      <c r="X302" t="n">
        <v>1994325455</v>
      </c>
      <c r="Y302">
        <f>AT302</f>
        <v/>
      </c>
      <c r="AA302" t="n">
        <v>0</v>
      </c>
      <c r="AB302" t="n">
        <v>1193.19</v>
      </c>
      <c r="AC302" t="n">
        <v>705.38</v>
      </c>
      <c r="AD302" t="n">
        <v>0</v>
      </c>
      <c r="AE302" t="n">
        <v>0</v>
      </c>
      <c r="AF302" t="n">
        <v>100.1</v>
      </c>
      <c r="AG302" t="n">
        <v>13.5</v>
      </c>
      <c r="AH302" t="n">
        <v>0</v>
      </c>
      <c r="AI302" t="n">
        <v>1</v>
      </c>
      <c r="AJ302" t="n">
        <v>11.92</v>
      </c>
      <c r="AK302" t="n">
        <v>52.25</v>
      </c>
      <c r="AL302" t="n">
        <v>1</v>
      </c>
      <c r="AM302" t="n">
        <v>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4.64</v>
      </c>
      <c r="AU302" t="inlineStr"/>
      <c r="AV302" t="n">
        <v>0</v>
      </c>
      <c r="AW302" t="n">
        <v>2</v>
      </c>
      <c r="AX302" t="n">
        <v>78870896</v>
      </c>
      <c r="AY302" t="n">
        <v>1</v>
      </c>
      <c r="AZ302" t="n">
        <v>0</v>
      </c>
      <c r="BA302" t="n">
        <v>279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>
        <f>ROUND(Y302*Source!I606*DO302,7)</f>
        <v/>
      </c>
      <c r="CX302">
        <f>ROUND(Y302*Source!I606,7)</f>
        <v/>
      </c>
      <c r="CY302">
        <f>AB302</f>
        <v/>
      </c>
      <c r="CZ302">
        <f>AF302</f>
        <v/>
      </c>
      <c r="DA302">
        <f>AJ302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ROUND(ROUND(AF302*AJ302,0)*CX302,0)</f>
        <v/>
      </c>
      <c r="DH302">
        <f>ROUND(ROUND(AG302*AK302,0)*CX302,0)</f>
        <v/>
      </c>
      <c r="DI302">
        <f>ROUND(ROUND(AH302,0)*CX302,0)</f>
        <v/>
      </c>
      <c r="DJ302">
        <f>DG302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ROW(Source!A606)</f>
        <v/>
      </c>
      <c r="B303" t="n">
        <v>78869116</v>
      </c>
      <c r="C303" t="n">
        <v>78870876</v>
      </c>
      <c r="D303" t="n">
        <v>29174913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400001</t>
        </is>
      </c>
      <c r="J303" t="inlineStr">
        <is>
          <t>ТСЭМ Московской обл., 400001, приказ Минстроя России №675/пр от 28.02.2017 № 264/пр</t>
        </is>
      </c>
      <c r="K303" t="inlineStr">
        <is>
          <t>Автомобили бортовые, грузоподъемность до 5 т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1230759911</v>
      </c>
      <c r="Y303">
        <f>AT303</f>
        <v/>
      </c>
      <c r="AA303" t="n">
        <v>0</v>
      </c>
      <c r="AB303" t="n">
        <v>2177.51</v>
      </c>
      <c r="AC303" t="n">
        <v>606.1</v>
      </c>
      <c r="AD303" t="n">
        <v>0</v>
      </c>
      <c r="AE303" t="n">
        <v>0</v>
      </c>
      <c r="AF303" t="n">
        <v>87.17</v>
      </c>
      <c r="AG303" t="n">
        <v>11.6</v>
      </c>
      <c r="AH303" t="n">
        <v>0</v>
      </c>
      <c r="AI303" t="n">
        <v>1</v>
      </c>
      <c r="AJ303" t="n">
        <v>24.98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0.22</v>
      </c>
      <c r="AU303" t="inlineStr"/>
      <c r="AV303" t="n">
        <v>0</v>
      </c>
      <c r="AW303" t="n">
        <v>2</v>
      </c>
      <c r="AX303" t="n">
        <v>78870897</v>
      </c>
      <c r="AY303" t="n">
        <v>1</v>
      </c>
      <c r="AZ303" t="n">
        <v>0</v>
      </c>
      <c r="BA303" t="n">
        <v>280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ROUND(Y303*Source!I606*DO303,7)</f>
        <v/>
      </c>
      <c r="CX303">
        <f>ROUND(Y303*Source!I606,7)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ROW(Source!A606)</f>
        <v/>
      </c>
      <c r="B304" t="n">
        <v>78869116</v>
      </c>
      <c r="C304" t="n">
        <v>78870876</v>
      </c>
      <c r="D304" t="n">
        <v>29114425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101-0137</t>
        </is>
      </c>
      <c r="J304" t="inlineStr">
        <is>
          <t>ТССЦ Московской обл., 101-0137, приказ Минстроя России №675/пр от 28.02.2017 № 254/пр</t>
        </is>
      </c>
      <c r="K304" t="inlineStr">
        <is>
          <t>Дюбели с калиброванной головкой (в обоймах) 3х58,5 мм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-1847793032</v>
      </c>
      <c r="Y304">
        <f>AT304</f>
        <v/>
      </c>
      <c r="AA304" t="n">
        <v>84141.34</v>
      </c>
      <c r="AB304" t="n">
        <v>0</v>
      </c>
      <c r="AC304" t="n">
        <v>0</v>
      </c>
      <c r="AD304" t="n">
        <v>0</v>
      </c>
      <c r="AE304" t="n">
        <v>22558</v>
      </c>
      <c r="AF304" t="n">
        <v>0</v>
      </c>
      <c r="AG304" t="n">
        <v>0</v>
      </c>
      <c r="AH304" t="n">
        <v>0</v>
      </c>
      <c r="AI304" t="n">
        <v>3.73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0.00051</v>
      </c>
      <c r="AU304" t="inlineStr"/>
      <c r="AV304" t="n">
        <v>0</v>
      </c>
      <c r="AW304" t="n">
        <v>2</v>
      </c>
      <c r="AX304" t="n">
        <v>78870898</v>
      </c>
      <c r="AY304" t="n">
        <v>1</v>
      </c>
      <c r="AZ304" t="n">
        <v>0</v>
      </c>
      <c r="BA304" t="n">
        <v>281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ROUND(Y304*Source!I606,7)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ROW(Source!A606)</f>
        <v/>
      </c>
      <c r="B305" t="n">
        <v>78869116</v>
      </c>
      <c r="C305" t="n">
        <v>78870876</v>
      </c>
      <c r="D305" t="n">
        <v>29109382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101-0329</t>
        </is>
      </c>
      <c r="J305" t="inlineStr">
        <is>
          <t>ТССЦ Московской обл., 101-0329, приказ Минстроя России №675/пр от 28.02.2017 № 254/пр</t>
        </is>
      </c>
      <c r="K305" t="inlineStr">
        <is>
          <t>Клей 88-СА</t>
        </is>
      </c>
      <c r="L305" t="n">
        <v>1346</v>
      </c>
      <c r="N305" t="n">
        <v>1009</v>
      </c>
      <c r="O305" t="inlineStr">
        <is>
          <t>кг</t>
        </is>
      </c>
      <c r="P305" t="inlineStr">
        <is>
          <t>кг</t>
        </is>
      </c>
      <c r="Q305" t="n">
        <v>1</v>
      </c>
      <c r="W305" t="n">
        <v>0</v>
      </c>
      <c r="X305" t="n">
        <v>342338703</v>
      </c>
      <c r="Y305">
        <f>AT305</f>
        <v/>
      </c>
      <c r="AA305" t="n">
        <v>477.06</v>
      </c>
      <c r="AB305" t="n">
        <v>0</v>
      </c>
      <c r="AC305" t="n">
        <v>0</v>
      </c>
      <c r="AD305" t="n">
        <v>0</v>
      </c>
      <c r="AE305" t="n">
        <v>28.93</v>
      </c>
      <c r="AF305" t="n">
        <v>0</v>
      </c>
      <c r="AG305" t="n">
        <v>0</v>
      </c>
      <c r="AH305" t="n">
        <v>0</v>
      </c>
      <c r="AI305" t="n">
        <v>16.49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0.17</v>
      </c>
      <c r="AU305" t="inlineStr"/>
      <c r="AV305" t="n">
        <v>0</v>
      </c>
      <c r="AW305" t="n">
        <v>2</v>
      </c>
      <c r="AX305" t="n">
        <v>78870899</v>
      </c>
      <c r="AY305" t="n">
        <v>1</v>
      </c>
      <c r="AZ305" t="n">
        <v>0</v>
      </c>
      <c r="BA305" t="n">
        <v>282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ROUND(Y305*Source!I606,7)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ROW(Source!A606)</f>
        <v/>
      </c>
      <c r="B306" t="n">
        <v>78869116</v>
      </c>
      <c r="C306" t="n">
        <v>78870876</v>
      </c>
      <c r="D306" t="n">
        <v>29107972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101-1680</t>
        </is>
      </c>
      <c r="J306" t="inlineStr">
        <is>
          <t>ТССЦ Московской обл., 101-1680, приказ Минстроя России №675/пр от 28.02.2017 № 254/пр</t>
        </is>
      </c>
      <c r="K306" t="inlineStr">
        <is>
          <t>Патроны для строительно-монтажного пистолета</t>
        </is>
      </c>
      <c r="L306" t="n">
        <v>1356</v>
      </c>
      <c r="N306" t="n">
        <v>1010</v>
      </c>
      <c r="O306" t="inlineStr">
        <is>
          <t>1000 шт.</t>
        </is>
      </c>
      <c r="P306" t="inlineStr">
        <is>
          <t>1000 шт.</t>
        </is>
      </c>
      <c r="Q306" t="n">
        <v>1000</v>
      </c>
      <c r="W306" t="n">
        <v>0</v>
      </c>
      <c r="X306" t="n">
        <v>110535374</v>
      </c>
      <c r="Y306">
        <f>AT306</f>
        <v/>
      </c>
      <c r="AA306" t="n">
        <v>4642</v>
      </c>
      <c r="AB306" t="n">
        <v>0</v>
      </c>
      <c r="AC306" t="n">
        <v>0</v>
      </c>
      <c r="AD306" t="n">
        <v>0</v>
      </c>
      <c r="AE306" t="n">
        <v>253.8</v>
      </c>
      <c r="AF306" t="n">
        <v>0</v>
      </c>
      <c r="AG306" t="n">
        <v>0</v>
      </c>
      <c r="AH306" t="n">
        <v>0</v>
      </c>
      <c r="AI306" t="n">
        <v>18.29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0.06</v>
      </c>
      <c r="AU306" t="inlineStr"/>
      <c r="AV306" t="n">
        <v>0</v>
      </c>
      <c r="AW306" t="n">
        <v>2</v>
      </c>
      <c r="AX306" t="n">
        <v>78870900</v>
      </c>
      <c r="AY306" t="n">
        <v>1</v>
      </c>
      <c r="AZ306" t="n">
        <v>0</v>
      </c>
      <c r="BA306" t="n">
        <v>283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ROUND(Y306*Source!I606,7)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ROW(Source!A606)</f>
        <v/>
      </c>
      <c r="B307" t="n">
        <v>78869116</v>
      </c>
      <c r="C307" t="n">
        <v>78870876</v>
      </c>
      <c r="D307" t="n">
        <v>29112620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101-1700</t>
        </is>
      </c>
      <c r="J307" t="inlineStr">
        <is>
          <t>ТССЦ Московской обл., 101-1700, приказ Минстроя России №675/пр от 28.02.2017 № 254/пр</t>
        </is>
      </c>
      <c r="K307" t="inlineStr">
        <is>
          <t>Наконечники для полиэтиленовых труб</t>
        </is>
      </c>
      <c r="L307" t="n">
        <v>1346</v>
      </c>
      <c r="N307" t="n">
        <v>1009</v>
      </c>
      <c r="O307" t="inlineStr">
        <is>
          <t>кг</t>
        </is>
      </c>
      <c r="P307" t="inlineStr">
        <is>
          <t>кг</t>
        </is>
      </c>
      <c r="Q307" t="n">
        <v>1</v>
      </c>
      <c r="W307" t="n">
        <v>0</v>
      </c>
      <c r="X307" t="n">
        <v>-2067002353</v>
      </c>
      <c r="Y307">
        <f>AT307</f>
        <v/>
      </c>
      <c r="AA307" t="n">
        <v>54.27</v>
      </c>
      <c r="AB307" t="n">
        <v>0</v>
      </c>
      <c r="AC307" t="n">
        <v>0</v>
      </c>
      <c r="AD307" t="n">
        <v>0</v>
      </c>
      <c r="AE307" t="n">
        <v>25.01</v>
      </c>
      <c r="AF307" t="n">
        <v>0</v>
      </c>
      <c r="AG307" t="n">
        <v>0</v>
      </c>
      <c r="AH307" t="n">
        <v>0</v>
      </c>
      <c r="AI307" t="n">
        <v>2.17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0.33</v>
      </c>
      <c r="AU307" t="inlineStr"/>
      <c r="AV307" t="n">
        <v>0</v>
      </c>
      <c r="AW307" t="n">
        <v>2</v>
      </c>
      <c r="AX307" t="n">
        <v>78870901</v>
      </c>
      <c r="AY307" t="n">
        <v>1</v>
      </c>
      <c r="AZ307" t="n">
        <v>0</v>
      </c>
      <c r="BA307" t="n">
        <v>284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ROUND(Y307*Source!I606,7)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ROW(Source!A606)</f>
        <v/>
      </c>
      <c r="B308" t="n">
        <v>78869116</v>
      </c>
      <c r="C308" t="n">
        <v>78870876</v>
      </c>
      <c r="D308" t="n">
        <v>29122510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113-0473</t>
        </is>
      </c>
      <c r="J308" t="inlineStr">
        <is>
          <t>ТССЦ Московской обл., 113-0473, приказ Минстроя России №675/пр от 28.02.2017 № 254/пр</t>
        </is>
      </c>
      <c r="K308" t="inlineStr">
        <is>
          <t>Метиленхлорид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W308" t="n">
        <v>0</v>
      </c>
      <c r="X308" t="n">
        <v>-773887630</v>
      </c>
      <c r="Y308">
        <f>AT308</f>
        <v/>
      </c>
      <c r="AA308" t="n">
        <v>352.8</v>
      </c>
      <c r="AB308" t="n">
        <v>0</v>
      </c>
      <c r="AC308" t="n">
        <v>0</v>
      </c>
      <c r="AD308" t="n">
        <v>0</v>
      </c>
      <c r="AE308" t="n">
        <v>120</v>
      </c>
      <c r="AF308" t="n">
        <v>0</v>
      </c>
      <c r="AG308" t="n">
        <v>0</v>
      </c>
      <c r="AH308" t="n">
        <v>0</v>
      </c>
      <c r="AI308" t="n">
        <v>2.94</v>
      </c>
      <c r="AJ308" t="n">
        <v>1</v>
      </c>
      <c r="AK308" t="n">
        <v>1</v>
      </c>
      <c r="AL308" t="n">
        <v>1</v>
      </c>
      <c r="AM308" t="n">
        <v>2</v>
      </c>
      <c r="AN308" t="n">
        <v>0</v>
      </c>
      <c r="AO308" t="n">
        <v>1</v>
      </c>
      <c r="AP308" t="n">
        <v>0</v>
      </c>
      <c r="AQ308" t="n">
        <v>0</v>
      </c>
      <c r="AR308" t="n">
        <v>0</v>
      </c>
      <c r="AS308" t="inlineStr"/>
      <c r="AT308" t="n">
        <v>0.2</v>
      </c>
      <c r="AU308" t="inlineStr"/>
      <c r="AV308" t="n">
        <v>0</v>
      </c>
      <c r="AW308" t="n">
        <v>2</v>
      </c>
      <c r="AX308" t="n">
        <v>78870903</v>
      </c>
      <c r="AY308" t="n">
        <v>1</v>
      </c>
      <c r="AZ308" t="n">
        <v>0</v>
      </c>
      <c r="BA308" t="n">
        <v>286</v>
      </c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ROUND(Y308*Source!I606,7)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ROW(Source!A606)</f>
        <v/>
      </c>
      <c r="B309" t="n">
        <v>78869116</v>
      </c>
      <c r="C309" t="n">
        <v>78870876</v>
      </c>
      <c r="D309" t="n">
        <v>29143379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302-0063</t>
        </is>
      </c>
      <c r="J309" t="inlineStr">
        <is>
          <t>ТССЦ Московской обл., 302-0063, приказ Минстроя России №675/пр от 28.02.2017 № 256/пр</t>
        </is>
      </c>
      <c r="K309" t="inlineStr">
        <is>
          <t>Кран шаровый муфтовый Valtec для воды диаметром 20 мм, тип в/в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W309" t="n">
        <v>0</v>
      </c>
      <c r="X309" t="n">
        <v>1037232740</v>
      </c>
      <c r="Y309">
        <f>AT309</f>
        <v/>
      </c>
      <c r="AA309" t="n">
        <v>585.1</v>
      </c>
      <c r="AB309" t="n">
        <v>0</v>
      </c>
      <c r="AC309" t="n">
        <v>0</v>
      </c>
      <c r="AD309" t="n">
        <v>0</v>
      </c>
      <c r="AE309" t="n">
        <v>42.46</v>
      </c>
      <c r="AF309" t="n">
        <v>0</v>
      </c>
      <c r="AG309" t="n">
        <v>0</v>
      </c>
      <c r="AH309" t="n">
        <v>0</v>
      </c>
      <c r="AI309" t="n">
        <v>13.78</v>
      </c>
      <c r="AJ309" t="n">
        <v>1</v>
      </c>
      <c r="AK309" t="n">
        <v>1</v>
      </c>
      <c r="AL309" t="n">
        <v>1</v>
      </c>
      <c r="AM309" t="n">
        <v>0</v>
      </c>
      <c r="AN309" t="n">
        <v>0</v>
      </c>
      <c r="AO309" t="n">
        <v>0</v>
      </c>
      <c r="AP309" t="n">
        <v>1</v>
      </c>
      <c r="AQ309" t="n">
        <v>0</v>
      </c>
      <c r="AR309" t="n">
        <v>0</v>
      </c>
      <c r="AS309" t="inlineStr"/>
      <c r="AT309" t="n">
        <v>12.5</v>
      </c>
      <c r="AU309" t="inlineStr"/>
      <c r="AV309" t="n">
        <v>0</v>
      </c>
      <c r="AW309" t="n">
        <v>1</v>
      </c>
      <c r="AX309" t="n">
        <v>-1</v>
      </c>
      <c r="AY309" t="n">
        <v>0</v>
      </c>
      <c r="AZ309" t="n">
        <v>0</v>
      </c>
      <c r="BA309" t="inlineStr"/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V309" t="n">
        <v>0</v>
      </c>
      <c r="CW309" t="n">
        <v>0</v>
      </c>
      <c r="CX309">
        <f>ROUND(Y309*Source!I606,7)</f>
        <v/>
      </c>
      <c r="CY309">
        <f>AA309</f>
        <v/>
      </c>
      <c r="CZ309">
        <f>AE309</f>
        <v/>
      </c>
      <c r="DA309">
        <f>AI309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ROUND(ROUND(AE309*AI309,0)*CX309,0)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DF309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ROW(Source!A606)</f>
        <v/>
      </c>
      <c r="B310" t="n">
        <v>78869116</v>
      </c>
      <c r="C310" t="n">
        <v>78870876</v>
      </c>
      <c r="D310" t="n">
        <v>29149246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405-1601</t>
        </is>
      </c>
      <c r="J310" t="inlineStr">
        <is>
          <t>ТССЦ Московской обл., 405-1601, приказ Минстроя России №675/пр от 28.02.2017 № 257/пр</t>
        </is>
      </c>
      <c r="K310" t="inlineStr">
        <is>
          <t>Известь строительная негашеная хлорная, марки А</t>
        </is>
      </c>
      <c r="L310" t="n">
        <v>1346</v>
      </c>
      <c r="N310" t="n">
        <v>1009</v>
      </c>
      <c r="O310" t="inlineStr">
        <is>
          <t>кг</t>
        </is>
      </c>
      <c r="P310" t="inlineStr">
        <is>
          <t>кг</t>
        </is>
      </c>
      <c r="Q310" t="n">
        <v>1</v>
      </c>
      <c r="W310" t="n">
        <v>0</v>
      </c>
      <c r="X310" t="n">
        <v>-823040862</v>
      </c>
      <c r="Y310">
        <f>AT310</f>
        <v/>
      </c>
      <c r="AA310" t="n">
        <v>7.87</v>
      </c>
      <c r="AB310" t="n">
        <v>0</v>
      </c>
      <c r="AC310" t="n">
        <v>0</v>
      </c>
      <c r="AD310" t="n">
        <v>0</v>
      </c>
      <c r="AE310" t="n">
        <v>2.15</v>
      </c>
      <c r="AF310" t="n">
        <v>0</v>
      </c>
      <c r="AG310" t="n">
        <v>0</v>
      </c>
      <c r="AH310" t="n">
        <v>0</v>
      </c>
      <c r="AI310" t="n">
        <v>3.66</v>
      </c>
      <c r="AJ310" t="n">
        <v>1</v>
      </c>
      <c r="AK310" t="n">
        <v>1</v>
      </c>
      <c r="AL310" t="n">
        <v>1</v>
      </c>
      <c r="AM310" t="n">
        <v>2</v>
      </c>
      <c r="AN310" t="n">
        <v>0</v>
      </c>
      <c r="AO310" t="n">
        <v>1</v>
      </c>
      <c r="AP310" t="n">
        <v>0</v>
      </c>
      <c r="AQ310" t="n">
        <v>0</v>
      </c>
      <c r="AR310" t="n">
        <v>0</v>
      </c>
      <c r="AS310" t="inlineStr"/>
      <c r="AT310" t="n">
        <v>0.004</v>
      </c>
      <c r="AU310" t="inlineStr"/>
      <c r="AV310" t="n">
        <v>0</v>
      </c>
      <c r="AW310" t="n">
        <v>2</v>
      </c>
      <c r="AX310" t="n">
        <v>78870906</v>
      </c>
      <c r="AY310" t="n">
        <v>1</v>
      </c>
      <c r="AZ310" t="n">
        <v>0</v>
      </c>
      <c r="BA310" t="n">
        <v>289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 t="n">
        <v>0</v>
      </c>
      <c r="CX310">
        <f>ROUND(Y310*Source!I606,7)</f>
        <v/>
      </c>
      <c r="CY310">
        <f>AA310</f>
        <v/>
      </c>
      <c r="CZ310">
        <f>AE310</f>
        <v/>
      </c>
      <c r="DA310">
        <f>AI310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ROUND(ROUND(AE310*AI310,0)*CX310,0)</f>
        <v/>
      </c>
      <c r="DG310">
        <f>ROUND(ROUND(AF310,0)*CX310,0)</f>
        <v/>
      </c>
      <c r="DH310">
        <f>ROUND(ROUND(AG310,0)*CX310,0)</f>
        <v/>
      </c>
      <c r="DI310">
        <f>ROUND(ROUND(AH310,0)*CX310,0)</f>
        <v/>
      </c>
      <c r="DJ310">
        <f>DF310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ROW(Source!A606)</f>
        <v/>
      </c>
      <c r="B311" t="n">
        <v>78869116</v>
      </c>
      <c r="C311" t="n">
        <v>78870876</v>
      </c>
      <c r="D311" t="n">
        <v>29150040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411-0001</t>
        </is>
      </c>
      <c r="J311" t="inlineStr">
        <is>
          <t>ТССЦ Московской обл., 411-0001, приказ Минстроя России №675/пр от 28.02.2017 № 257/пр</t>
        </is>
      </c>
      <c r="K311" t="inlineStr">
        <is>
          <t>Вода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W311" t="n">
        <v>0</v>
      </c>
      <c r="X311" t="n">
        <v>619799737</v>
      </c>
      <c r="Y311">
        <f>AT311</f>
        <v/>
      </c>
      <c r="AA311" t="n">
        <v>31.28</v>
      </c>
      <c r="AB311" t="n">
        <v>0</v>
      </c>
      <c r="AC311" t="n">
        <v>0</v>
      </c>
      <c r="AD311" t="n">
        <v>0</v>
      </c>
      <c r="AE311" t="n">
        <v>2.44</v>
      </c>
      <c r="AF311" t="n">
        <v>0</v>
      </c>
      <c r="AG311" t="n">
        <v>0</v>
      </c>
      <c r="AH311" t="n">
        <v>0</v>
      </c>
      <c r="AI311" t="n">
        <v>12.82</v>
      </c>
      <c r="AJ311" t="n">
        <v>1</v>
      </c>
      <c r="AK311" t="n">
        <v>1</v>
      </c>
      <c r="AL311" t="n">
        <v>1</v>
      </c>
      <c r="AM311" t="n">
        <v>2</v>
      </c>
      <c r="AN311" t="n">
        <v>0</v>
      </c>
      <c r="AO311" t="n">
        <v>1</v>
      </c>
      <c r="AP311" t="n">
        <v>0</v>
      </c>
      <c r="AQ311" t="n">
        <v>0</v>
      </c>
      <c r="AR311" t="n">
        <v>0</v>
      </c>
      <c r="AS311" t="inlineStr"/>
      <c r="AT311" t="n">
        <v>1.21</v>
      </c>
      <c r="AU311" t="inlineStr"/>
      <c r="AV311" t="n">
        <v>0</v>
      </c>
      <c r="AW311" t="n">
        <v>2</v>
      </c>
      <c r="AX311" t="n">
        <v>78870907</v>
      </c>
      <c r="AY311" t="n">
        <v>1</v>
      </c>
      <c r="AZ311" t="n">
        <v>0</v>
      </c>
      <c r="BA311" t="n">
        <v>290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 t="n">
        <v>0</v>
      </c>
      <c r="CX311">
        <f>ROUND(Y311*Source!I606,7)</f>
        <v/>
      </c>
      <c r="CY311">
        <f>AA311</f>
        <v/>
      </c>
      <c r="CZ311">
        <f>AE311</f>
        <v/>
      </c>
      <c r="DA311">
        <f>AI311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ROUND(ROUND(AE311*AI311,0)*CX311,0)</f>
        <v/>
      </c>
      <c r="DG311">
        <f>ROUND(ROUND(AF311,0)*CX311,0)</f>
        <v/>
      </c>
      <c r="DH311">
        <f>ROUND(ROUND(AG311,0)*CX311,0)</f>
        <v/>
      </c>
      <c r="DI311">
        <f>ROUND(ROUND(AH311,0)*CX311,0)</f>
        <v/>
      </c>
      <c r="DJ311">
        <f>DF311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ROW(Source!A606)</f>
        <v/>
      </c>
      <c r="B312" t="n">
        <v>78869116</v>
      </c>
      <c r="C312" t="n">
        <v>78870876</v>
      </c>
      <c r="D312" t="n">
        <v>29158419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507-3642</t>
        </is>
      </c>
      <c r="J312" t="inlineStr">
        <is>
          <t>ТССЦ Московской обл., 507-3642, приказ Минстроя России №675/пр от 28.02.2017 № 258/пр</t>
        </is>
      </c>
      <c r="K312" t="inlineStr">
        <is>
          <t>Труба напорная из полиэтилена PE 100 питьевая ПЭ100 SDR11, размером 32х3,0 мм (ГОСТ 18599-2001, ГОСТ Р 52134-2003)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W312" t="n">
        <v>0</v>
      </c>
      <c r="X312" t="n">
        <v>-829717903</v>
      </c>
      <c r="Y312">
        <f>AT312</f>
        <v/>
      </c>
      <c r="AA312" t="n">
        <v>49.03</v>
      </c>
      <c r="AB312" t="n">
        <v>0</v>
      </c>
      <c r="AC312" t="n">
        <v>0</v>
      </c>
      <c r="AD312" t="n">
        <v>0</v>
      </c>
      <c r="AE312" t="n">
        <v>16.29</v>
      </c>
      <c r="AF312" t="n">
        <v>0</v>
      </c>
      <c r="AG312" t="n">
        <v>0</v>
      </c>
      <c r="AH312" t="n">
        <v>0</v>
      </c>
      <c r="AI312" t="n">
        <v>3.01</v>
      </c>
      <c r="AJ312" t="n">
        <v>1</v>
      </c>
      <c r="AK312" t="n">
        <v>1</v>
      </c>
      <c r="AL312" t="n">
        <v>1</v>
      </c>
      <c r="AM312" t="n">
        <v>2</v>
      </c>
      <c r="AN312" t="n">
        <v>0</v>
      </c>
      <c r="AO312" t="n">
        <v>1</v>
      </c>
      <c r="AP312" t="n">
        <v>0</v>
      </c>
      <c r="AQ312" t="n">
        <v>0</v>
      </c>
      <c r="AR312" t="n">
        <v>0</v>
      </c>
      <c r="AS312" t="inlineStr"/>
      <c r="AT312" t="n">
        <v>93.8</v>
      </c>
      <c r="AU312" t="inlineStr"/>
      <c r="AV312" t="n">
        <v>0</v>
      </c>
      <c r="AW312" t="n">
        <v>2</v>
      </c>
      <c r="AX312" t="n">
        <v>78870908</v>
      </c>
      <c r="AY312" t="n">
        <v>1</v>
      </c>
      <c r="AZ312" t="n">
        <v>0</v>
      </c>
      <c r="BA312" t="n">
        <v>291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 t="n">
        <v>0</v>
      </c>
      <c r="CX312">
        <f>ROUND(Y312*Source!I606,7)</f>
        <v/>
      </c>
      <c r="CY312">
        <f>AA312</f>
        <v/>
      </c>
      <c r="CZ312">
        <f>AE312</f>
        <v/>
      </c>
      <c r="DA312">
        <f>AI312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ROUND(ROUND(AE312*AI312,0)*CX312,0)</f>
        <v/>
      </c>
      <c r="DG312">
        <f>ROUND(ROUND(AF312,0)*CX312,0)</f>
        <v/>
      </c>
      <c r="DH312">
        <f>ROUND(ROUND(AG312,0)*CX312,0)</f>
        <v/>
      </c>
      <c r="DI312">
        <f>ROUND(ROUND(AH312,0)*CX312,0)</f>
        <v/>
      </c>
      <c r="DJ312">
        <f>DF312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ROW(Source!A606)</f>
        <v/>
      </c>
      <c r="B313" t="n">
        <v>78869116</v>
      </c>
      <c r="C313" t="n">
        <v>78870876</v>
      </c>
      <c r="D313" t="n">
        <v>29159169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507-5009</t>
        </is>
      </c>
      <c r="J313" t="inlineStr">
        <is>
          <t>ТССЦ Московской обл., 507-5009, приказ Минстроя России №675/пр от 28.02.2017 № 258/пр</t>
        </is>
      </c>
      <c r="K313" t="inlineStr">
        <is>
          <t>Муфта полипропиленовая соединительная диаметром 32 мм</t>
        </is>
      </c>
      <c r="L313" t="n">
        <v>1358</v>
      </c>
      <c r="N313" t="n">
        <v>1010</v>
      </c>
      <c r="O313" t="inlineStr">
        <is>
          <t>10 шт.</t>
        </is>
      </c>
      <c r="P313" t="inlineStr">
        <is>
          <t>10 шт.</t>
        </is>
      </c>
      <c r="Q313" t="n">
        <v>10</v>
      </c>
      <c r="W313" t="n">
        <v>0</v>
      </c>
      <c r="X313" t="n">
        <v>-1186610544</v>
      </c>
      <c r="Y313">
        <f>AT313</f>
        <v/>
      </c>
      <c r="AA313" t="n">
        <v>133.92</v>
      </c>
      <c r="AB313" t="n">
        <v>0</v>
      </c>
      <c r="AC313" t="n">
        <v>0</v>
      </c>
      <c r="AD313" t="n">
        <v>0</v>
      </c>
      <c r="AE313" t="n">
        <v>13.5</v>
      </c>
      <c r="AF313" t="n">
        <v>0</v>
      </c>
      <c r="AG313" t="n">
        <v>0</v>
      </c>
      <c r="AH313" t="n">
        <v>0</v>
      </c>
      <c r="AI313" t="n">
        <v>9.92</v>
      </c>
      <c r="AJ313" t="n">
        <v>1</v>
      </c>
      <c r="AK313" t="n">
        <v>1</v>
      </c>
      <c r="AL313" t="n">
        <v>1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  <c r="AS313" t="inlineStr"/>
      <c r="AT313" t="n">
        <v>1.25</v>
      </c>
      <c r="AU313" t="inlineStr"/>
      <c r="AV313" t="n">
        <v>0</v>
      </c>
      <c r="AW313" t="n">
        <v>1</v>
      </c>
      <c r="AX313" t="n">
        <v>-1</v>
      </c>
      <c r="AY313" t="n">
        <v>0</v>
      </c>
      <c r="AZ313" t="n">
        <v>0</v>
      </c>
      <c r="BA313" t="inlineStr"/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ROUND(Y313*Source!I606,7)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ROW(Source!A606)</f>
        <v/>
      </c>
      <c r="B314" t="n">
        <v>78869116</v>
      </c>
      <c r="C314" t="n">
        <v>78870876</v>
      </c>
      <c r="D314" t="n">
        <v>29159176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507-5016</t>
        </is>
      </c>
      <c r="J314" t="inlineStr">
        <is>
          <t>ТССЦ Московской обл., 507-5016, приказ Минстроя России №675/пр от 28.02.2017 № 258/пр</t>
        </is>
      </c>
      <c r="K314" t="inlineStr">
        <is>
          <t>Муфта полипропиленовая комбинированная, с внутренней резьбой диаметром 20х1/2"</t>
        </is>
      </c>
      <c r="L314" t="n">
        <v>1358</v>
      </c>
      <c r="N314" t="n">
        <v>1010</v>
      </c>
      <c r="O314" t="inlineStr">
        <is>
          <t>10 шт.</t>
        </is>
      </c>
      <c r="P314" t="inlineStr">
        <is>
          <t>10 шт.</t>
        </is>
      </c>
      <c r="Q314" t="n">
        <v>10</v>
      </c>
      <c r="W314" t="n">
        <v>0</v>
      </c>
      <c r="X314" t="n">
        <v>153523957</v>
      </c>
      <c r="Y314">
        <f>AT314</f>
        <v/>
      </c>
      <c r="AA314" t="n">
        <v>342.9</v>
      </c>
      <c r="AB314" t="n">
        <v>0</v>
      </c>
      <c r="AC314" t="n">
        <v>0</v>
      </c>
      <c r="AD314" t="n">
        <v>0</v>
      </c>
      <c r="AE314" t="n">
        <v>63.5</v>
      </c>
      <c r="AF314" t="n">
        <v>0</v>
      </c>
      <c r="AG314" t="n">
        <v>0</v>
      </c>
      <c r="AH314" t="n">
        <v>0</v>
      </c>
      <c r="AI314" t="n">
        <v>5.4</v>
      </c>
      <c r="AJ314" t="n">
        <v>1</v>
      </c>
      <c r="AK314" t="n">
        <v>1</v>
      </c>
      <c r="AL314" t="n">
        <v>1</v>
      </c>
      <c r="AM314" t="n">
        <v>0</v>
      </c>
      <c r="AN314" t="n">
        <v>0</v>
      </c>
      <c r="AO314" t="n">
        <v>0</v>
      </c>
      <c r="AP314" t="n">
        <v>1</v>
      </c>
      <c r="AQ314" t="n">
        <v>0</v>
      </c>
      <c r="AR314" t="n">
        <v>0</v>
      </c>
      <c r="AS314" t="inlineStr"/>
      <c r="AT314" t="n">
        <v>1.25</v>
      </c>
      <c r="AU314" t="inlineStr"/>
      <c r="AV314" t="n">
        <v>0</v>
      </c>
      <c r="AW314" t="n">
        <v>1</v>
      </c>
      <c r="AX314" t="n">
        <v>-1</v>
      </c>
      <c r="AY314" t="n">
        <v>0</v>
      </c>
      <c r="AZ314" t="n">
        <v>0</v>
      </c>
      <c r="BA314" t="inlineStr"/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ROUND(Y314*Source!I606,7)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ROW(Source!A606)</f>
        <v/>
      </c>
      <c r="B315" t="n">
        <v>78869116</v>
      </c>
      <c r="C315" t="n">
        <v>78870876</v>
      </c>
      <c r="D315" t="n">
        <v>29159182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507-5022</t>
        </is>
      </c>
      <c r="J315" t="inlineStr">
        <is>
          <t>ТССЦ Московской обл., 507-5022, приказ Минстроя России №675/пр от 28.02.2017 № 258/пр</t>
        </is>
      </c>
      <c r="K315" t="inlineStr">
        <is>
          <t>Муфта полипропиленовая комбинированная, с внутренней резьбой диаметром 32х1/2"</t>
        </is>
      </c>
      <c r="L315" t="n">
        <v>1358</v>
      </c>
      <c r="N315" t="n">
        <v>1010</v>
      </c>
      <c r="O315" t="inlineStr">
        <is>
          <t>10 шт.</t>
        </is>
      </c>
      <c r="P315" t="inlineStr">
        <is>
          <t>10 шт.</t>
        </is>
      </c>
      <c r="Q315" t="n">
        <v>10</v>
      </c>
      <c r="W315" t="n">
        <v>0</v>
      </c>
      <c r="X315" t="n">
        <v>-386966031</v>
      </c>
      <c r="Y315">
        <f>AT315</f>
        <v/>
      </c>
      <c r="AA315" t="n">
        <v>556.51</v>
      </c>
      <c r="AB315" t="n">
        <v>0</v>
      </c>
      <c r="AC315" t="n">
        <v>0</v>
      </c>
      <c r="AD315" t="n">
        <v>0</v>
      </c>
      <c r="AE315" t="n">
        <v>74.8</v>
      </c>
      <c r="AF315" t="n">
        <v>0</v>
      </c>
      <c r="AG315" t="n">
        <v>0</v>
      </c>
      <c r="AH315" t="n">
        <v>0</v>
      </c>
      <c r="AI315" t="n">
        <v>7.44</v>
      </c>
      <c r="AJ315" t="n">
        <v>1</v>
      </c>
      <c r="AK315" t="n">
        <v>1</v>
      </c>
      <c r="AL315" t="n">
        <v>1</v>
      </c>
      <c r="AM315" t="n">
        <v>0</v>
      </c>
      <c r="AN315" t="n">
        <v>0</v>
      </c>
      <c r="AO315" t="n">
        <v>0</v>
      </c>
      <c r="AP315" t="n">
        <v>1</v>
      </c>
      <c r="AQ315" t="n">
        <v>0</v>
      </c>
      <c r="AR315" t="n">
        <v>0</v>
      </c>
      <c r="AS315" t="inlineStr"/>
      <c r="AT315" t="n">
        <v>1.25</v>
      </c>
      <c r="AU315" t="inlineStr"/>
      <c r="AV315" t="n">
        <v>0</v>
      </c>
      <c r="AW315" t="n">
        <v>1</v>
      </c>
      <c r="AX315" t="n">
        <v>-1</v>
      </c>
      <c r="AY315" t="n">
        <v>0</v>
      </c>
      <c r="AZ315" t="n">
        <v>0</v>
      </c>
      <c r="BA315" t="inlineStr"/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ROUND(Y315*Source!I606,7)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ROW(Source!A611)</f>
        <v/>
      </c>
      <c r="B316" t="n">
        <v>78869116</v>
      </c>
      <c r="C316" t="n">
        <v>78870919</v>
      </c>
      <c r="D316" t="n">
        <v>18410280</v>
      </c>
      <c r="E316" t="n">
        <v>1</v>
      </c>
      <c r="F316" t="n">
        <v>1</v>
      </c>
      <c r="G316" t="n">
        <v>1</v>
      </c>
      <c r="H316" t="n">
        <v>1</v>
      </c>
      <c r="I316" t="inlineStr">
        <is>
          <t>1-1039-90</t>
        </is>
      </c>
      <c r="J316" t="inlineStr"/>
      <c r="K316" t="inlineStr">
        <is>
          <t>Рабочий строитель среднего разряда 3,9</t>
        </is>
      </c>
      <c r="L316" t="n">
        <v>1369</v>
      </c>
      <c r="N316" t="n">
        <v>1013</v>
      </c>
      <c r="O316" t="inlineStr">
        <is>
          <t>чел.-ч</t>
        </is>
      </c>
      <c r="P316" t="inlineStr">
        <is>
          <t>чел.-ч</t>
        </is>
      </c>
      <c r="Q316" t="n">
        <v>1</v>
      </c>
      <c r="W316" t="n">
        <v>0</v>
      </c>
      <c r="X316" t="n">
        <v>-464685602</v>
      </c>
      <c r="Y316">
        <f>AT316</f>
        <v/>
      </c>
      <c r="AA316" t="n">
        <v>0</v>
      </c>
      <c r="AB316" t="n">
        <v>0</v>
      </c>
      <c r="AC316" t="n">
        <v>0</v>
      </c>
      <c r="AD316" t="n">
        <v>9.51</v>
      </c>
      <c r="AE316" t="n">
        <v>0</v>
      </c>
      <c r="AF316" t="n">
        <v>0</v>
      </c>
      <c r="AG316" t="n">
        <v>0</v>
      </c>
      <c r="AH316" t="n">
        <v>9.51</v>
      </c>
      <c r="AI316" t="n">
        <v>1</v>
      </c>
      <c r="AJ316" t="n">
        <v>1</v>
      </c>
      <c r="AK316" t="n">
        <v>1</v>
      </c>
      <c r="AL316" t="n">
        <v>1</v>
      </c>
      <c r="AM316" t="n">
        <v>-2</v>
      </c>
      <c r="AN316" t="n">
        <v>0</v>
      </c>
      <c r="AO316" t="n">
        <v>1</v>
      </c>
      <c r="AP316" t="n">
        <v>0</v>
      </c>
      <c r="AQ316" t="n">
        <v>0</v>
      </c>
      <c r="AR316" t="n">
        <v>0</v>
      </c>
      <c r="AS316" t="inlineStr"/>
      <c r="AT316" t="n">
        <v>71</v>
      </c>
      <c r="AU316" t="inlineStr"/>
      <c r="AV316" t="n">
        <v>1</v>
      </c>
      <c r="AW316" t="n">
        <v>2</v>
      </c>
      <c r="AX316" t="n">
        <v>78870928</v>
      </c>
      <c r="AY316" t="n">
        <v>1</v>
      </c>
      <c r="AZ316" t="n">
        <v>0</v>
      </c>
      <c r="BA316" t="n">
        <v>292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U316">
        <f>ROUND(AT316*Source!I611*AH316*AL316,0)</f>
        <v/>
      </c>
      <c r="CV316">
        <f>ROUND(Y316*Source!I611,7)</f>
        <v/>
      </c>
      <c r="CW316" t="n">
        <v>0</v>
      </c>
      <c r="CX316">
        <f>ROUND(Y316*Source!I611,7)</f>
        <v/>
      </c>
      <c r="CY316">
        <f>AD316</f>
        <v/>
      </c>
      <c r="CZ316">
        <f>AH316</f>
        <v/>
      </c>
      <c r="DA316">
        <f>AL316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DI316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ROW(Source!A611)</f>
        <v/>
      </c>
      <c r="B317" t="n">
        <v>78869116</v>
      </c>
      <c r="C317" t="n">
        <v>78870919</v>
      </c>
      <c r="D317" t="n">
        <v>121548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2</t>
        </is>
      </c>
      <c r="J317" t="inlineStr"/>
      <c r="K317" t="inlineStr">
        <is>
          <t>Затраты труда машинистов</t>
        </is>
      </c>
      <c r="L317" t="n">
        <v>608254</v>
      </c>
      <c r="N317" t="n">
        <v>1013</v>
      </c>
      <c r="O317" t="inlineStr">
        <is>
          <t>чел.час</t>
        </is>
      </c>
      <c r="P317" t="inlineStr">
        <is>
          <t>чел.час</t>
        </is>
      </c>
      <c r="Q317" t="n">
        <v>1</v>
      </c>
      <c r="W317" t="n">
        <v>0</v>
      </c>
      <c r="X317" t="n">
        <v>-185737400</v>
      </c>
      <c r="Y317">
        <f>AT317</f>
        <v/>
      </c>
      <c r="AA317" t="n">
        <v>0</v>
      </c>
      <c r="AB317" t="n">
        <v>0</v>
      </c>
      <c r="AC317" t="n">
        <v>0</v>
      </c>
      <c r="AD317" t="n">
        <v>0</v>
      </c>
      <c r="AE317" t="n">
        <v>0</v>
      </c>
      <c r="AF317" t="n">
        <v>0</v>
      </c>
      <c r="AG317" t="n">
        <v>0</v>
      </c>
      <c r="AH317" t="n">
        <v>0</v>
      </c>
      <c r="AI317" t="n">
        <v>1</v>
      </c>
      <c r="AJ317" t="n">
        <v>1</v>
      </c>
      <c r="AK317" t="n">
        <v>1</v>
      </c>
      <c r="AL317" t="n">
        <v>1</v>
      </c>
      <c r="AM317" t="n">
        <v>-2</v>
      </c>
      <c r="AN317" t="n">
        <v>0</v>
      </c>
      <c r="AO317" t="n">
        <v>1</v>
      </c>
      <c r="AP317" t="n">
        <v>0</v>
      </c>
      <c r="AQ317" t="n">
        <v>0</v>
      </c>
      <c r="AR317" t="n">
        <v>0</v>
      </c>
      <c r="AS317" t="inlineStr"/>
      <c r="AT317" t="n">
        <v>0.11</v>
      </c>
      <c r="AU317" t="inlineStr"/>
      <c r="AV317" t="n">
        <v>2</v>
      </c>
      <c r="AW317" t="n">
        <v>2</v>
      </c>
      <c r="AX317" t="n">
        <v>78870929</v>
      </c>
      <c r="AY317" t="n">
        <v>1</v>
      </c>
      <c r="AZ317" t="n">
        <v>0</v>
      </c>
      <c r="BA317" t="n">
        <v>293</v>
      </c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ROUND(Y317*Source!I611,7)</f>
        <v/>
      </c>
      <c r="CY317">
        <f>AD317</f>
        <v/>
      </c>
      <c r="CZ317">
        <f>AH317</f>
        <v/>
      </c>
      <c r="DA317">
        <f>AL317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DI317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ROW(Source!A611)</f>
        <v/>
      </c>
      <c r="B318" t="n">
        <v>78869116</v>
      </c>
      <c r="C318" t="n">
        <v>78870919</v>
      </c>
      <c r="D318" t="n">
        <v>29172556</v>
      </c>
      <c r="E318" t="n">
        <v>1</v>
      </c>
      <c r="F318" t="n">
        <v>1</v>
      </c>
      <c r="G318" t="n">
        <v>1</v>
      </c>
      <c r="H318" t="n">
        <v>2</v>
      </c>
      <c r="I318" t="inlineStr">
        <is>
          <t>030954</t>
        </is>
      </c>
      <c r="J318" t="inlineStr">
        <is>
          <t>ТСЭМ Московской обл., 030954, приказ Минстроя России №675/пр от 28.02.2017 № 264/пр</t>
        </is>
      </c>
      <c r="K318" t="inlineStr">
        <is>
          <t>Подъемники грузоподъемностью до 500 кг одномачтовые, высота подъема 45 м</t>
        </is>
      </c>
      <c r="L318" t="n">
        <v>1368</v>
      </c>
      <c r="N318" t="n">
        <v>1011</v>
      </c>
      <c r="O318" t="inlineStr">
        <is>
          <t>маш.-ч</t>
        </is>
      </c>
      <c r="P318" t="inlineStr">
        <is>
          <t>маш.-ч</t>
        </is>
      </c>
      <c r="Q318" t="n">
        <v>1</v>
      </c>
      <c r="W318" t="n">
        <v>0</v>
      </c>
      <c r="X318" t="n">
        <v>344519037</v>
      </c>
      <c r="Y318">
        <f>AT318</f>
        <v/>
      </c>
      <c r="AA318" t="n">
        <v>0</v>
      </c>
      <c r="AB318" t="n">
        <v>728.98</v>
      </c>
      <c r="AC318" t="n">
        <v>705.38</v>
      </c>
      <c r="AD318" t="n">
        <v>0</v>
      </c>
      <c r="AE318" t="n">
        <v>0</v>
      </c>
      <c r="AF318" t="n">
        <v>31.26</v>
      </c>
      <c r="AG318" t="n">
        <v>13.5</v>
      </c>
      <c r="AH318" t="n">
        <v>0</v>
      </c>
      <c r="AI318" t="n">
        <v>1</v>
      </c>
      <c r="AJ318" t="n">
        <v>23.32</v>
      </c>
      <c r="AK318" t="n">
        <v>52.25</v>
      </c>
      <c r="AL318" t="n">
        <v>1</v>
      </c>
      <c r="AM318" t="n">
        <v>2</v>
      </c>
      <c r="AN318" t="n">
        <v>0</v>
      </c>
      <c r="AO318" t="n">
        <v>1</v>
      </c>
      <c r="AP318" t="n">
        <v>0</v>
      </c>
      <c r="AQ318" t="n">
        <v>0</v>
      </c>
      <c r="AR318" t="n">
        <v>0</v>
      </c>
      <c r="AS318" t="inlineStr"/>
      <c r="AT318" t="n">
        <v>0.11</v>
      </c>
      <c r="AU318" t="inlineStr"/>
      <c r="AV318" t="n">
        <v>0</v>
      </c>
      <c r="AW318" t="n">
        <v>2</v>
      </c>
      <c r="AX318" t="n">
        <v>78870930</v>
      </c>
      <c r="AY318" t="n">
        <v>1</v>
      </c>
      <c r="AZ318" t="n">
        <v>0</v>
      </c>
      <c r="BA318" t="n">
        <v>294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>
        <f>ROUND(Y318*Source!I611*DO318,7)</f>
        <v/>
      </c>
      <c r="CX318">
        <f>ROUND(Y318*Source!I611,7)</f>
        <v/>
      </c>
      <c r="CY318">
        <f>AB318</f>
        <v/>
      </c>
      <c r="CZ318">
        <f>AF318</f>
        <v/>
      </c>
      <c r="DA318">
        <f>AJ318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ROUND(ROUND(AE318,0)*CX318,0)</f>
        <v/>
      </c>
      <c r="DG318">
        <f>ROUND(ROUND(AF318*AJ318,0)*CX318,0)</f>
        <v/>
      </c>
      <c r="DH318">
        <f>ROUND(ROUND(AG318*AK318,0)*CX318,0)</f>
        <v/>
      </c>
      <c r="DI318">
        <f>ROUND(ROUND(AH318,0)*CX318,0)</f>
        <v/>
      </c>
      <c r="DJ318">
        <f>DG318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ROW(Source!A611)</f>
        <v/>
      </c>
      <c r="B319" t="n">
        <v>78869116</v>
      </c>
      <c r="C319" t="n">
        <v>78870919</v>
      </c>
      <c r="D319" t="n">
        <v>29110398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101-0388</t>
        </is>
      </c>
      <c r="J319" t="inlineStr">
        <is>
          <t>ТССЦ Московской обл., 101-0388, приказ Минстроя России №675/пр от 28.02.2017 № 254/пр</t>
        </is>
      </c>
      <c r="K319" t="inlineStr">
        <is>
          <t>Краски масляные земляные марки МА-0115 мумия, сурик железный</t>
        </is>
      </c>
      <c r="L319" t="n">
        <v>1348</v>
      </c>
      <c r="N319" t="n">
        <v>1009</v>
      </c>
      <c r="O319" t="inlineStr">
        <is>
          <t>т</t>
        </is>
      </c>
      <c r="P319" t="inlineStr">
        <is>
          <t>т</t>
        </is>
      </c>
      <c r="Q319" t="n">
        <v>1000</v>
      </c>
      <c r="W319" t="n">
        <v>0</v>
      </c>
      <c r="X319" t="n">
        <v>1625292450</v>
      </c>
      <c r="Y319">
        <f>AT319</f>
        <v/>
      </c>
      <c r="AA319" t="n">
        <v>76804.47</v>
      </c>
      <c r="AB319" t="n">
        <v>0</v>
      </c>
      <c r="AC319" t="n">
        <v>0</v>
      </c>
      <c r="AD319" t="n">
        <v>0</v>
      </c>
      <c r="AE319" t="n">
        <v>15118.99</v>
      </c>
      <c r="AF319" t="n">
        <v>0</v>
      </c>
      <c r="AG319" t="n">
        <v>0</v>
      </c>
      <c r="AH319" t="n">
        <v>0</v>
      </c>
      <c r="AI319" t="n">
        <v>5.08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0</v>
      </c>
      <c r="AQ319" t="n">
        <v>0</v>
      </c>
      <c r="AR319" t="n">
        <v>0</v>
      </c>
      <c r="AS319" t="inlineStr"/>
      <c r="AT319" t="n">
        <v>0.0013</v>
      </c>
      <c r="AU319" t="inlineStr"/>
      <c r="AV319" t="n">
        <v>0</v>
      </c>
      <c r="AW319" t="n">
        <v>2</v>
      </c>
      <c r="AX319" t="n">
        <v>78870931</v>
      </c>
      <c r="AY319" t="n">
        <v>1</v>
      </c>
      <c r="AZ319" t="n">
        <v>0</v>
      </c>
      <c r="BA319" t="n">
        <v>295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ROUND(Y319*Source!I611,7)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ROW(Source!A611)</f>
        <v/>
      </c>
      <c r="B320" t="n">
        <v>78869116</v>
      </c>
      <c r="C320" t="n">
        <v>78870919</v>
      </c>
      <c r="D320" t="n">
        <v>29110573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101-0628</t>
        </is>
      </c>
      <c r="J320" t="inlineStr">
        <is>
          <t>ТССЦ Московской обл., 101-0628, приказ Минстроя России №675/пр от 28.02.2017 № 254/пр</t>
        </is>
      </c>
      <c r="K320" t="inlineStr">
        <is>
          <t>Олифа комбинированная, марки К-3</t>
        </is>
      </c>
      <c r="L320" t="n">
        <v>1348</v>
      </c>
      <c r="N320" t="n">
        <v>1009</v>
      </c>
      <c r="O320" t="inlineStr">
        <is>
          <t>т</t>
        </is>
      </c>
      <c r="P320" t="inlineStr">
        <is>
          <t>т</t>
        </is>
      </c>
      <c r="Q320" t="n">
        <v>1000</v>
      </c>
      <c r="W320" t="n">
        <v>0</v>
      </c>
      <c r="X320" t="n">
        <v>24062879</v>
      </c>
      <c r="Y320">
        <f>AT320</f>
        <v/>
      </c>
      <c r="AA320" t="n">
        <v>87631.5</v>
      </c>
      <c r="AB320" t="n">
        <v>0</v>
      </c>
      <c r="AC320" t="n">
        <v>0</v>
      </c>
      <c r="AD320" t="n">
        <v>0</v>
      </c>
      <c r="AE320" t="n">
        <v>16950</v>
      </c>
      <c r="AF320" t="n">
        <v>0</v>
      </c>
      <c r="AG320" t="n">
        <v>0</v>
      </c>
      <c r="AH320" t="n">
        <v>0</v>
      </c>
      <c r="AI320" t="n">
        <v>5.17</v>
      </c>
      <c r="AJ320" t="n">
        <v>1</v>
      </c>
      <c r="AK320" t="n">
        <v>1</v>
      </c>
      <c r="AL320" t="n">
        <v>1</v>
      </c>
      <c r="AM320" t="n">
        <v>2</v>
      </c>
      <c r="AN320" t="n">
        <v>0</v>
      </c>
      <c r="AO320" t="n">
        <v>1</v>
      </c>
      <c r="AP320" t="n">
        <v>0</v>
      </c>
      <c r="AQ320" t="n">
        <v>0</v>
      </c>
      <c r="AR320" t="n">
        <v>0</v>
      </c>
      <c r="AS320" t="inlineStr"/>
      <c r="AT320" t="n">
        <v>0.0024</v>
      </c>
      <c r="AU320" t="inlineStr"/>
      <c r="AV320" t="n">
        <v>0</v>
      </c>
      <c r="AW320" t="n">
        <v>2</v>
      </c>
      <c r="AX320" t="n">
        <v>78870932</v>
      </c>
      <c r="AY320" t="n">
        <v>1</v>
      </c>
      <c r="AZ320" t="n">
        <v>0</v>
      </c>
      <c r="BA320" t="n">
        <v>296</v>
      </c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ROUND(Y320*Source!I611,7)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ROW(Source!A611)</f>
        <v/>
      </c>
      <c r="B321" t="n">
        <v>78869116</v>
      </c>
      <c r="C321" t="n">
        <v>78870919</v>
      </c>
      <c r="D321" t="n">
        <v>29107963</v>
      </c>
      <c r="E321" t="n">
        <v>1</v>
      </c>
      <c r="F321" t="n">
        <v>1</v>
      </c>
      <c r="G321" t="n">
        <v>1</v>
      </c>
      <c r="H321" t="n">
        <v>3</v>
      </c>
      <c r="I321" t="inlineStr">
        <is>
          <t>101-1669</t>
        </is>
      </c>
      <c r="J321" t="inlineStr">
        <is>
          <t>ТССЦ Московской обл., 101-1669, приказ Минстроя России №675/пр от 28.02.2017 № 254/пр</t>
        </is>
      </c>
      <c r="K321" t="inlineStr">
        <is>
          <t>Очес льняной</t>
        </is>
      </c>
      <c r="L321" t="n">
        <v>1346</v>
      </c>
      <c r="N321" t="n">
        <v>1009</v>
      </c>
      <c r="O321" t="inlineStr">
        <is>
          <t>кг</t>
        </is>
      </c>
      <c r="P321" t="inlineStr">
        <is>
          <t>кг</t>
        </is>
      </c>
      <c r="Q321" t="n">
        <v>1</v>
      </c>
      <c r="W321" t="n">
        <v>0</v>
      </c>
      <c r="X321" t="n">
        <v>-2113933962</v>
      </c>
      <c r="Y321">
        <f>AT321</f>
        <v/>
      </c>
      <c r="AA321" t="n">
        <v>590.67</v>
      </c>
      <c r="AB321" t="n">
        <v>0</v>
      </c>
      <c r="AC321" t="n">
        <v>0</v>
      </c>
      <c r="AD321" t="n">
        <v>0</v>
      </c>
      <c r="AE321" t="n">
        <v>37.29</v>
      </c>
      <c r="AF321" t="n">
        <v>0</v>
      </c>
      <c r="AG321" t="n">
        <v>0</v>
      </c>
      <c r="AH321" t="n">
        <v>0</v>
      </c>
      <c r="AI321" t="n">
        <v>15.84</v>
      </c>
      <c r="AJ321" t="n">
        <v>1</v>
      </c>
      <c r="AK321" t="n">
        <v>1</v>
      </c>
      <c r="AL321" t="n">
        <v>1</v>
      </c>
      <c r="AM321" t="n">
        <v>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0.5600000000000001</v>
      </c>
      <c r="AU321" t="inlineStr"/>
      <c r="AV321" t="n">
        <v>0</v>
      </c>
      <c r="AW321" t="n">
        <v>2</v>
      </c>
      <c r="AX321" t="n">
        <v>78870933</v>
      </c>
      <c r="AY321" t="n">
        <v>1</v>
      </c>
      <c r="AZ321" t="n">
        <v>0</v>
      </c>
      <c r="BA321" t="n">
        <v>297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V321" t="n">
        <v>0</v>
      </c>
      <c r="CW321" t="n">
        <v>0</v>
      </c>
      <c r="CX321">
        <f>ROUND(Y321*Source!I611,7)</f>
        <v/>
      </c>
      <c r="CY321">
        <f>AA321</f>
        <v/>
      </c>
      <c r="CZ321">
        <f>AE321</f>
        <v/>
      </c>
      <c r="DA321">
        <f>AI321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ROUND(ROUND(AE321*AI321,0)*CX321,0)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DF321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ROW(Source!A611)</f>
        <v/>
      </c>
      <c r="B322" t="n">
        <v>78869116</v>
      </c>
      <c r="C322" t="n">
        <v>78870919</v>
      </c>
      <c r="D322" t="n">
        <v>29144224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302-1241</t>
        </is>
      </c>
      <c r="J322" t="inlineStr">
        <is>
          <t>ТССЦ Московской обл., 302-1241, приказ Минстроя России №675/пр от 28.02.2017 № 256/пр</t>
        </is>
      </c>
      <c r="K322" t="inlineStr">
        <is>
          <t>Сгоны стальные с муфтой и контргайкой, диаметром 50 мм</t>
        </is>
      </c>
      <c r="L322" t="n">
        <v>1354</v>
      </c>
      <c r="N322" t="n">
        <v>1010</v>
      </c>
      <c r="O322" t="inlineStr">
        <is>
          <t>шт.</t>
        </is>
      </c>
      <c r="P322" t="inlineStr">
        <is>
          <t>шт.</t>
        </is>
      </c>
      <c r="Q322" t="n">
        <v>1</v>
      </c>
      <c r="W322" t="n">
        <v>1</v>
      </c>
      <c r="X322" t="n">
        <v>-1108176549</v>
      </c>
      <c r="Y322">
        <f>AT322</f>
        <v/>
      </c>
      <c r="AA322" t="n">
        <v>391.55</v>
      </c>
      <c r="AB322" t="n">
        <v>0</v>
      </c>
      <c r="AC322" t="n">
        <v>0</v>
      </c>
      <c r="AD322" t="n">
        <v>0</v>
      </c>
      <c r="AE322" t="n">
        <v>28.58</v>
      </c>
      <c r="AF322" t="n">
        <v>0</v>
      </c>
      <c r="AG322" t="n">
        <v>0</v>
      </c>
      <c r="AH322" t="n">
        <v>0</v>
      </c>
      <c r="AI322" t="n">
        <v>13.7</v>
      </c>
      <c r="AJ322" t="n">
        <v>1</v>
      </c>
      <c r="AK322" t="n">
        <v>1</v>
      </c>
      <c r="AL322" t="n">
        <v>1</v>
      </c>
      <c r="AM322" t="n">
        <v>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-100</v>
      </c>
      <c r="AU322" t="inlineStr"/>
      <c r="AV322" t="n">
        <v>0</v>
      </c>
      <c r="AW322" t="n">
        <v>2</v>
      </c>
      <c r="AX322" t="n">
        <v>78870934</v>
      </c>
      <c r="AY322" t="n">
        <v>1</v>
      </c>
      <c r="AZ322" t="n">
        <v>6144</v>
      </c>
      <c r="BA322" t="n">
        <v>298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ROUND(Y322*Source!I611,7)</f>
        <v/>
      </c>
      <c r="CY322">
        <f>AA322</f>
        <v/>
      </c>
      <c r="CZ322">
        <f>AE322</f>
        <v/>
      </c>
      <c r="DA322">
        <f>AI322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ROUND(ROUND(AE322*AI322,0)*CX322,0)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DF322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ROW(Source!A611)</f>
        <v/>
      </c>
      <c r="B323" t="n">
        <v>78869116</v>
      </c>
      <c r="C323" t="n">
        <v>78870919</v>
      </c>
      <c r="D323" t="n">
        <v>29160296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507-3173</t>
        </is>
      </c>
      <c r="J323" t="inlineStr">
        <is>
          <t>ТССЦ Московской обл., 507-3173, приказ Минстроя России №675/пр от 28.02.2017 № 258/пр</t>
        </is>
      </c>
      <c r="K323" t="inlineStr">
        <is>
          <t>Угольник 90 град. полипропиленовый диаметром 20 мм</t>
        </is>
      </c>
      <c r="L323" t="n">
        <v>1358</v>
      </c>
      <c r="N323" t="n">
        <v>1010</v>
      </c>
      <c r="O323" t="inlineStr">
        <is>
          <t>10 шт.</t>
        </is>
      </c>
      <c r="P323" t="inlineStr">
        <is>
          <t>10 шт.</t>
        </is>
      </c>
      <c r="Q323" t="n">
        <v>10</v>
      </c>
      <c r="W323" t="n">
        <v>0</v>
      </c>
      <c r="X323" t="n">
        <v>281770412</v>
      </c>
      <c r="Y323">
        <f>AT323</f>
        <v/>
      </c>
      <c r="AA323" t="n">
        <v>115.69</v>
      </c>
      <c r="AB323" t="n">
        <v>0</v>
      </c>
      <c r="AC323" t="n">
        <v>0</v>
      </c>
      <c r="AD323" t="n">
        <v>0</v>
      </c>
      <c r="AE323" t="n">
        <v>14.3</v>
      </c>
      <c r="AF323" t="n">
        <v>0</v>
      </c>
      <c r="AG323" t="n">
        <v>0</v>
      </c>
      <c r="AH323" t="n">
        <v>0</v>
      </c>
      <c r="AI323" t="n">
        <v>8.09</v>
      </c>
      <c r="AJ323" t="n">
        <v>1</v>
      </c>
      <c r="AK323" t="n">
        <v>1</v>
      </c>
      <c r="AL323" t="n">
        <v>1</v>
      </c>
      <c r="AM323" t="n">
        <v>0</v>
      </c>
      <c r="AN323" t="n">
        <v>0</v>
      </c>
      <c r="AO323" t="n">
        <v>0</v>
      </c>
      <c r="AP323" t="n">
        <v>1</v>
      </c>
      <c r="AQ323" t="n">
        <v>0</v>
      </c>
      <c r="AR323" t="n">
        <v>0</v>
      </c>
      <c r="AS323" t="inlineStr"/>
      <c r="AT323" t="n">
        <v>60</v>
      </c>
      <c r="AU323" t="inlineStr"/>
      <c r="AV323" t="n">
        <v>0</v>
      </c>
      <c r="AW323" t="n">
        <v>1</v>
      </c>
      <c r="AX323" t="n">
        <v>-1</v>
      </c>
      <c r="AY323" t="n">
        <v>0</v>
      </c>
      <c r="AZ323" t="n">
        <v>0</v>
      </c>
      <c r="BA323" t="inlineStr"/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 t="n">
        <v>0</v>
      </c>
      <c r="CX323">
        <f>ROUND(Y323*Source!I611,7)</f>
        <v/>
      </c>
      <c r="CY323">
        <f>AA323</f>
        <v/>
      </c>
      <c r="CZ323">
        <f>AE323</f>
        <v/>
      </c>
      <c r="DA323">
        <f>AI323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ROUND(ROUND(AE323*AI323,0)*CX323,0)</f>
        <v/>
      </c>
      <c r="DG323">
        <f>ROUND(ROUND(AF323,0)*CX323,0)</f>
        <v/>
      </c>
      <c r="DH323">
        <f>ROUND(ROUND(AG323,0)*CX323,0)</f>
        <v/>
      </c>
      <c r="DI323">
        <f>ROUND(ROUND(AH323,0)*CX323,0)</f>
        <v/>
      </c>
      <c r="DJ323">
        <f>DF323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ROW(Source!A611)</f>
        <v/>
      </c>
      <c r="B324" t="n">
        <v>78869116</v>
      </c>
      <c r="C324" t="n">
        <v>78870919</v>
      </c>
      <c r="D324" t="n">
        <v>29160297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507-3174</t>
        </is>
      </c>
      <c r="J324" t="inlineStr">
        <is>
          <t>ТССЦ Московской обл., 507-3174, приказ Минстроя России №675/пр от 28.02.2017 № 258/пр</t>
        </is>
      </c>
      <c r="K324" t="inlineStr">
        <is>
          <t>Угольник 90 град. полипропиленовый диаметром 25 мм</t>
        </is>
      </c>
      <c r="L324" t="n">
        <v>1358</v>
      </c>
      <c r="N324" t="n">
        <v>1010</v>
      </c>
      <c r="O324" t="inlineStr">
        <is>
          <t>10 шт.</t>
        </is>
      </c>
      <c r="P324" t="inlineStr">
        <is>
          <t>10 шт.</t>
        </is>
      </c>
      <c r="Q324" t="n">
        <v>10</v>
      </c>
      <c r="W324" t="n">
        <v>0</v>
      </c>
      <c r="X324" t="n">
        <v>-1443168068</v>
      </c>
      <c r="Y324">
        <f>AT324</f>
        <v/>
      </c>
      <c r="AA324" t="n">
        <v>179.17</v>
      </c>
      <c r="AB324" t="n">
        <v>0</v>
      </c>
      <c r="AC324" t="n">
        <v>0</v>
      </c>
      <c r="AD324" t="n">
        <v>0</v>
      </c>
      <c r="AE324" t="n">
        <v>20.2</v>
      </c>
      <c r="AF324" t="n">
        <v>0</v>
      </c>
      <c r="AG324" t="n">
        <v>0</v>
      </c>
      <c r="AH324" t="n">
        <v>0</v>
      </c>
      <c r="AI324" t="n">
        <v>8.869999999999999</v>
      </c>
      <c r="AJ324" t="n">
        <v>1</v>
      </c>
      <c r="AK324" t="n">
        <v>1</v>
      </c>
      <c r="AL324" t="n">
        <v>1</v>
      </c>
      <c r="AM324" t="n">
        <v>0</v>
      </c>
      <c r="AN324" t="n">
        <v>0</v>
      </c>
      <c r="AO324" t="n">
        <v>0</v>
      </c>
      <c r="AP324" t="n">
        <v>1</v>
      </c>
      <c r="AQ324" t="n">
        <v>0</v>
      </c>
      <c r="AR324" t="n">
        <v>0</v>
      </c>
      <c r="AS324" t="inlineStr"/>
      <c r="AT324" t="n">
        <v>10</v>
      </c>
      <c r="AU324" t="inlineStr"/>
      <c r="AV324" t="n">
        <v>0</v>
      </c>
      <c r="AW324" t="n">
        <v>1</v>
      </c>
      <c r="AX324" t="n">
        <v>-1</v>
      </c>
      <c r="AY324" t="n">
        <v>0</v>
      </c>
      <c r="AZ324" t="n">
        <v>0</v>
      </c>
      <c r="BA324" t="inlineStr"/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ROUND(Y324*Source!I611,7)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ROW(Source!A611)</f>
        <v/>
      </c>
      <c r="B325" t="n">
        <v>78869116</v>
      </c>
      <c r="C325" t="n">
        <v>78870919</v>
      </c>
      <c r="D325" t="n">
        <v>29160297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507-3174</t>
        </is>
      </c>
      <c r="J325" t="inlineStr">
        <is>
          <t>ТССЦ Московской обл., 507-3174, приказ Минстроя России №675/пр от 28.02.2017 № 258/пр</t>
        </is>
      </c>
      <c r="K325" t="inlineStr">
        <is>
          <t>Угольник 90 град. полипропиленовый диаметром 32 мм</t>
        </is>
      </c>
      <c r="L325" t="n">
        <v>1358</v>
      </c>
      <c r="N325" t="n">
        <v>1010</v>
      </c>
      <c r="O325" t="inlineStr">
        <is>
          <t>10 шт.</t>
        </is>
      </c>
      <c r="P325" t="inlineStr">
        <is>
          <t>10 шт.</t>
        </is>
      </c>
      <c r="Q325" t="n">
        <v>10</v>
      </c>
      <c r="W325" t="n">
        <v>0</v>
      </c>
      <c r="X325" t="n">
        <v>-1602907712</v>
      </c>
      <c r="Y325">
        <f>AT325</f>
        <v/>
      </c>
      <c r="AA325" t="n">
        <v>179.17</v>
      </c>
      <c r="AB325" t="n">
        <v>0</v>
      </c>
      <c r="AC325" t="n">
        <v>0</v>
      </c>
      <c r="AD325" t="n">
        <v>0</v>
      </c>
      <c r="AE325" t="n">
        <v>20.2</v>
      </c>
      <c r="AF325" t="n">
        <v>0</v>
      </c>
      <c r="AG325" t="n">
        <v>0</v>
      </c>
      <c r="AH325" t="n">
        <v>0</v>
      </c>
      <c r="AI325" t="n">
        <v>8.869999999999999</v>
      </c>
      <c r="AJ325" t="n">
        <v>1</v>
      </c>
      <c r="AK325" t="n">
        <v>1</v>
      </c>
      <c r="AL325" t="n">
        <v>1</v>
      </c>
      <c r="AM325" t="n">
        <v>0</v>
      </c>
      <c r="AN325" t="n">
        <v>0</v>
      </c>
      <c r="AO325" t="n">
        <v>0</v>
      </c>
      <c r="AP325" t="n">
        <v>1</v>
      </c>
      <c r="AQ325" t="n">
        <v>0</v>
      </c>
      <c r="AR325" t="n">
        <v>0</v>
      </c>
      <c r="AS325" t="inlineStr"/>
      <c r="AT325" t="n">
        <v>10</v>
      </c>
      <c r="AU325" t="inlineStr"/>
      <c r="AV325" t="n">
        <v>0</v>
      </c>
      <c r="AW325" t="n">
        <v>1</v>
      </c>
      <c r="AX325" t="n">
        <v>-1</v>
      </c>
      <c r="AY325" t="n">
        <v>0</v>
      </c>
      <c r="AZ325" t="n">
        <v>0</v>
      </c>
      <c r="BA325" t="inlineStr"/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ROUND(Y325*Source!I611,7)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ROW(Source!A611)</f>
        <v/>
      </c>
      <c r="B326" t="n">
        <v>78869116</v>
      </c>
      <c r="C326" t="n">
        <v>78870919</v>
      </c>
      <c r="D326" t="n">
        <v>38120439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507-4994</t>
        </is>
      </c>
      <c r="J326" t="inlineStr">
        <is>
          <t>ТССЦ Московской обл., 507-4994, приказ Минстроя России №675/пр от 28.02.2017 № 258/пр</t>
        </is>
      </c>
      <c r="K326" t="inlineStr">
        <is>
          <t>Муфты стальные прямые диаметром 50 мм</t>
        </is>
      </c>
      <c r="L326" t="n">
        <v>1358</v>
      </c>
      <c r="N326" t="n">
        <v>1010</v>
      </c>
      <c r="O326" t="inlineStr">
        <is>
          <t>10 шт.</t>
        </is>
      </c>
      <c r="P326" t="inlineStr">
        <is>
          <t>10 шт.</t>
        </is>
      </c>
      <c r="Q326" t="n">
        <v>10</v>
      </c>
      <c r="W326" t="n">
        <v>0</v>
      </c>
      <c r="X326" t="n">
        <v>-506320507</v>
      </c>
      <c r="Y326">
        <f>AT326</f>
        <v/>
      </c>
      <c r="AA326" t="n">
        <v>1344.1</v>
      </c>
      <c r="AB326" t="n">
        <v>0</v>
      </c>
      <c r="AC326" t="n">
        <v>0</v>
      </c>
      <c r="AD326" t="n">
        <v>0</v>
      </c>
      <c r="AE326" t="n">
        <v>205.52</v>
      </c>
      <c r="AF326" t="n">
        <v>0</v>
      </c>
      <c r="AG326" t="n">
        <v>0</v>
      </c>
      <c r="AH326" t="n">
        <v>0</v>
      </c>
      <c r="AI326" t="n">
        <v>6.54</v>
      </c>
      <c r="AJ326" t="n">
        <v>1</v>
      </c>
      <c r="AK326" t="n">
        <v>1</v>
      </c>
      <c r="AL326" t="n">
        <v>1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  <c r="AS326" t="inlineStr"/>
      <c r="AT326" t="n">
        <v>10</v>
      </c>
      <c r="AU326" t="inlineStr"/>
      <c r="AV326" t="n">
        <v>0</v>
      </c>
      <c r="AW326" t="n">
        <v>1</v>
      </c>
      <c r="AX326" t="n">
        <v>-1</v>
      </c>
      <c r="AY326" t="n">
        <v>0</v>
      </c>
      <c r="AZ326" t="n">
        <v>0</v>
      </c>
      <c r="BA326" t="inlineStr"/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ROUND(Y326*Source!I611,7)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ROW(Source!A611)</f>
        <v/>
      </c>
      <c r="B327" t="n">
        <v>78869116</v>
      </c>
      <c r="C327" t="n">
        <v>78870919</v>
      </c>
      <c r="D327" t="n">
        <v>29159184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507-5024</t>
        </is>
      </c>
      <c r="J327" t="inlineStr">
        <is>
          <t>ТССЦ Московской обл., 507-5024, приказ Минстроя России №675/пр от 28.02.2017 № 258/пр</t>
        </is>
      </c>
      <c r="K327" t="inlineStr">
        <is>
          <t>Муфта полипропиленовая комбинированная, с внутренней резьбой диаметром 32х1"</t>
        </is>
      </c>
      <c r="L327" t="n">
        <v>1358</v>
      </c>
      <c r="N327" t="n">
        <v>1010</v>
      </c>
      <c r="O327" t="inlineStr">
        <is>
          <t>10 шт.</t>
        </is>
      </c>
      <c r="P327" t="inlineStr">
        <is>
          <t>10 шт.</t>
        </is>
      </c>
      <c r="Q327" t="n">
        <v>10</v>
      </c>
      <c r="W327" t="n">
        <v>0</v>
      </c>
      <c r="X327" t="n">
        <v>-317381250</v>
      </c>
      <c r="Y327">
        <f>AT327</f>
        <v/>
      </c>
      <c r="AA327" t="n">
        <v>880.5</v>
      </c>
      <c r="AB327" t="n">
        <v>0</v>
      </c>
      <c r="AC327" t="n">
        <v>0</v>
      </c>
      <c r="AD327" t="n">
        <v>0</v>
      </c>
      <c r="AE327" t="n">
        <v>178.6</v>
      </c>
      <c r="AF327" t="n">
        <v>0</v>
      </c>
      <c r="AG327" t="n">
        <v>0</v>
      </c>
      <c r="AH327" t="n">
        <v>0</v>
      </c>
      <c r="AI327" t="n">
        <v>4.93</v>
      </c>
      <c r="AJ327" t="n">
        <v>1</v>
      </c>
      <c r="AK327" t="n">
        <v>1</v>
      </c>
      <c r="AL327" t="n">
        <v>1</v>
      </c>
      <c r="AM327" t="n">
        <v>0</v>
      </c>
      <c r="AN327" t="n">
        <v>0</v>
      </c>
      <c r="AO327" t="n">
        <v>0</v>
      </c>
      <c r="AP327" t="n">
        <v>1</v>
      </c>
      <c r="AQ327" t="n">
        <v>0</v>
      </c>
      <c r="AR327" t="n">
        <v>0</v>
      </c>
      <c r="AS327" t="inlineStr"/>
      <c r="AT327" t="n">
        <v>20</v>
      </c>
      <c r="AU327" t="inlineStr"/>
      <c r="AV327" t="n">
        <v>0</v>
      </c>
      <c r="AW327" t="n">
        <v>1</v>
      </c>
      <c r="AX327" t="n">
        <v>-1</v>
      </c>
      <c r="AY327" t="n">
        <v>0</v>
      </c>
      <c r="AZ327" t="n">
        <v>0</v>
      </c>
      <c r="BA327" t="inlineStr"/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ROUND(Y327*Source!I611,7)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ROW(Source!A611)</f>
        <v/>
      </c>
      <c r="B328" t="n">
        <v>78869116</v>
      </c>
      <c r="C328" t="n">
        <v>78870919</v>
      </c>
      <c r="D328" t="n">
        <v>29159188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507-5028</t>
        </is>
      </c>
      <c r="J328" t="inlineStr">
        <is>
          <t>ТССЦ Московской обл., 507-5028, приказ Минстроя России №675/пр от 28.02.2017 № 258/пр</t>
        </is>
      </c>
      <c r="K328" t="inlineStr">
        <is>
          <t>Муфта полипропиленовая комбинированная, с наружной резьбой диаметром 20х1/2"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-1911527899</v>
      </c>
      <c r="Y328">
        <f>AT328</f>
        <v/>
      </c>
      <c r="AA328" t="n">
        <v>416.86</v>
      </c>
      <c r="AB328" t="n">
        <v>0</v>
      </c>
      <c r="AC328" t="n">
        <v>0</v>
      </c>
      <c r="AD328" t="n">
        <v>0</v>
      </c>
      <c r="AE328" t="n">
        <v>84.90000000000001</v>
      </c>
      <c r="AF328" t="n">
        <v>0</v>
      </c>
      <c r="AG328" t="n">
        <v>0</v>
      </c>
      <c r="AH328" t="n">
        <v>0</v>
      </c>
      <c r="AI328" t="n">
        <v>4.91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1</v>
      </c>
      <c r="AQ328" t="n">
        <v>0</v>
      </c>
      <c r="AR328" t="n">
        <v>0</v>
      </c>
      <c r="AS328" t="inlineStr"/>
      <c r="AT328" t="n">
        <v>20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ROUND(Y328*Source!I611,7)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ROW(Source!A611)</f>
        <v/>
      </c>
      <c r="B329" t="n">
        <v>78869116</v>
      </c>
      <c r="C329" t="n">
        <v>78870919</v>
      </c>
      <c r="D329" t="n">
        <v>29159189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507-5029</t>
        </is>
      </c>
      <c r="J329" t="inlineStr">
        <is>
          <t>ТССЦ Московской обл., 507-5029, приказ Минстроя России №675/пр от 28.02.2017 № 258/пр</t>
        </is>
      </c>
      <c r="K329" t="inlineStr">
        <is>
          <t>Муфта полипропиленовая комбинированная, с наружной резьбой диаметром 20х3/4"</t>
        </is>
      </c>
      <c r="L329" t="n">
        <v>1358</v>
      </c>
      <c r="N329" t="n">
        <v>1010</v>
      </c>
      <c r="O329" t="inlineStr">
        <is>
          <t>10 шт.</t>
        </is>
      </c>
      <c r="P329" t="inlineStr">
        <is>
          <t>10 шт.</t>
        </is>
      </c>
      <c r="Q329" t="n">
        <v>10</v>
      </c>
      <c r="W329" t="n">
        <v>0</v>
      </c>
      <c r="X329" t="n">
        <v>-197347034</v>
      </c>
      <c r="Y329">
        <f>AT329</f>
        <v/>
      </c>
      <c r="AA329" t="n">
        <v>644.26</v>
      </c>
      <c r="AB329" t="n">
        <v>0</v>
      </c>
      <c r="AC329" t="n">
        <v>0</v>
      </c>
      <c r="AD329" t="n">
        <v>0</v>
      </c>
      <c r="AE329" t="n">
        <v>134.5</v>
      </c>
      <c r="AF329" t="n">
        <v>0</v>
      </c>
      <c r="AG329" t="n">
        <v>0</v>
      </c>
      <c r="AH329" t="n">
        <v>0</v>
      </c>
      <c r="AI329" t="n">
        <v>4.79</v>
      </c>
      <c r="AJ329" t="n">
        <v>1</v>
      </c>
      <c r="AK329" t="n">
        <v>1</v>
      </c>
      <c r="AL329" t="n">
        <v>1</v>
      </c>
      <c r="AM329" t="n">
        <v>0</v>
      </c>
      <c r="AN329" t="n">
        <v>0</v>
      </c>
      <c r="AO329" t="n">
        <v>0</v>
      </c>
      <c r="AP329" t="n">
        <v>1</v>
      </c>
      <c r="AQ329" t="n">
        <v>0</v>
      </c>
      <c r="AR329" t="n">
        <v>0</v>
      </c>
      <c r="AS329" t="inlineStr"/>
      <c r="AT329" t="n">
        <v>20</v>
      </c>
      <c r="AU329" t="inlineStr"/>
      <c r="AV329" t="n">
        <v>0</v>
      </c>
      <c r="AW329" t="n">
        <v>1</v>
      </c>
      <c r="AX329" t="n">
        <v>-1</v>
      </c>
      <c r="AY329" t="n">
        <v>0</v>
      </c>
      <c r="AZ329" t="n">
        <v>0</v>
      </c>
      <c r="BA329" t="inlineStr"/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V329" t="n">
        <v>0</v>
      </c>
      <c r="CW329" t="n">
        <v>0</v>
      </c>
      <c r="CX329">
        <f>ROUND(Y329*Source!I611,7)</f>
        <v/>
      </c>
      <c r="CY329">
        <f>AA329</f>
        <v/>
      </c>
      <c r="CZ329">
        <f>AE329</f>
        <v/>
      </c>
      <c r="DA329">
        <f>AI329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ROUND(ROUND(AE329*AI329,0)*CX329,0)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DF329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ROW(Source!A658)</f>
        <v/>
      </c>
      <c r="B330" t="n">
        <v>78869116</v>
      </c>
      <c r="C330" t="n">
        <v>78871019</v>
      </c>
      <c r="D330" t="n">
        <v>18408291</v>
      </c>
      <c r="E330" t="n">
        <v>1</v>
      </c>
      <c r="F330" t="n">
        <v>1</v>
      </c>
      <c r="G330" t="n">
        <v>1</v>
      </c>
      <c r="H330" t="n">
        <v>1</v>
      </c>
      <c r="I330" t="inlineStr">
        <is>
          <t>1-1025-90</t>
        </is>
      </c>
      <c r="J330" t="inlineStr"/>
      <c r="K330" t="inlineStr">
        <is>
          <t>Рабочий строитель среднего разряда 2,5</t>
        </is>
      </c>
      <c r="L330" t="n">
        <v>1369</v>
      </c>
      <c r="N330" t="n">
        <v>1013</v>
      </c>
      <c r="O330" t="inlineStr">
        <is>
          <t>чел.-ч</t>
        </is>
      </c>
      <c r="P330" t="inlineStr">
        <is>
          <t>чел.-ч</t>
        </is>
      </c>
      <c r="Q330" t="n">
        <v>1</v>
      </c>
      <c r="W330" t="n">
        <v>0</v>
      </c>
      <c r="X330" t="n">
        <v>1933892413</v>
      </c>
      <c r="Y330">
        <f>AT330</f>
        <v/>
      </c>
      <c r="AA330" t="n">
        <v>0</v>
      </c>
      <c r="AB330" t="n">
        <v>0</v>
      </c>
      <c r="AC330" t="n">
        <v>0</v>
      </c>
      <c r="AD330" t="n">
        <v>8.17</v>
      </c>
      <c r="AE330" t="n">
        <v>0</v>
      </c>
      <c r="AF330" t="n">
        <v>0</v>
      </c>
      <c r="AG330" t="n">
        <v>0</v>
      </c>
      <c r="AH330" t="n">
        <v>8.17</v>
      </c>
      <c r="AI330" t="n">
        <v>1</v>
      </c>
      <c r="AJ330" t="n">
        <v>1</v>
      </c>
      <c r="AK330" t="n">
        <v>1</v>
      </c>
      <c r="AL330" t="n">
        <v>1</v>
      </c>
      <c r="AM330" t="n">
        <v>-2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32.2</v>
      </c>
      <c r="AU330" t="inlineStr"/>
      <c r="AV330" t="n">
        <v>1</v>
      </c>
      <c r="AW330" t="n">
        <v>2</v>
      </c>
      <c r="AX330" t="n">
        <v>78871025</v>
      </c>
      <c r="AY330" t="n">
        <v>1</v>
      </c>
      <c r="AZ330" t="n">
        <v>0</v>
      </c>
      <c r="BA330" t="n">
        <v>299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U330">
        <f>ROUND(AT330*Source!I658*AH330*AL330,0)</f>
        <v/>
      </c>
      <c r="CV330">
        <f>ROUND(Y330*Source!I658,7)</f>
        <v/>
      </c>
      <c r="CW330" t="n">
        <v>0</v>
      </c>
      <c r="CX330">
        <f>ROUND(Y330*Source!I658,7)</f>
        <v/>
      </c>
      <c r="CY330">
        <f>AD330</f>
        <v/>
      </c>
      <c r="CZ330">
        <f>AH330</f>
        <v/>
      </c>
      <c r="DA330">
        <f>AL330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ROUND(ROUND(AF330,0)*CX330,0)</f>
        <v/>
      </c>
      <c r="DH330">
        <f>ROUND(ROUND(AG330,0)*CX330,0)</f>
        <v/>
      </c>
      <c r="DI330">
        <f>ROUND(ROUND(AH330,0)*CX330,0)</f>
        <v/>
      </c>
      <c r="DJ330">
        <f>DI330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ROW(Source!A658)</f>
        <v/>
      </c>
      <c r="B331" t="n">
        <v>78869116</v>
      </c>
      <c r="C331" t="n">
        <v>78871019</v>
      </c>
      <c r="D331" t="n">
        <v>29174913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400001</t>
        </is>
      </c>
      <c r="J331" t="inlineStr">
        <is>
          <t>ТСЭМ Московской обл., 400001, приказ Минстроя России №675/пр от 28.02.2017 № 264/пр</t>
        </is>
      </c>
      <c r="K331" t="inlineStr">
        <is>
          <t>Автомобили бортовые, грузоподъемность до 5 т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1230759911</v>
      </c>
      <c r="Y331">
        <f>AT331</f>
        <v/>
      </c>
      <c r="AA331" t="n">
        <v>0</v>
      </c>
      <c r="AB331" t="n">
        <v>2177.51</v>
      </c>
      <c r="AC331" t="n">
        <v>606.1</v>
      </c>
      <c r="AD331" t="n">
        <v>0</v>
      </c>
      <c r="AE331" t="n">
        <v>0</v>
      </c>
      <c r="AF331" t="n">
        <v>87.17</v>
      </c>
      <c r="AG331" t="n">
        <v>11.6</v>
      </c>
      <c r="AH331" t="n">
        <v>0</v>
      </c>
      <c r="AI331" t="n">
        <v>1</v>
      </c>
      <c r="AJ331" t="n">
        <v>24.98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0.01</v>
      </c>
      <c r="AU331" t="inlineStr"/>
      <c r="AV331" t="n">
        <v>0</v>
      </c>
      <c r="AW331" t="n">
        <v>2</v>
      </c>
      <c r="AX331" t="n">
        <v>78871026</v>
      </c>
      <c r="AY331" t="n">
        <v>1</v>
      </c>
      <c r="AZ331" t="n">
        <v>0</v>
      </c>
      <c r="BA331" t="n">
        <v>300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ROUND(Y331*Source!I658*DO331,7)</f>
        <v/>
      </c>
      <c r="CX331">
        <f>ROUND(Y331*Source!I658,7)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ROW(Source!A658)</f>
        <v/>
      </c>
      <c r="B332" t="n">
        <v>78869116</v>
      </c>
      <c r="C332" t="n">
        <v>78871019</v>
      </c>
      <c r="D332" t="n">
        <v>29110139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101-1703</t>
        </is>
      </c>
      <c r="J332" t="inlineStr">
        <is>
          <t>ТССЦ Московской обл., 101-1703, приказ Минстроя России №675/пр от 28.02.2017 № 254/пр</t>
        </is>
      </c>
      <c r="K332" t="inlineStr">
        <is>
          <t>Прокладки резиновые (пластина техническая прессованная)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W332" t="n">
        <v>0</v>
      </c>
      <c r="X332" t="n">
        <v>-1947909329</v>
      </c>
      <c r="Y332">
        <f>AT332</f>
        <v/>
      </c>
      <c r="AA332" t="n">
        <v>341.04</v>
      </c>
      <c r="AB332" t="n">
        <v>0</v>
      </c>
      <c r="AC332" t="n">
        <v>0</v>
      </c>
      <c r="AD332" t="n">
        <v>0</v>
      </c>
      <c r="AE332" t="n">
        <v>23.09</v>
      </c>
      <c r="AF332" t="n">
        <v>0</v>
      </c>
      <c r="AG332" t="n">
        <v>0</v>
      </c>
      <c r="AH332" t="n">
        <v>0</v>
      </c>
      <c r="AI332" t="n">
        <v>14.77</v>
      </c>
      <c r="AJ332" t="n">
        <v>1</v>
      </c>
      <c r="AK332" t="n">
        <v>1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2</v>
      </c>
      <c r="AU332" t="inlineStr"/>
      <c r="AV332" t="n">
        <v>0</v>
      </c>
      <c r="AW332" t="n">
        <v>2</v>
      </c>
      <c r="AX332" t="n">
        <v>78871027</v>
      </c>
      <c r="AY332" t="n">
        <v>1</v>
      </c>
      <c r="AZ332" t="n">
        <v>0</v>
      </c>
      <c r="BA332" t="n">
        <v>301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 t="n">
        <v>0</v>
      </c>
      <c r="CX332">
        <f>ROUND(Y332*Source!I658,7)</f>
        <v/>
      </c>
      <c r="CY332">
        <f>AA332</f>
        <v/>
      </c>
      <c r="CZ332">
        <f>AE332</f>
        <v/>
      </c>
      <c r="DA332">
        <f>AI332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ROUND(ROUND(AE332*AI332,0)*CX332,0)</f>
        <v/>
      </c>
      <c r="DG332">
        <f>ROUND(ROUND(AF332,0)*CX332,0)</f>
        <v/>
      </c>
      <c r="DH332">
        <f>ROUND(ROUND(AG332,0)*CX332,0)</f>
        <v/>
      </c>
      <c r="DI332">
        <f>ROUND(ROUND(AH332,0)*CX332,0)</f>
        <v/>
      </c>
      <c r="DJ332">
        <f>DF332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ROW(Source!A658)</f>
        <v/>
      </c>
      <c r="B333" t="n">
        <v>78869116</v>
      </c>
      <c r="C333" t="n">
        <v>78871019</v>
      </c>
      <c r="D333" t="n">
        <v>29114240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101-2576</t>
        </is>
      </c>
      <c r="J333" t="inlineStr">
        <is>
          <t>ТССЦ Московской обл., 101-2576, приказ Минстроя России №675/пр от 28.02.2017 № 254/пр</t>
        </is>
      </c>
      <c r="K333" t="inlineStr">
        <is>
          <t>Болты с гайками и шайбами для санитарно-технических работ диаметром 16 мм</t>
        </is>
      </c>
      <c r="L333" t="n">
        <v>1348</v>
      </c>
      <c r="N333" t="n">
        <v>1009</v>
      </c>
      <c r="O333" t="inlineStr">
        <is>
          <t>т</t>
        </is>
      </c>
      <c r="P333" t="inlineStr">
        <is>
          <t>т</t>
        </is>
      </c>
      <c r="Q333" t="n">
        <v>1000</v>
      </c>
      <c r="W333" t="n">
        <v>0</v>
      </c>
      <c r="X333" t="n">
        <v>-1701539228</v>
      </c>
      <c r="Y333">
        <f>AT333</f>
        <v/>
      </c>
      <c r="AA333" t="n">
        <v>145037.4</v>
      </c>
      <c r="AB333" t="n">
        <v>0</v>
      </c>
      <c r="AC333" t="n">
        <v>0</v>
      </c>
      <c r="AD333" t="n">
        <v>0</v>
      </c>
      <c r="AE333" t="n">
        <v>14830</v>
      </c>
      <c r="AF333" t="n">
        <v>0</v>
      </c>
      <c r="AG333" t="n">
        <v>0</v>
      </c>
      <c r="AH333" t="n">
        <v>0</v>
      </c>
      <c r="AI333" t="n">
        <v>9.779999999999999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0.005</v>
      </c>
      <c r="AU333" t="inlineStr"/>
      <c r="AV333" t="n">
        <v>0</v>
      </c>
      <c r="AW333" t="n">
        <v>2</v>
      </c>
      <c r="AX333" t="n">
        <v>78871028</v>
      </c>
      <c r="AY333" t="n">
        <v>1</v>
      </c>
      <c r="AZ333" t="n">
        <v>0</v>
      </c>
      <c r="BA333" t="n">
        <v>302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ROUND(Y333*Source!I658,7)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ROW(Source!A658)</f>
        <v/>
      </c>
      <c r="B334" t="n">
        <v>78869116</v>
      </c>
      <c r="C334" t="n">
        <v>78871019</v>
      </c>
      <c r="D334" t="n">
        <v>29150040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411-0001</t>
        </is>
      </c>
      <c r="J334" t="inlineStr">
        <is>
          <t>ТССЦ Московской обл., 411-0001, приказ Минстроя России №675/пр от 28.02.2017 № 257/пр</t>
        </is>
      </c>
      <c r="K334" t="inlineStr">
        <is>
          <t>Вода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619799737</v>
      </c>
      <c r="Y334">
        <f>AT334</f>
        <v/>
      </c>
      <c r="AA334" t="n">
        <v>31.28</v>
      </c>
      <c r="AB334" t="n">
        <v>0</v>
      </c>
      <c r="AC334" t="n">
        <v>0</v>
      </c>
      <c r="AD334" t="n">
        <v>0</v>
      </c>
      <c r="AE334" t="n">
        <v>2.44</v>
      </c>
      <c r="AF334" t="n">
        <v>0</v>
      </c>
      <c r="AG334" t="n">
        <v>0</v>
      </c>
      <c r="AH334" t="n">
        <v>0</v>
      </c>
      <c r="AI334" t="n">
        <v>12.82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7.8</v>
      </c>
      <c r="AU334" t="inlineStr"/>
      <c r="AV334" t="n">
        <v>0</v>
      </c>
      <c r="AW334" t="n">
        <v>2</v>
      </c>
      <c r="AX334" t="n">
        <v>78871029</v>
      </c>
      <c r="AY334" t="n">
        <v>1</v>
      </c>
      <c r="AZ334" t="n">
        <v>0</v>
      </c>
      <c r="BA334" t="n">
        <v>303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ROUND(Y334*Source!I658,7)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ROW(Source!A659)</f>
        <v/>
      </c>
      <c r="B335" t="n">
        <v>78869116</v>
      </c>
      <c r="C335" t="n">
        <v>78871030</v>
      </c>
      <c r="D335" t="n">
        <v>18409850</v>
      </c>
      <c r="E335" t="n">
        <v>1</v>
      </c>
      <c r="F335" t="n">
        <v>1</v>
      </c>
      <c r="G335" t="n">
        <v>1</v>
      </c>
      <c r="H335" t="n">
        <v>1</v>
      </c>
      <c r="I335" t="inlineStr">
        <is>
          <t>1-1035-90</t>
        </is>
      </c>
      <c r="J335" t="inlineStr"/>
      <c r="K335" t="inlineStr">
        <is>
          <t>Рабочий строитель среднего разряда 3,5</t>
        </is>
      </c>
      <c r="L335" t="n">
        <v>1369</v>
      </c>
      <c r="N335" t="n">
        <v>1013</v>
      </c>
      <c r="O335" t="inlineStr">
        <is>
          <t>чел.-ч</t>
        </is>
      </c>
      <c r="P335" t="inlineStr">
        <is>
          <t>чел.-ч</t>
        </is>
      </c>
      <c r="Q335" t="n">
        <v>1</v>
      </c>
      <c r="W335" t="n">
        <v>0</v>
      </c>
      <c r="X335" t="n">
        <v>855544366</v>
      </c>
      <c r="Y335">
        <f>AT335</f>
        <v/>
      </c>
      <c r="AA335" t="n">
        <v>0</v>
      </c>
      <c r="AB335" t="n">
        <v>0</v>
      </c>
      <c r="AC335" t="n">
        <v>0</v>
      </c>
      <c r="AD335" t="n">
        <v>9.07</v>
      </c>
      <c r="AE335" t="n">
        <v>0</v>
      </c>
      <c r="AF335" t="n">
        <v>0</v>
      </c>
      <c r="AG335" t="n">
        <v>0</v>
      </c>
      <c r="AH335" t="n">
        <v>9.07</v>
      </c>
      <c r="AI335" t="n">
        <v>1</v>
      </c>
      <c r="AJ335" t="n">
        <v>1</v>
      </c>
      <c r="AK335" t="n">
        <v>1</v>
      </c>
      <c r="AL335" t="n">
        <v>1</v>
      </c>
      <c r="AM335" t="n">
        <v>-2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81</v>
      </c>
      <c r="AU335" t="inlineStr"/>
      <c r="AV335" t="n">
        <v>1</v>
      </c>
      <c r="AW335" t="n">
        <v>2</v>
      </c>
      <c r="AX335" t="n">
        <v>78871039</v>
      </c>
      <c r="AY335" t="n">
        <v>1</v>
      </c>
      <c r="AZ335" t="n">
        <v>0</v>
      </c>
      <c r="BA335" t="n">
        <v>304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U335">
        <f>ROUND(AT335*Source!I659*AH335*AL335,0)</f>
        <v/>
      </c>
      <c r="CV335">
        <f>ROUND(Y335*Source!I659,7)</f>
        <v/>
      </c>
      <c r="CW335" t="n">
        <v>0</v>
      </c>
      <c r="CX335">
        <f>ROUND(Y335*Source!I659,7)</f>
        <v/>
      </c>
      <c r="CY335">
        <f>AD335</f>
        <v/>
      </c>
      <c r="CZ335">
        <f>AH335</f>
        <v/>
      </c>
      <c r="DA335">
        <f>AL335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DI335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ROW(Source!A659)</f>
        <v/>
      </c>
      <c r="B336" t="n">
        <v>78869116</v>
      </c>
      <c r="C336" t="n">
        <v>78871030</v>
      </c>
      <c r="D336" t="n">
        <v>29174913</v>
      </c>
      <c r="E336" t="n">
        <v>1</v>
      </c>
      <c r="F336" t="n">
        <v>1</v>
      </c>
      <c r="G336" t="n">
        <v>1</v>
      </c>
      <c r="H336" t="n">
        <v>2</v>
      </c>
      <c r="I336" t="inlineStr">
        <is>
          <t>400001</t>
        </is>
      </c>
      <c r="J336" t="inlineStr">
        <is>
          <t>ТСЭМ Московской обл., 400001, приказ Минстроя России №675/пр от 28.02.2017 № 264/пр</t>
        </is>
      </c>
      <c r="K336" t="inlineStr">
        <is>
          <t>Автомобили бортовые, грузоподъемность до 5 т</t>
        </is>
      </c>
      <c r="L336" t="n">
        <v>1368</v>
      </c>
      <c r="N336" t="n">
        <v>1011</v>
      </c>
      <c r="O336" t="inlineStr">
        <is>
          <t>маш.-ч</t>
        </is>
      </c>
      <c r="P336" t="inlineStr">
        <is>
          <t>маш.-ч</t>
        </is>
      </c>
      <c r="Q336" t="n">
        <v>1</v>
      </c>
      <c r="W336" t="n">
        <v>0</v>
      </c>
      <c r="X336" t="n">
        <v>1230759911</v>
      </c>
      <c r="Y336">
        <f>AT336</f>
        <v/>
      </c>
      <c r="AA336" t="n">
        <v>0</v>
      </c>
      <c r="AB336" t="n">
        <v>2177.51</v>
      </c>
      <c r="AC336" t="n">
        <v>606.1</v>
      </c>
      <c r="AD336" t="n">
        <v>0</v>
      </c>
      <c r="AE336" t="n">
        <v>0</v>
      </c>
      <c r="AF336" t="n">
        <v>87.17</v>
      </c>
      <c r="AG336" t="n">
        <v>11.6</v>
      </c>
      <c r="AH336" t="n">
        <v>0</v>
      </c>
      <c r="AI336" t="n">
        <v>1</v>
      </c>
      <c r="AJ336" t="n">
        <v>24.98</v>
      </c>
      <c r="AK336" t="n">
        <v>52.25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0.05</v>
      </c>
      <c r="AU336" t="inlineStr"/>
      <c r="AV336" t="n">
        <v>0</v>
      </c>
      <c r="AW336" t="n">
        <v>2</v>
      </c>
      <c r="AX336" t="n">
        <v>78871040</v>
      </c>
      <c r="AY336" t="n">
        <v>1</v>
      </c>
      <c r="AZ336" t="n">
        <v>0</v>
      </c>
      <c r="BA336" t="n">
        <v>305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>
        <f>ROUND(Y336*Source!I659*DO336,7)</f>
        <v/>
      </c>
      <c r="CX336">
        <f>ROUND(Y336*Source!I659,7)</f>
        <v/>
      </c>
      <c r="CY336">
        <f>AB336</f>
        <v/>
      </c>
      <c r="CZ336">
        <f>AF336</f>
        <v/>
      </c>
      <c r="DA336">
        <f>AJ336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ROUND(ROUND(AE336,0)*CX336,0)</f>
        <v/>
      </c>
      <c r="DG336">
        <f>ROUND(ROUND(AF336*AJ336,0)*CX336,0)</f>
        <v/>
      </c>
      <c r="DH336">
        <f>ROUND(ROUND(AG336*AK336,0)*CX336,0)</f>
        <v/>
      </c>
      <c r="DI336">
        <f>ROUND(ROUND(AH336,0)*CX336,0)</f>
        <v/>
      </c>
      <c r="DJ336">
        <f>DG336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ROW(Source!A659)</f>
        <v/>
      </c>
      <c r="B337" t="n">
        <v>78869116</v>
      </c>
      <c r="C337" t="n">
        <v>78871030</v>
      </c>
      <c r="D337" t="n">
        <v>29110398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101-0388</t>
        </is>
      </c>
      <c r="J337" t="inlineStr">
        <is>
          <t>ТССЦ Московской обл., 101-0388, приказ Минстроя России №675/пр от 28.02.2017 № 254/пр</t>
        </is>
      </c>
      <c r="K337" t="inlineStr">
        <is>
          <t>Краски масляные земляные марки МА-0115 мумия, сурик железный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W337" t="n">
        <v>0</v>
      </c>
      <c r="X337" t="n">
        <v>1625292450</v>
      </c>
      <c r="Y337">
        <f>AT337</f>
        <v/>
      </c>
      <c r="AA337" t="n">
        <v>76804.47</v>
      </c>
      <c r="AB337" t="n">
        <v>0</v>
      </c>
      <c r="AC337" t="n">
        <v>0</v>
      </c>
      <c r="AD337" t="n">
        <v>0</v>
      </c>
      <c r="AE337" t="n">
        <v>15118.99</v>
      </c>
      <c r="AF337" t="n">
        <v>0</v>
      </c>
      <c r="AG337" t="n">
        <v>0</v>
      </c>
      <c r="AH337" t="n">
        <v>0</v>
      </c>
      <c r="AI337" t="n">
        <v>5.08</v>
      </c>
      <c r="AJ337" t="n">
        <v>1</v>
      </c>
      <c r="AK337" t="n">
        <v>1</v>
      </c>
      <c r="AL337" t="n">
        <v>1</v>
      </c>
      <c r="AM337" t="n">
        <v>2</v>
      </c>
      <c r="AN337" t="n">
        <v>0</v>
      </c>
      <c r="AO337" t="n">
        <v>1</v>
      </c>
      <c r="AP337" t="n">
        <v>1</v>
      </c>
      <c r="AQ337" t="n">
        <v>0</v>
      </c>
      <c r="AR337" t="n">
        <v>0</v>
      </c>
      <c r="AS337" t="inlineStr"/>
      <c r="AT337" t="n">
        <v>0.0014</v>
      </c>
      <c r="AU337" t="inlineStr"/>
      <c r="AV337" t="n">
        <v>0</v>
      </c>
      <c r="AW337" t="n">
        <v>2</v>
      </c>
      <c r="AX337" t="n">
        <v>78871041</v>
      </c>
      <c r="AY337" t="n">
        <v>1</v>
      </c>
      <c r="AZ337" t="n">
        <v>0</v>
      </c>
      <c r="BA337" t="n">
        <v>306</v>
      </c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ROUND(Y337*Source!I659,7)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ROW(Source!A659)</f>
        <v/>
      </c>
      <c r="B338" t="n">
        <v>78869116</v>
      </c>
      <c r="C338" t="n">
        <v>78871030</v>
      </c>
      <c r="D338" t="n">
        <v>29110573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101-0628</t>
        </is>
      </c>
      <c r="J338" t="inlineStr">
        <is>
          <t>ТССЦ Московской обл., 101-0628, приказ Минстроя России №675/пр от 28.02.2017 № 254/пр</t>
        </is>
      </c>
      <c r="K338" t="inlineStr">
        <is>
          <t>Олифа комбинированная, марки К-3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24062879</v>
      </c>
      <c r="Y338">
        <f>AT338</f>
        <v/>
      </c>
      <c r="AA338" t="n">
        <v>87631.5</v>
      </c>
      <c r="AB338" t="n">
        <v>0</v>
      </c>
      <c r="AC338" t="n">
        <v>0</v>
      </c>
      <c r="AD338" t="n">
        <v>0</v>
      </c>
      <c r="AE338" t="n">
        <v>16950</v>
      </c>
      <c r="AF338" t="n">
        <v>0</v>
      </c>
      <c r="AG338" t="n">
        <v>0</v>
      </c>
      <c r="AH338" t="n">
        <v>0</v>
      </c>
      <c r="AI338" t="n">
        <v>5.17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0.0007</v>
      </c>
      <c r="AU338" t="inlineStr"/>
      <c r="AV338" t="n">
        <v>0</v>
      </c>
      <c r="AW338" t="n">
        <v>2</v>
      </c>
      <c r="AX338" t="n">
        <v>78871042</v>
      </c>
      <c r="AY338" t="n">
        <v>1</v>
      </c>
      <c r="AZ338" t="n">
        <v>0</v>
      </c>
      <c r="BA338" t="n">
        <v>307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ROUND(Y338*Source!I659,7)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ROW(Source!A659)</f>
        <v/>
      </c>
      <c r="B339" t="n">
        <v>78869116</v>
      </c>
      <c r="C339" t="n">
        <v>78871030</v>
      </c>
      <c r="D339" t="n">
        <v>29107963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101-1669</t>
        </is>
      </c>
      <c r="J339" t="inlineStr">
        <is>
          <t>ТССЦ Московской обл., 101-1669, приказ Минстроя России №675/пр от 28.02.2017 № 254/пр</t>
        </is>
      </c>
      <c r="K339" t="inlineStr">
        <is>
          <t>Очес льняной</t>
        </is>
      </c>
      <c r="L339" t="n">
        <v>1346</v>
      </c>
      <c r="N339" t="n">
        <v>1009</v>
      </c>
      <c r="O339" t="inlineStr">
        <is>
          <t>кг</t>
        </is>
      </c>
      <c r="P339" t="inlineStr">
        <is>
          <t>кг</t>
        </is>
      </c>
      <c r="Q339" t="n">
        <v>1</v>
      </c>
      <c r="W339" t="n">
        <v>0</v>
      </c>
      <c r="X339" t="n">
        <v>-2113933962</v>
      </c>
      <c r="Y339">
        <f>AT339</f>
        <v/>
      </c>
      <c r="AA339" t="n">
        <v>590.67</v>
      </c>
      <c r="AB339" t="n">
        <v>0</v>
      </c>
      <c r="AC339" t="n">
        <v>0</v>
      </c>
      <c r="AD339" t="n">
        <v>0</v>
      </c>
      <c r="AE339" t="n">
        <v>37.29</v>
      </c>
      <c r="AF339" t="n">
        <v>0</v>
      </c>
      <c r="AG339" t="n">
        <v>0</v>
      </c>
      <c r="AH339" t="n">
        <v>0</v>
      </c>
      <c r="AI339" t="n">
        <v>15.84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</v>
      </c>
      <c r="AU339" t="inlineStr"/>
      <c r="AV339" t="n">
        <v>0</v>
      </c>
      <c r="AW339" t="n">
        <v>2</v>
      </c>
      <c r="AX339" t="n">
        <v>78871043</v>
      </c>
      <c r="AY339" t="n">
        <v>1</v>
      </c>
      <c r="AZ339" t="n">
        <v>0</v>
      </c>
      <c r="BA339" t="n">
        <v>308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ROUND(Y339*Source!I659,7)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ROW(Source!A659)</f>
        <v/>
      </c>
      <c r="B340" t="n">
        <v>78869116</v>
      </c>
      <c r="C340" t="n">
        <v>78871030</v>
      </c>
      <c r="D340" t="n">
        <v>29143378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302-0062</t>
        </is>
      </c>
      <c r="J340" t="inlineStr">
        <is>
          <t>ТССЦ Московской обл., 302-0062, приказ Минстроя России №675/пр от 28.02.2017 № 256/пр</t>
        </is>
      </c>
      <c r="K340" t="inlineStr">
        <is>
          <t>Кран шаровый муфтовый Valtec для воды диаметром 15 мм, тип в/в</t>
        </is>
      </c>
      <c r="L340" t="n">
        <v>1354</v>
      </c>
      <c r="N340" t="n">
        <v>1010</v>
      </c>
      <c r="O340" t="inlineStr">
        <is>
          <t>шт.</t>
        </is>
      </c>
      <c r="P340" t="inlineStr">
        <is>
          <t>шт.</t>
        </is>
      </c>
      <c r="Q340" t="n">
        <v>1</v>
      </c>
      <c r="W340" t="n">
        <v>0</v>
      </c>
      <c r="X340" t="n">
        <v>-1687406522</v>
      </c>
      <c r="Y340">
        <f>AT340</f>
        <v/>
      </c>
      <c r="AA340" t="n">
        <v>384.3</v>
      </c>
      <c r="AB340" t="n">
        <v>0</v>
      </c>
      <c r="AC340" t="n">
        <v>0</v>
      </c>
      <c r="AD340" t="n">
        <v>0</v>
      </c>
      <c r="AE340" t="n">
        <v>28.53</v>
      </c>
      <c r="AF340" t="n">
        <v>0</v>
      </c>
      <c r="AG340" t="n">
        <v>0</v>
      </c>
      <c r="AH340" t="n">
        <v>0</v>
      </c>
      <c r="AI340" t="n">
        <v>13.47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100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ROUND(Y340*Source!I659,7)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ROW(Source!A659)</f>
        <v/>
      </c>
      <c r="B341" t="n">
        <v>78869116</v>
      </c>
      <c r="C341" t="n">
        <v>78871030</v>
      </c>
      <c r="D341" t="n">
        <v>29142465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302-1342</t>
        </is>
      </c>
      <c r="J341" t="inlineStr">
        <is>
          <t>ТССЦ Московской обл., 302-1342, приказ Минстроя России №675/пр от 28.02.2017 № 256/пр</t>
        </is>
      </c>
      <c r="K341" t="inlineStr">
        <is>
          <t>Вентили проходные муфтовые 15кч18п для воды давлением 1,6 МПа (16 кгс/см2), диаметром 20 мм</t>
        </is>
      </c>
      <c r="L341" t="n">
        <v>1354</v>
      </c>
      <c r="N341" t="n">
        <v>1010</v>
      </c>
      <c r="O341" t="inlineStr">
        <is>
          <t>шт.</t>
        </is>
      </c>
      <c r="P341" t="inlineStr">
        <is>
          <t>шт.</t>
        </is>
      </c>
      <c r="Q341" t="n">
        <v>1</v>
      </c>
      <c r="W341" t="n">
        <v>0</v>
      </c>
      <c r="X341" t="n">
        <v>-852705161</v>
      </c>
      <c r="Y341">
        <f>AT341</f>
        <v/>
      </c>
      <c r="AA341" t="n">
        <v>221.81</v>
      </c>
      <c r="AB341" t="n">
        <v>0</v>
      </c>
      <c r="AC341" t="n">
        <v>0</v>
      </c>
      <c r="AD341" t="n">
        <v>0</v>
      </c>
      <c r="AE341" t="n">
        <v>21.81</v>
      </c>
      <c r="AF341" t="n">
        <v>0</v>
      </c>
      <c r="AG341" t="n">
        <v>0</v>
      </c>
      <c r="AH341" t="n">
        <v>0</v>
      </c>
      <c r="AI341" t="n">
        <v>10.17</v>
      </c>
      <c r="AJ341" t="n">
        <v>1</v>
      </c>
      <c r="AK341" t="n">
        <v>1</v>
      </c>
      <c r="AL341" t="n">
        <v>1</v>
      </c>
      <c r="AM341" t="n">
        <v>2</v>
      </c>
      <c r="AN341" t="n">
        <v>0</v>
      </c>
      <c r="AO341" t="n">
        <v>1</v>
      </c>
      <c r="AP341" t="n">
        <v>1</v>
      </c>
      <c r="AQ341" t="n">
        <v>0</v>
      </c>
      <c r="AR341" t="n">
        <v>0</v>
      </c>
      <c r="AS341" t="inlineStr"/>
      <c r="AT341" t="n">
        <v>100</v>
      </c>
      <c r="AU341" t="inlineStr"/>
      <c r="AV341" t="n">
        <v>0</v>
      </c>
      <c r="AW341" t="n">
        <v>2</v>
      </c>
      <c r="AX341" t="n">
        <v>78871044</v>
      </c>
      <c r="AY341" t="n">
        <v>1</v>
      </c>
      <c r="AZ341" t="n">
        <v>0</v>
      </c>
      <c r="BA341" t="n">
        <v>309</v>
      </c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ROUND(Y341*Source!I659,7)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ROW(Source!A659)</f>
        <v/>
      </c>
      <c r="B342" t="n">
        <v>78869116</v>
      </c>
      <c r="C342" t="n">
        <v>78871030</v>
      </c>
      <c r="D342" t="n">
        <v>29164350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509-9899</t>
        </is>
      </c>
      <c r="J342" t="inlineStr">
        <is>
          <t>ТССЦ Московской обл., 509-9899, приказ Минстроя России №675/пр от 28.02.2017 № 258/пр</t>
        </is>
      </c>
      <c r="K342" t="inlineStr">
        <is>
          <t>Строительный мусор и масса возвратных материалов</t>
        </is>
      </c>
      <c r="L342" t="n">
        <v>1348</v>
      </c>
      <c r="N342" t="n">
        <v>1009</v>
      </c>
      <c r="O342" t="inlineStr">
        <is>
          <t>т</t>
        </is>
      </c>
      <c r="P342" t="inlineStr">
        <is>
          <t>т</t>
        </is>
      </c>
      <c r="Q342" t="n">
        <v>1000</v>
      </c>
      <c r="W342" t="n">
        <v>0</v>
      </c>
      <c r="X342" t="n">
        <v>1839160745</v>
      </c>
      <c r="Y342">
        <f>AT342</f>
        <v/>
      </c>
      <c r="AA342" t="n">
        <v>0</v>
      </c>
      <c r="AB342" t="n">
        <v>0</v>
      </c>
      <c r="AC342" t="n">
        <v>0</v>
      </c>
      <c r="AD342" t="n">
        <v>0</v>
      </c>
      <c r="AE342" t="n">
        <v>0</v>
      </c>
      <c r="AF342" t="n">
        <v>0</v>
      </c>
      <c r="AG342" t="n">
        <v>0</v>
      </c>
      <c r="AH342" t="n">
        <v>0</v>
      </c>
      <c r="AI342" t="n">
        <v>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1</v>
      </c>
      <c r="AQ342" t="n">
        <v>0</v>
      </c>
      <c r="AR342" t="n">
        <v>0</v>
      </c>
      <c r="AS342" t="inlineStr"/>
      <c r="AT342" t="n">
        <v>0.04</v>
      </c>
      <c r="AU342" t="inlineStr"/>
      <c r="AV342" t="n">
        <v>0</v>
      </c>
      <c r="AW342" t="n">
        <v>2</v>
      </c>
      <c r="AX342" t="n">
        <v>78871045</v>
      </c>
      <c r="AY342" t="n">
        <v>1</v>
      </c>
      <c r="AZ342" t="n">
        <v>0</v>
      </c>
      <c r="BA342" t="n">
        <v>310</v>
      </c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ROUND(Y342*Source!I659,7)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ROW(Source!A662)</f>
        <v/>
      </c>
      <c r="B343" t="n">
        <v>78869116</v>
      </c>
      <c r="C343" t="n">
        <v>78871048</v>
      </c>
      <c r="D343" t="n">
        <v>18442827</v>
      </c>
      <c r="E343" t="n">
        <v>1</v>
      </c>
      <c r="F343" t="n">
        <v>1</v>
      </c>
      <c r="G343" t="n">
        <v>1</v>
      </c>
      <c r="H343" t="n">
        <v>1</v>
      </c>
      <c r="I343" t="inlineStr">
        <is>
          <t>1-1053-90</t>
        </is>
      </c>
      <c r="J343" t="inlineStr"/>
      <c r="K343" t="inlineStr">
        <is>
          <t>Рабочий строитель среднего разряда 5,3</t>
        </is>
      </c>
      <c r="L343" t="n">
        <v>1369</v>
      </c>
      <c r="N343" t="n">
        <v>1013</v>
      </c>
      <c r="O343" t="inlineStr">
        <is>
          <t>чел.-ч</t>
        </is>
      </c>
      <c r="P343" t="inlineStr">
        <is>
          <t>чел.-ч</t>
        </is>
      </c>
      <c r="Q343" t="n">
        <v>1</v>
      </c>
      <c r="W343" t="n">
        <v>0</v>
      </c>
      <c r="X343" t="n">
        <v>717490484</v>
      </c>
      <c r="Y343">
        <f>(AT343*ROUND(5,7))</f>
        <v/>
      </c>
      <c r="AA343" t="n">
        <v>0</v>
      </c>
      <c r="AB343" t="n">
        <v>0</v>
      </c>
      <c r="AC343" t="n">
        <v>0</v>
      </c>
      <c r="AD343" t="n">
        <v>11.64</v>
      </c>
      <c r="AE343" t="n">
        <v>0</v>
      </c>
      <c r="AF343" t="n">
        <v>0</v>
      </c>
      <c r="AG343" t="n">
        <v>0</v>
      </c>
      <c r="AH343" t="n">
        <v>11.64</v>
      </c>
      <c r="AI343" t="n">
        <v>1</v>
      </c>
      <c r="AJ343" t="n">
        <v>1</v>
      </c>
      <c r="AK343" t="n">
        <v>1</v>
      </c>
      <c r="AL343" t="n">
        <v>1</v>
      </c>
      <c r="AM343" t="n">
        <v>-2</v>
      </c>
      <c r="AN343" t="n">
        <v>0</v>
      </c>
      <c r="AO343" t="n">
        <v>1</v>
      </c>
      <c r="AP343" t="n">
        <v>1</v>
      </c>
      <c r="AQ343" t="n">
        <v>0</v>
      </c>
      <c r="AR343" t="n">
        <v>0</v>
      </c>
      <c r="AS343" t="inlineStr"/>
      <c r="AT343" t="n">
        <v>5.01</v>
      </c>
      <c r="AU343" t="inlineStr">
        <is>
          <t>)*5</t>
        </is>
      </c>
      <c r="AV343" t="n">
        <v>1</v>
      </c>
      <c r="AW343" t="n">
        <v>2</v>
      </c>
      <c r="AX343" t="n">
        <v>78871055</v>
      </c>
      <c r="AY343" t="n">
        <v>1</v>
      </c>
      <c r="AZ343" t="n">
        <v>2048</v>
      </c>
      <c r="BA343" t="n">
        <v>311</v>
      </c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U343">
        <f>ROUND(AT343*Source!I662*AH343*AL343,0)</f>
        <v/>
      </c>
      <c r="CV343">
        <f>ROUND(Y343*Source!I662,7)</f>
        <v/>
      </c>
      <c r="CW343" t="n">
        <v>0</v>
      </c>
      <c r="CX343">
        <f>ROUND(Y343*Source!I662,7)</f>
        <v/>
      </c>
      <c r="CY343">
        <f>AD343</f>
        <v/>
      </c>
      <c r="CZ343">
        <f>AH343</f>
        <v/>
      </c>
      <c r="DA343">
        <f>AL343</f>
        <v/>
      </c>
      <c r="DB343">
        <f>ROUND((ROUND(AT343*CZ343,2)*ROUND(5,7)),2)</f>
        <v/>
      </c>
      <c r="DC343">
        <f>ROUND((ROUND(AT343*AG343,2)*ROUND(5,7)),2)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DI343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ROW(Source!A662)</f>
        <v/>
      </c>
      <c r="B344" t="n">
        <v>78869116</v>
      </c>
      <c r="C344" t="n">
        <v>78871048</v>
      </c>
      <c r="D344" t="n">
        <v>29172703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042900</t>
        </is>
      </c>
      <c r="J344" t="inlineStr">
        <is>
          <t>ТСЭМ Московской обл., 042900, приказ Минстроя России №675/пр от 28.02.2017 № 264/пр</t>
        </is>
      </c>
      <c r="K34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W344" t="n">
        <v>0</v>
      </c>
      <c r="X344" t="n">
        <v>1695838894</v>
      </c>
      <c r="Y344">
        <f>(AT344*ROUND(5,7))</f>
        <v/>
      </c>
      <c r="AA344" t="n">
        <v>0</v>
      </c>
      <c r="AB344" t="n">
        <v>177.13</v>
      </c>
      <c r="AC344" t="n">
        <v>0</v>
      </c>
      <c r="AD344" t="n">
        <v>0</v>
      </c>
      <c r="AE344" t="n">
        <v>0</v>
      </c>
      <c r="AF344" t="n">
        <v>29.67</v>
      </c>
      <c r="AG344" t="n">
        <v>0</v>
      </c>
      <c r="AH344" t="n">
        <v>0</v>
      </c>
      <c r="AI344" t="n">
        <v>1</v>
      </c>
      <c r="AJ344" t="n">
        <v>5.97</v>
      </c>
      <c r="AK344" t="n">
        <v>52.25</v>
      </c>
      <c r="AL344" t="n">
        <v>1</v>
      </c>
      <c r="AM344" t="n">
        <v>2</v>
      </c>
      <c r="AN344" t="n">
        <v>0</v>
      </c>
      <c r="AO344" t="n">
        <v>1</v>
      </c>
      <c r="AP344" t="n">
        <v>1</v>
      </c>
      <c r="AQ344" t="n">
        <v>0</v>
      </c>
      <c r="AR344" t="n">
        <v>0</v>
      </c>
      <c r="AS344" t="inlineStr"/>
      <c r="AT344" t="n">
        <v>1.5</v>
      </c>
      <c r="AU344" t="inlineStr">
        <is>
          <t>)*5</t>
        </is>
      </c>
      <c r="AV344" t="n">
        <v>0</v>
      </c>
      <c r="AW344" t="n">
        <v>2</v>
      </c>
      <c r="AX344" t="n">
        <v>78871056</v>
      </c>
      <c r="AY344" t="n">
        <v>1</v>
      </c>
      <c r="AZ344" t="n">
        <v>0</v>
      </c>
      <c r="BA344" t="n">
        <v>312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V344" t="n">
        <v>0</v>
      </c>
      <c r="CW344">
        <f>ROUND(Y344*Source!I662*DO344,7)</f>
        <v/>
      </c>
      <c r="CX344">
        <f>ROUND(Y344*Source!I662,7)</f>
        <v/>
      </c>
      <c r="CY344">
        <f>AB344</f>
        <v/>
      </c>
      <c r="CZ344">
        <f>AF344</f>
        <v/>
      </c>
      <c r="DA344">
        <f>AJ344</f>
        <v/>
      </c>
      <c r="DB344">
        <f>ROUND((ROUND(AT344*CZ344,2)*ROUND(5,7)),2)</f>
        <v/>
      </c>
      <c r="DC344">
        <f>ROUND((ROUND(AT344*AG344,2)*ROUND(5,7)),2)</f>
        <v/>
      </c>
      <c r="DD344" t="inlineStr"/>
      <c r="DE344" t="inlineStr"/>
      <c r="DF344">
        <f>ROUND(ROUND(AE344,0)*CX344,0)</f>
        <v/>
      </c>
      <c r="DG344">
        <f>ROUND(ROUND(AF344*AJ344,0)*CX344,0)</f>
        <v/>
      </c>
      <c r="DH344">
        <f>ROUND(ROUND(AG344*AK344,0)*CX344,0)</f>
        <v/>
      </c>
      <c r="DI344">
        <f>ROUND(ROUND(AH344,0)*CX344,0)</f>
        <v/>
      </c>
      <c r="DJ344">
        <f>DG344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ROW(Source!A662)</f>
        <v/>
      </c>
      <c r="B345" t="n">
        <v>78869116</v>
      </c>
      <c r="C345" t="n">
        <v>78871048</v>
      </c>
      <c r="D345" t="n">
        <v>29110398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101-0388</t>
        </is>
      </c>
      <c r="J345" t="inlineStr">
        <is>
          <t>ТССЦ Московской обл., 101-0388, приказ Минстроя России №675/пр от 28.02.2017 № 254/пр</t>
        </is>
      </c>
      <c r="K345" t="inlineStr">
        <is>
          <t>Краски масляные земляные марки МА-0115 мумия, сурик железный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W345" t="n">
        <v>0</v>
      </c>
      <c r="X345" t="n">
        <v>1625292450</v>
      </c>
      <c r="Y345">
        <f>(AT345*ROUND(5,7))</f>
        <v/>
      </c>
      <c r="AA345" t="n">
        <v>76804.47</v>
      </c>
      <c r="AB345" t="n">
        <v>0</v>
      </c>
      <c r="AC345" t="n">
        <v>0</v>
      </c>
      <c r="AD345" t="n">
        <v>0</v>
      </c>
      <c r="AE345" t="n">
        <v>15118.99</v>
      </c>
      <c r="AF345" t="n">
        <v>0</v>
      </c>
      <c r="AG345" t="n">
        <v>0</v>
      </c>
      <c r="AH345" t="n">
        <v>0</v>
      </c>
      <c r="AI345" t="n">
        <v>5.08</v>
      </c>
      <c r="AJ345" t="n">
        <v>1</v>
      </c>
      <c r="AK345" t="n">
        <v>1</v>
      </c>
      <c r="AL345" t="n">
        <v>1</v>
      </c>
      <c r="AM345" t="n">
        <v>2</v>
      </c>
      <c r="AN345" t="n">
        <v>0</v>
      </c>
      <c r="AO345" t="n">
        <v>1</v>
      </c>
      <c r="AP345" t="n">
        <v>1</v>
      </c>
      <c r="AQ345" t="n">
        <v>0</v>
      </c>
      <c r="AR345" t="n">
        <v>0</v>
      </c>
      <c r="AS345" t="inlineStr"/>
      <c r="AT345" t="n">
        <v>5e-05</v>
      </c>
      <c r="AU345" t="inlineStr">
        <is>
          <t>)*5</t>
        </is>
      </c>
      <c r="AV345" t="n">
        <v>0</v>
      </c>
      <c r="AW345" t="n">
        <v>2</v>
      </c>
      <c r="AX345" t="n">
        <v>78871057</v>
      </c>
      <c r="AY345" t="n">
        <v>1</v>
      </c>
      <c r="AZ345" t="n">
        <v>0</v>
      </c>
      <c r="BA345" t="n">
        <v>313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ROUND(Y345*Source!I662,7)</f>
        <v/>
      </c>
      <c r="CY345">
        <f>AA345</f>
        <v/>
      </c>
      <c r="CZ345">
        <f>AE345</f>
        <v/>
      </c>
      <c r="DA345">
        <f>AI345</f>
        <v/>
      </c>
      <c r="DB345">
        <f>ROUND((ROUND(AT345*CZ345,2)*ROUND(5,7)),2)</f>
        <v/>
      </c>
      <c r="DC345">
        <f>ROUND((ROUND(AT345*AG345,2)*ROUND(5,7)),2)</f>
        <v/>
      </c>
      <c r="DD345" t="inlineStr"/>
      <c r="DE345" t="inlineStr"/>
      <c r="DF345">
        <f>ROUND(ROUND(AE345*AI345,0)*CX345,0)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DF345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ROW(Source!A662)</f>
        <v/>
      </c>
      <c r="B346" t="n">
        <v>78869116</v>
      </c>
      <c r="C346" t="n">
        <v>78871048</v>
      </c>
      <c r="D346" t="n">
        <v>29110573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101-0628</t>
        </is>
      </c>
      <c r="J346" t="inlineStr">
        <is>
          <t>ТССЦ Московской обл., 101-0628, приказ Минстроя России №675/пр от 28.02.2017 № 254/пр</t>
        </is>
      </c>
      <c r="K346" t="inlineStr">
        <is>
          <t>Олифа комбинированная, марки К-3</t>
        </is>
      </c>
      <c r="L346" t="n">
        <v>1348</v>
      </c>
      <c r="N346" t="n">
        <v>1009</v>
      </c>
      <c r="O346" t="inlineStr">
        <is>
          <t>т</t>
        </is>
      </c>
      <c r="P346" t="inlineStr">
        <is>
          <t>т</t>
        </is>
      </c>
      <c r="Q346" t="n">
        <v>1000</v>
      </c>
      <c r="W346" t="n">
        <v>0</v>
      </c>
      <c r="X346" t="n">
        <v>24062879</v>
      </c>
      <c r="Y346">
        <f>(AT346*ROUND(5,7))</f>
        <v/>
      </c>
      <c r="AA346" t="n">
        <v>87631.5</v>
      </c>
      <c r="AB346" t="n">
        <v>0</v>
      </c>
      <c r="AC346" t="n">
        <v>0</v>
      </c>
      <c r="AD346" t="n">
        <v>0</v>
      </c>
      <c r="AE346" t="n">
        <v>16950</v>
      </c>
      <c r="AF346" t="n">
        <v>0</v>
      </c>
      <c r="AG346" t="n">
        <v>0</v>
      </c>
      <c r="AH346" t="n">
        <v>0</v>
      </c>
      <c r="AI346" t="n">
        <v>5.17</v>
      </c>
      <c r="AJ346" t="n">
        <v>1</v>
      </c>
      <c r="AK346" t="n">
        <v>1</v>
      </c>
      <c r="AL346" t="n">
        <v>1</v>
      </c>
      <c r="AM346" t="n">
        <v>2</v>
      </c>
      <c r="AN346" t="n">
        <v>0</v>
      </c>
      <c r="AO346" t="n">
        <v>1</v>
      </c>
      <c r="AP346" t="n">
        <v>1</v>
      </c>
      <c r="AQ346" t="n">
        <v>0</v>
      </c>
      <c r="AR346" t="n">
        <v>0</v>
      </c>
      <c r="AS346" t="inlineStr"/>
      <c r="AT346" t="n">
        <v>2e-05</v>
      </c>
      <c r="AU346" t="inlineStr">
        <is>
          <t>)*5</t>
        </is>
      </c>
      <c r="AV346" t="n">
        <v>0</v>
      </c>
      <c r="AW346" t="n">
        <v>2</v>
      </c>
      <c r="AX346" t="n">
        <v>78871058</v>
      </c>
      <c r="AY346" t="n">
        <v>1</v>
      </c>
      <c r="AZ346" t="n">
        <v>0</v>
      </c>
      <c r="BA346" t="n">
        <v>314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 t="n">
        <v>0</v>
      </c>
      <c r="CX346">
        <f>ROUND(Y346*Source!I662,7)</f>
        <v/>
      </c>
      <c r="CY346">
        <f>AA346</f>
        <v/>
      </c>
      <c r="CZ346">
        <f>AE346</f>
        <v/>
      </c>
      <c r="DA346">
        <f>AI346</f>
        <v/>
      </c>
      <c r="DB346">
        <f>ROUND((ROUND(AT346*CZ346,2)*ROUND(5,7)),2)</f>
        <v/>
      </c>
      <c r="DC346">
        <f>ROUND((ROUND(AT346*AG346,2)*ROUND(5,7)),2)</f>
        <v/>
      </c>
      <c r="DD346" t="inlineStr"/>
      <c r="DE346" t="inlineStr"/>
      <c r="DF346">
        <f>ROUND(ROUND(AE346*AI346,0)*CX346,0)</f>
        <v/>
      </c>
      <c r="DG346">
        <f>ROUND(ROUND(AF346,0)*CX346,0)</f>
        <v/>
      </c>
      <c r="DH346">
        <f>ROUND(ROUND(AG346,0)*CX346,0)</f>
        <v/>
      </c>
      <c r="DI346">
        <f>ROUND(ROUND(AH346,0)*CX346,0)</f>
        <v/>
      </c>
      <c r="DJ346">
        <f>DF346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ROW(Source!A662)</f>
        <v/>
      </c>
      <c r="B347" t="n">
        <v>78869116</v>
      </c>
      <c r="C347" t="n">
        <v>78871048</v>
      </c>
      <c r="D347" t="n">
        <v>29107963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101-1669</t>
        </is>
      </c>
      <c r="J347" t="inlineStr">
        <is>
          <t>ТССЦ Московской обл., 101-1669, приказ Минстроя России №675/пр от 28.02.2017 № 254/пр</t>
        </is>
      </c>
      <c r="K347" t="inlineStr">
        <is>
          <t>Очес льняной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W347" t="n">
        <v>0</v>
      </c>
      <c r="X347" t="n">
        <v>-2113933962</v>
      </c>
      <c r="Y347">
        <f>(AT347*ROUND(5,7))</f>
        <v/>
      </c>
      <c r="AA347" t="n">
        <v>590.67</v>
      </c>
      <c r="AB347" t="n">
        <v>0</v>
      </c>
      <c r="AC347" t="n">
        <v>0</v>
      </c>
      <c r="AD347" t="n">
        <v>0</v>
      </c>
      <c r="AE347" t="n">
        <v>37.29</v>
      </c>
      <c r="AF347" t="n">
        <v>0</v>
      </c>
      <c r="AG347" t="n">
        <v>0</v>
      </c>
      <c r="AH347" t="n">
        <v>0</v>
      </c>
      <c r="AI347" t="n">
        <v>15.84</v>
      </c>
      <c r="AJ347" t="n">
        <v>1</v>
      </c>
      <c r="AK347" t="n">
        <v>1</v>
      </c>
      <c r="AL347" t="n">
        <v>1</v>
      </c>
      <c r="AM347" t="n">
        <v>2</v>
      </c>
      <c r="AN347" t="n">
        <v>0</v>
      </c>
      <c r="AO347" t="n">
        <v>1</v>
      </c>
      <c r="AP347" t="n">
        <v>1</v>
      </c>
      <c r="AQ347" t="n">
        <v>0</v>
      </c>
      <c r="AR347" t="n">
        <v>0</v>
      </c>
      <c r="AS347" t="inlineStr"/>
      <c r="AT347" t="n">
        <v>0.02</v>
      </c>
      <c r="AU347" t="inlineStr">
        <is>
          <t>)*5</t>
        </is>
      </c>
      <c r="AV347" t="n">
        <v>0</v>
      </c>
      <c r="AW347" t="n">
        <v>2</v>
      </c>
      <c r="AX347" t="n">
        <v>78871059</v>
      </c>
      <c r="AY347" t="n">
        <v>1</v>
      </c>
      <c r="AZ347" t="n">
        <v>0</v>
      </c>
      <c r="BA347" t="n">
        <v>315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 t="n">
        <v>0</v>
      </c>
      <c r="CX347">
        <f>ROUND(Y347*Source!I662,7)</f>
        <v/>
      </c>
      <c r="CY347">
        <f>AA347</f>
        <v/>
      </c>
      <c r="CZ347">
        <f>AE347</f>
        <v/>
      </c>
      <c r="DA347">
        <f>AI347</f>
        <v/>
      </c>
      <c r="DB347">
        <f>ROUND((ROUND(AT347*CZ347,2)*ROUND(5,7)),2)</f>
        <v/>
      </c>
      <c r="DC347">
        <f>ROUND((ROUND(AT347*AG347,2)*ROUND(5,7)),2)</f>
        <v/>
      </c>
      <c r="DD347" t="inlineStr"/>
      <c r="DE347" t="inlineStr"/>
      <c r="DF347">
        <f>ROUND(ROUND(AE347*AI347,0)*CX347,0)</f>
        <v/>
      </c>
      <c r="DG347">
        <f>ROUND(ROUND(AF347,0)*CX347,0)</f>
        <v/>
      </c>
      <c r="DH347">
        <f>ROUND(ROUND(AG347,0)*CX347,0)</f>
        <v/>
      </c>
      <c r="DI347">
        <f>ROUND(ROUND(AH347,0)*CX347,0)</f>
        <v/>
      </c>
      <c r="DJ347">
        <f>DF347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ROW(Source!A662)</f>
        <v/>
      </c>
      <c r="B348" t="n">
        <v>78869116</v>
      </c>
      <c r="C348" t="n">
        <v>78871048</v>
      </c>
      <c r="D348" t="n">
        <v>29150040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411-0001</t>
        </is>
      </c>
      <c r="J348" t="inlineStr">
        <is>
          <t>ТССЦ Московской обл., 411-0001, приказ Минстроя России №675/пр от 28.02.2017 № 257/пр</t>
        </is>
      </c>
      <c r="K348" t="inlineStr">
        <is>
          <t>Вода</t>
        </is>
      </c>
      <c r="L348" t="n">
        <v>1339</v>
      </c>
      <c r="N348" t="n">
        <v>1007</v>
      </c>
      <c r="O348" t="inlineStr">
        <is>
          <t>м3</t>
        </is>
      </c>
      <c r="P348" t="inlineStr">
        <is>
          <t>м3</t>
        </is>
      </c>
      <c r="Q348" t="n">
        <v>1</v>
      </c>
      <c r="W348" t="n">
        <v>0</v>
      </c>
      <c r="X348" t="n">
        <v>619799737</v>
      </c>
      <c r="Y348">
        <f>(AT348*ROUND(5,7))</f>
        <v/>
      </c>
      <c r="AA348" t="n">
        <v>31.28</v>
      </c>
      <c r="AB348" t="n">
        <v>0</v>
      </c>
      <c r="AC348" t="n">
        <v>0</v>
      </c>
      <c r="AD348" t="n">
        <v>0</v>
      </c>
      <c r="AE348" t="n">
        <v>2.44</v>
      </c>
      <c r="AF348" t="n">
        <v>0</v>
      </c>
      <c r="AG348" t="n">
        <v>0</v>
      </c>
      <c r="AH348" t="n">
        <v>0</v>
      </c>
      <c r="AI348" t="n">
        <v>12.82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1</v>
      </c>
      <c r="AQ348" t="n">
        <v>0</v>
      </c>
      <c r="AR348" t="n">
        <v>0</v>
      </c>
      <c r="AS348" t="inlineStr"/>
      <c r="AT348" t="n">
        <v>1</v>
      </c>
      <c r="AU348" t="inlineStr">
        <is>
          <t>)*5</t>
        </is>
      </c>
      <c r="AV348" t="n">
        <v>0</v>
      </c>
      <c r="AW348" t="n">
        <v>2</v>
      </c>
      <c r="AX348" t="n">
        <v>78871060</v>
      </c>
      <c r="AY348" t="n">
        <v>1</v>
      </c>
      <c r="AZ348" t="n">
        <v>0</v>
      </c>
      <c r="BA348" t="n">
        <v>316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ROUND(Y348*Source!I662,7)</f>
        <v/>
      </c>
      <c r="CY348">
        <f>AA348</f>
        <v/>
      </c>
      <c r="CZ348">
        <f>AE348</f>
        <v/>
      </c>
      <c r="DA348">
        <f>AI348</f>
        <v/>
      </c>
      <c r="DB348">
        <f>ROUND((ROUND(AT348*CZ348,2)*ROUND(5,7)),2)</f>
        <v/>
      </c>
      <c r="DC348">
        <f>ROUND((ROUND(AT348*AG348,2)*ROUND(5,7)),2)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ROW(Source!A663)</f>
        <v/>
      </c>
      <c r="B349" t="n">
        <v>78869116</v>
      </c>
      <c r="C349" t="n">
        <v>78871061</v>
      </c>
      <c r="D349" t="n">
        <v>18407150</v>
      </c>
      <c r="E349" t="n">
        <v>1</v>
      </c>
      <c r="F349" t="n">
        <v>1</v>
      </c>
      <c r="G349" t="n">
        <v>1</v>
      </c>
      <c r="H349" t="n">
        <v>1</v>
      </c>
      <c r="I349" t="inlineStr">
        <is>
          <t>1-1030-90</t>
        </is>
      </c>
      <c r="J349" t="inlineStr"/>
      <c r="K349" t="inlineStr">
        <is>
          <t>Рабочий строитель среднего разряда 3</t>
        </is>
      </c>
      <c r="L349" t="n">
        <v>1369</v>
      </c>
      <c r="N349" t="n">
        <v>1013</v>
      </c>
      <c r="O349" t="inlineStr">
        <is>
          <t>чел.-ч</t>
        </is>
      </c>
      <c r="P349" t="inlineStr">
        <is>
          <t>чел.-ч</t>
        </is>
      </c>
      <c r="Q349" t="n">
        <v>1</v>
      </c>
      <c r="W349" t="n">
        <v>0</v>
      </c>
      <c r="X349" t="n">
        <v>-931037793</v>
      </c>
      <c r="Y349">
        <f>AT349</f>
        <v/>
      </c>
      <c r="AA349" t="n">
        <v>0</v>
      </c>
      <c r="AB349" t="n">
        <v>0</v>
      </c>
      <c r="AC349" t="n">
        <v>0</v>
      </c>
      <c r="AD349" t="n">
        <v>8.529999999999999</v>
      </c>
      <c r="AE349" t="n">
        <v>0</v>
      </c>
      <c r="AF349" t="n">
        <v>0</v>
      </c>
      <c r="AG349" t="n">
        <v>0</v>
      </c>
      <c r="AH349" t="n">
        <v>8.529999999999999</v>
      </c>
      <c r="AI349" t="n">
        <v>1</v>
      </c>
      <c r="AJ349" t="n">
        <v>1</v>
      </c>
      <c r="AK349" t="n">
        <v>1</v>
      </c>
      <c r="AL349" t="n">
        <v>1</v>
      </c>
      <c r="AM349" t="n">
        <v>-2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13.9</v>
      </c>
      <c r="AU349" t="inlineStr"/>
      <c r="AV349" t="n">
        <v>1</v>
      </c>
      <c r="AW349" t="n">
        <v>2</v>
      </c>
      <c r="AX349" t="n">
        <v>78871065</v>
      </c>
      <c r="AY349" t="n">
        <v>1</v>
      </c>
      <c r="AZ349" t="n">
        <v>0</v>
      </c>
      <c r="BA349" t="n">
        <v>317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U349">
        <f>ROUND(AT349*Source!I663*AH349*AL349,0)</f>
        <v/>
      </c>
      <c r="CV349">
        <f>ROUND(Y349*Source!I663,7)</f>
        <v/>
      </c>
      <c r="CW349" t="n">
        <v>0</v>
      </c>
      <c r="CX349">
        <f>ROUND(Y349*Source!I663,7)</f>
        <v/>
      </c>
      <c r="CY349">
        <f>AD349</f>
        <v/>
      </c>
      <c r="CZ349">
        <f>AH349</f>
        <v/>
      </c>
      <c r="DA349">
        <f>AL349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DI349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ROW(Source!A663)</f>
        <v/>
      </c>
      <c r="B350" t="n">
        <v>78869116</v>
      </c>
      <c r="C350" t="n">
        <v>78871061</v>
      </c>
      <c r="D350" t="n">
        <v>29169821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509-0696</t>
        </is>
      </c>
      <c r="J350" t="inlineStr">
        <is>
          <t>ТССЦ Московской обл., 509-0696, приказ Минстроя России №675/пр от 28.02.2017 № 258/пр</t>
        </is>
      </c>
      <c r="K350" t="inlineStr">
        <is>
          <t>Лампы люминесцентные ртутные низкого давления типа ЛБ, ЛД, ЛДЦ, ЛТВ, ЛБХ 20</t>
        </is>
      </c>
      <c r="L350" t="n">
        <v>1358</v>
      </c>
      <c r="N350" t="n">
        <v>1010</v>
      </c>
      <c r="O350" t="inlineStr">
        <is>
          <t>10 шт.</t>
        </is>
      </c>
      <c r="P350" t="inlineStr">
        <is>
          <t>10 шт.</t>
        </is>
      </c>
      <c r="Q350" t="n">
        <v>10</v>
      </c>
      <c r="W350" t="n">
        <v>0</v>
      </c>
      <c r="X350" t="n">
        <v>-1187244712</v>
      </c>
      <c r="Y350">
        <f>AT350</f>
        <v/>
      </c>
      <c r="AA350" t="n">
        <v>352.73</v>
      </c>
      <c r="AB350" t="n">
        <v>0</v>
      </c>
      <c r="AC350" t="n">
        <v>0</v>
      </c>
      <c r="AD350" t="n">
        <v>0</v>
      </c>
      <c r="AE350" t="n">
        <v>85.2</v>
      </c>
      <c r="AF350" t="n">
        <v>0</v>
      </c>
      <c r="AG350" t="n">
        <v>0</v>
      </c>
      <c r="AH350" t="n">
        <v>0</v>
      </c>
      <c r="AI350" t="n">
        <v>4.14</v>
      </c>
      <c r="AJ350" t="n">
        <v>1</v>
      </c>
      <c r="AK350" t="n">
        <v>1</v>
      </c>
      <c r="AL350" t="n">
        <v>1</v>
      </c>
      <c r="AM350" t="n">
        <v>2</v>
      </c>
      <c r="AN350" t="n">
        <v>0</v>
      </c>
      <c r="AO350" t="n">
        <v>1</v>
      </c>
      <c r="AP350" t="n">
        <v>0</v>
      </c>
      <c r="AQ350" t="n">
        <v>0</v>
      </c>
      <c r="AR350" t="n">
        <v>0</v>
      </c>
      <c r="AS350" t="inlineStr"/>
      <c r="AT350" t="n">
        <v>10</v>
      </c>
      <c r="AU350" t="inlineStr"/>
      <c r="AV350" t="n">
        <v>0</v>
      </c>
      <c r="AW350" t="n">
        <v>2</v>
      </c>
      <c r="AX350" t="n">
        <v>78871066</v>
      </c>
      <c r="AY350" t="n">
        <v>1</v>
      </c>
      <c r="AZ350" t="n">
        <v>0</v>
      </c>
      <c r="BA350" t="n">
        <v>318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ROUND(Y350*Source!I663,7)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ROUND(ROUND(AE350*AI350,0)*CX350,0)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ROW(Source!A663)</f>
        <v/>
      </c>
      <c r="B351" t="n">
        <v>78869116</v>
      </c>
      <c r="C351" t="n">
        <v>78871061</v>
      </c>
      <c r="D351" t="n">
        <v>29169828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509-6744</t>
        </is>
      </c>
      <c r="J351" t="inlineStr">
        <is>
          <t>ТССЦ Московской обл., 509-6744, приказ Минстроя России №675/пр от 28.02.2017 № 258/пр</t>
        </is>
      </c>
      <c r="K351" t="inlineStr">
        <is>
          <t>Лампы люминесцентные компактные энергосберегающие с цоколем Е27 мощностью 55 Вт</t>
        </is>
      </c>
      <c r="L351" t="n">
        <v>1354</v>
      </c>
      <c r="N351" t="n">
        <v>1010</v>
      </c>
      <c r="O351" t="inlineStr">
        <is>
          <t>шт.</t>
        </is>
      </c>
      <c r="P351" t="inlineStr">
        <is>
          <t>шт.</t>
        </is>
      </c>
      <c r="Q351" t="n">
        <v>1</v>
      </c>
      <c r="W351" t="n">
        <v>0</v>
      </c>
      <c r="X351" t="n">
        <v>-228955380</v>
      </c>
      <c r="Y351">
        <f>AT351</f>
        <v/>
      </c>
      <c r="AA351" t="n">
        <v>237.77</v>
      </c>
      <c r="AB351" t="n">
        <v>0</v>
      </c>
      <c r="AC351" t="n">
        <v>0</v>
      </c>
      <c r="AD351" t="n">
        <v>0</v>
      </c>
      <c r="AE351" t="n">
        <v>140.69</v>
      </c>
      <c r="AF351" t="n">
        <v>0</v>
      </c>
      <c r="AG351" t="n">
        <v>0</v>
      </c>
      <c r="AH351" t="n">
        <v>0</v>
      </c>
      <c r="AI351" t="n">
        <v>1.69</v>
      </c>
      <c r="AJ351" t="n">
        <v>1</v>
      </c>
      <c r="AK351" t="n">
        <v>1</v>
      </c>
      <c r="AL351" t="n">
        <v>1</v>
      </c>
      <c r="AM351" t="n">
        <v>0</v>
      </c>
      <c r="AN351" t="n">
        <v>0</v>
      </c>
      <c r="AO351" t="n">
        <v>0</v>
      </c>
      <c r="AP351" t="n">
        <v>1</v>
      </c>
      <c r="AQ351" t="n">
        <v>0</v>
      </c>
      <c r="AR351" t="n">
        <v>0</v>
      </c>
      <c r="AS351" t="inlineStr"/>
      <c r="AT351" t="n">
        <v>100</v>
      </c>
      <c r="AU351" t="inlineStr"/>
      <c r="AV351" t="n">
        <v>0</v>
      </c>
      <c r="AW351" t="n">
        <v>1</v>
      </c>
      <c r="AX351" t="n">
        <v>-1</v>
      </c>
      <c r="AY351" t="n">
        <v>0</v>
      </c>
      <c r="AZ351" t="n">
        <v>0</v>
      </c>
      <c r="BA351" t="inlineStr"/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V351" t="n">
        <v>0</v>
      </c>
      <c r="CW351" t="n">
        <v>0</v>
      </c>
      <c r="CX351">
        <f>ROUND(Y351*Source!I663,7)</f>
        <v/>
      </c>
      <c r="CY351">
        <f>AA351</f>
        <v/>
      </c>
      <c r="CZ351">
        <f>AE351</f>
        <v/>
      </c>
      <c r="DA351">
        <f>AI351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ROUND(ROUND(AE351*AI351,0)*CX351,0)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DF351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ROW(Source!A665)</f>
        <v/>
      </c>
      <c r="B352" t="n">
        <v>78869116</v>
      </c>
      <c r="C352" t="n">
        <v>78871068</v>
      </c>
      <c r="D352" t="n">
        <v>29361307</v>
      </c>
      <c r="E352" t="n">
        <v>1</v>
      </c>
      <c r="F352" t="n">
        <v>1</v>
      </c>
      <c r="G352" t="n">
        <v>1</v>
      </c>
      <c r="H352" t="n">
        <v>1</v>
      </c>
      <c r="I352" t="inlineStr">
        <is>
          <t>1-2039-90</t>
        </is>
      </c>
      <c r="J352" t="inlineStr"/>
      <c r="K352" t="inlineStr">
        <is>
          <t>Рабочий монтажник среднего разряда 3,9</t>
        </is>
      </c>
      <c r="L352" t="n">
        <v>1369</v>
      </c>
      <c r="N352" t="n">
        <v>1013</v>
      </c>
      <c r="O352" t="inlineStr">
        <is>
          <t>чел.-ч</t>
        </is>
      </c>
      <c r="P352" t="inlineStr">
        <is>
          <t>чел.-ч</t>
        </is>
      </c>
      <c r="Q352" t="n">
        <v>1</v>
      </c>
      <c r="W352" t="n">
        <v>0</v>
      </c>
      <c r="X352" t="n">
        <v>357208865</v>
      </c>
      <c r="Y352">
        <f>(AT352*ROUND(0.2,7))</f>
        <v/>
      </c>
      <c r="AA352" t="n">
        <v>0</v>
      </c>
      <c r="AB352" t="n">
        <v>0</v>
      </c>
      <c r="AC352" t="n">
        <v>0</v>
      </c>
      <c r="AD352" t="n">
        <v>9.51</v>
      </c>
      <c r="AE352" t="n">
        <v>0</v>
      </c>
      <c r="AF352" t="n">
        <v>0</v>
      </c>
      <c r="AG352" t="n">
        <v>0</v>
      </c>
      <c r="AH352" t="n">
        <v>9.51</v>
      </c>
      <c r="AI352" t="n">
        <v>1</v>
      </c>
      <c r="AJ352" t="n">
        <v>1</v>
      </c>
      <c r="AK352" t="n">
        <v>1</v>
      </c>
      <c r="AL352" t="n">
        <v>1</v>
      </c>
      <c r="AM352" t="n">
        <v>-2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2.32</v>
      </c>
      <c r="AU352" t="inlineStr">
        <is>
          <t>)*0,2</t>
        </is>
      </c>
      <c r="AV352" t="n">
        <v>1</v>
      </c>
      <c r="AW352" t="n">
        <v>2</v>
      </c>
      <c r="AX352" t="n">
        <v>78871088</v>
      </c>
      <c r="AY352" t="n">
        <v>1</v>
      </c>
      <c r="AZ352" t="n">
        <v>2048</v>
      </c>
      <c r="BA352" t="n">
        <v>319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U352">
        <f>ROUND(AT352*Source!I665*AH352*AL352,0)</f>
        <v/>
      </c>
      <c r="CV352">
        <f>ROUND(Y352*Source!I665,7)</f>
        <v/>
      </c>
      <c r="CW352" t="n">
        <v>0</v>
      </c>
      <c r="CX352">
        <f>ROUND(Y352*Source!I665,7)</f>
        <v/>
      </c>
      <c r="CY352">
        <f>AD352</f>
        <v/>
      </c>
      <c r="CZ352">
        <f>AH352</f>
        <v/>
      </c>
      <c r="DA352">
        <f>AL352</f>
        <v/>
      </c>
      <c r="DB352">
        <f>ROUND((ROUND(AT352*CZ352,2)*ROUND(0.2,7)),2)</f>
        <v/>
      </c>
      <c r="DC352">
        <f>ROUND((ROUND(AT352*AG352,2)*ROUND(0.2,7)),2)</f>
        <v/>
      </c>
      <c r="DD352" t="inlineStr"/>
      <c r="DE352" t="inlineStr"/>
      <c r="DF352">
        <f>ROUND(ROUND(AE352,0)*CX352,0)</f>
        <v/>
      </c>
      <c r="DG352">
        <f>ROUND(ROUND(AF352,0)*CX352,0)</f>
        <v/>
      </c>
      <c r="DH352">
        <f>ROUND(ROUND(AG352,0)*CX352,0)</f>
        <v/>
      </c>
      <c r="DI352">
        <f>ROUND(ROUND(AH352,0)*CX352,0)</f>
        <v/>
      </c>
      <c r="DJ352">
        <f>DI352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ROW(Source!A665)</f>
        <v/>
      </c>
      <c r="B353" t="n">
        <v>78869116</v>
      </c>
      <c r="C353" t="n">
        <v>78871068</v>
      </c>
      <c r="D353" t="n">
        <v>121548</v>
      </c>
      <c r="E353" t="n">
        <v>1</v>
      </c>
      <c r="F353" t="n">
        <v>1</v>
      </c>
      <c r="G353" t="n">
        <v>1</v>
      </c>
      <c r="H353" t="n">
        <v>1</v>
      </c>
      <c r="I353" t="inlineStr">
        <is>
          <t>2</t>
        </is>
      </c>
      <c r="J353" t="inlineStr"/>
      <c r="K353" t="inlineStr">
        <is>
          <t>Затраты труда машинистов</t>
        </is>
      </c>
      <c r="L353" t="n">
        <v>608254</v>
      </c>
      <c r="N353" t="n">
        <v>1013</v>
      </c>
      <c r="O353" t="inlineStr">
        <is>
          <t>чел.час</t>
        </is>
      </c>
      <c r="P353" t="inlineStr">
        <is>
          <t>чел.час</t>
        </is>
      </c>
      <c r="Q353" t="n">
        <v>1</v>
      </c>
      <c r="W353" t="n">
        <v>0</v>
      </c>
      <c r="X353" t="n">
        <v>-185737400</v>
      </c>
      <c r="Y353">
        <f>(AT353*ROUND(0.2,7))</f>
        <v/>
      </c>
      <c r="AA353" t="n">
        <v>0</v>
      </c>
      <c r="AB353" t="n">
        <v>0</v>
      </c>
      <c r="AC353" t="n">
        <v>0</v>
      </c>
      <c r="AD353" t="n">
        <v>0</v>
      </c>
      <c r="AE353" t="n">
        <v>0</v>
      </c>
      <c r="AF353" t="n">
        <v>0</v>
      </c>
      <c r="AG353" t="n">
        <v>0</v>
      </c>
      <c r="AH353" t="n">
        <v>0</v>
      </c>
      <c r="AI353" t="n">
        <v>1</v>
      </c>
      <c r="AJ353" t="n">
        <v>1</v>
      </c>
      <c r="AK353" t="n">
        <v>1</v>
      </c>
      <c r="AL353" t="n">
        <v>1</v>
      </c>
      <c r="AM353" t="n">
        <v>-2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0.01</v>
      </c>
      <c r="AU353" t="inlineStr">
        <is>
          <t>)*0,2</t>
        </is>
      </c>
      <c r="AV353" t="n">
        <v>2</v>
      </c>
      <c r="AW353" t="n">
        <v>2</v>
      </c>
      <c r="AX353" t="n">
        <v>78871089</v>
      </c>
      <c r="AY353" t="n">
        <v>1</v>
      </c>
      <c r="AZ353" t="n">
        <v>0</v>
      </c>
      <c r="BA353" t="n">
        <v>320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 t="n">
        <v>0</v>
      </c>
      <c r="CX353">
        <f>ROUND(Y353*Source!I665,7)</f>
        <v/>
      </c>
      <c r="CY353">
        <f>AD353</f>
        <v/>
      </c>
      <c r="CZ353">
        <f>AH353</f>
        <v/>
      </c>
      <c r="DA353">
        <f>AL353</f>
        <v/>
      </c>
      <c r="DB353">
        <f>ROUND((ROUND(AT353*CZ353,2)*ROUND(0.2,7)),2)</f>
        <v/>
      </c>
      <c r="DC353">
        <f>ROUND((ROUND(AT353*AG353,2)*ROUND(0.2,7)),2)</f>
        <v/>
      </c>
      <c r="DD353" t="inlineStr"/>
      <c r="DE353" t="inlineStr"/>
      <c r="DF353">
        <f>ROUND(ROUND(AE353,0)*CX353,0)</f>
        <v/>
      </c>
      <c r="DG353">
        <f>ROUND(ROUND(AF353,0)*CX353,0)</f>
        <v/>
      </c>
      <c r="DH353">
        <f>ROUND(ROUND(AG353,0)*CX353,0)</f>
        <v/>
      </c>
      <c r="DI353">
        <f>ROUND(ROUND(AH353,0)*CX353,0)</f>
        <v/>
      </c>
      <c r="DJ353">
        <f>DI353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ROW(Source!A665)</f>
        <v/>
      </c>
      <c r="B354" t="n">
        <v>78869116</v>
      </c>
      <c r="C354" t="n">
        <v>78871068</v>
      </c>
      <c r="D354" t="n">
        <v>29172362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021102</t>
        </is>
      </c>
      <c r="J354" t="inlineStr">
        <is>
          <t>ТСЭМ Московской обл., 021102, приказ Минстроя России №675/пр от 28.02.2017 № 264/пр</t>
        </is>
      </c>
      <c r="K354" t="inlineStr">
        <is>
          <t>Краны на автомобильном ходу при работе на монтаже технологического оборудования 10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783836208</v>
      </c>
      <c r="Y354">
        <f>(AT354*ROUND(0.2,7))</f>
        <v/>
      </c>
      <c r="AA354" t="n">
        <v>0</v>
      </c>
      <c r="AB354" t="n">
        <v>1504.04</v>
      </c>
      <c r="AC354" t="n">
        <v>705.38</v>
      </c>
      <c r="AD354" t="n">
        <v>0</v>
      </c>
      <c r="AE354" t="n">
        <v>0</v>
      </c>
      <c r="AF354" t="n">
        <v>134.65</v>
      </c>
      <c r="AG354" t="n">
        <v>13.5</v>
      </c>
      <c r="AH354" t="n">
        <v>0</v>
      </c>
      <c r="AI354" t="n">
        <v>1</v>
      </c>
      <c r="AJ354" t="n">
        <v>11.17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0.01</v>
      </c>
      <c r="AU354" t="inlineStr">
        <is>
          <t>)*0,2</t>
        </is>
      </c>
      <c r="AV354" t="n">
        <v>0</v>
      </c>
      <c r="AW354" t="n">
        <v>2</v>
      </c>
      <c r="AX354" t="n">
        <v>78871090</v>
      </c>
      <c r="AY354" t="n">
        <v>1</v>
      </c>
      <c r="AZ354" t="n">
        <v>0</v>
      </c>
      <c r="BA354" t="n">
        <v>321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ROUND(Y354*Source!I665*DO354,7)</f>
        <v/>
      </c>
      <c r="CX354">
        <f>ROUND(Y354*Source!I665,7)</f>
        <v/>
      </c>
      <c r="CY354">
        <f>AB354</f>
        <v/>
      </c>
      <c r="CZ354">
        <f>AF354</f>
        <v/>
      </c>
      <c r="DA354">
        <f>AJ354</f>
        <v/>
      </c>
      <c r="DB354">
        <f>ROUND((ROUND(AT354*CZ354,2)*ROUND(0.2,7)),2)</f>
        <v/>
      </c>
      <c r="DC354">
        <f>ROUND((ROUND(AT354*AG354,2)*ROUND(0.2,7)),2)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ROW(Source!A665)</f>
        <v/>
      </c>
      <c r="B355" t="n">
        <v>78869116</v>
      </c>
      <c r="C355" t="n">
        <v>78871068</v>
      </c>
      <c r="D355" t="n">
        <v>29172657</v>
      </c>
      <c r="E355" t="n">
        <v>1</v>
      </c>
      <c r="F355" t="n">
        <v>1</v>
      </c>
      <c r="G355" t="n">
        <v>1</v>
      </c>
      <c r="H355" t="n">
        <v>2</v>
      </c>
      <c r="I355" t="inlineStr">
        <is>
          <t>040502</t>
        </is>
      </c>
      <c r="J355" t="inlineStr">
        <is>
          <t>ТСЭМ Московской обл., 040502, приказ Минстроя России №675/пр от 28.02.2017 № 264/пр</t>
        </is>
      </c>
      <c r="K355" t="inlineStr">
        <is>
          <t>Установки для сварки ручной дуговой (постоянного тока)</t>
        </is>
      </c>
      <c r="L355" t="n">
        <v>1368</v>
      </c>
      <c r="N355" t="n">
        <v>1011</v>
      </c>
      <c r="O355" t="inlineStr">
        <is>
          <t>маш.-ч</t>
        </is>
      </c>
      <c r="P355" t="inlineStr">
        <is>
          <t>маш.-ч</t>
        </is>
      </c>
      <c r="Q355" t="n">
        <v>1</v>
      </c>
      <c r="W355" t="n">
        <v>0</v>
      </c>
      <c r="X355" t="n">
        <v>1474986261</v>
      </c>
      <c r="Y355">
        <f>(AT355*ROUND(0.2,7))</f>
        <v/>
      </c>
      <c r="AA355" t="n">
        <v>0</v>
      </c>
      <c r="AB355" t="n">
        <v>69.26000000000001</v>
      </c>
      <c r="AC355" t="n">
        <v>0</v>
      </c>
      <c r="AD355" t="n">
        <v>0</v>
      </c>
      <c r="AE355" t="n">
        <v>0</v>
      </c>
      <c r="AF355" t="n">
        <v>8.1</v>
      </c>
      <c r="AG355" t="n">
        <v>0</v>
      </c>
      <c r="AH355" t="n">
        <v>0</v>
      </c>
      <c r="AI355" t="n">
        <v>1</v>
      </c>
      <c r="AJ355" t="n">
        <v>8.550000000000001</v>
      </c>
      <c r="AK355" t="n">
        <v>52.25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0.13</v>
      </c>
      <c r="AU355" t="inlineStr">
        <is>
          <t>)*0,2</t>
        </is>
      </c>
      <c r="AV355" t="n">
        <v>0</v>
      </c>
      <c r="AW355" t="n">
        <v>2</v>
      </c>
      <c r="AX355" t="n">
        <v>78871091</v>
      </c>
      <c r="AY355" t="n">
        <v>1</v>
      </c>
      <c r="AZ355" t="n">
        <v>2048</v>
      </c>
      <c r="BA355" t="n">
        <v>322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>
        <f>ROUND(Y355*Source!I665*DO355,7)</f>
        <v/>
      </c>
      <c r="CX355">
        <f>ROUND(Y355*Source!I665,7)</f>
        <v/>
      </c>
      <c r="CY355">
        <f>AB355</f>
        <v/>
      </c>
      <c r="CZ355">
        <f>AF355</f>
        <v/>
      </c>
      <c r="DA355">
        <f>AJ355</f>
        <v/>
      </c>
      <c r="DB355">
        <f>ROUND((ROUND(AT355*CZ355,2)*ROUND(0.2,7)),2)</f>
        <v/>
      </c>
      <c r="DC355">
        <f>ROUND((ROUND(AT355*AG355,2)*ROUND(0.2,7)),2)</f>
        <v/>
      </c>
      <c r="DD355" t="inlineStr"/>
      <c r="DE355" t="inlineStr"/>
      <c r="DF355">
        <f>ROUND(ROUND(AE355,0)*CX355,0)</f>
        <v/>
      </c>
      <c r="DG355">
        <f>ROUND(ROUND(AF355*AJ355,0)*CX355,0)</f>
        <v/>
      </c>
      <c r="DH355">
        <f>ROUND(ROUND(AG355*AK355,0)*CX355,0)</f>
        <v/>
      </c>
      <c r="DI355">
        <f>ROUND(ROUND(AH355,0)*CX355,0)</f>
        <v/>
      </c>
      <c r="DJ355">
        <f>DG355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ROW(Source!A665)</f>
        <v/>
      </c>
      <c r="B356" t="n">
        <v>78869116</v>
      </c>
      <c r="C356" t="n">
        <v>78871068</v>
      </c>
      <c r="D356" t="n">
        <v>29174500</v>
      </c>
      <c r="E356" t="n">
        <v>1</v>
      </c>
      <c r="F356" t="n">
        <v>1</v>
      </c>
      <c r="G356" t="n">
        <v>1</v>
      </c>
      <c r="H356" t="n">
        <v>2</v>
      </c>
      <c r="I356" t="inlineStr">
        <is>
          <t>330206</t>
        </is>
      </c>
      <c r="J356" t="inlineStr">
        <is>
          <t>ТСЭМ Московской обл., 330206, приказ Минстроя России №675/пр от 28.02.2017 № 264/пр</t>
        </is>
      </c>
      <c r="K356" t="inlineStr">
        <is>
          <t>Дрели электрические</t>
        </is>
      </c>
      <c r="L356" t="n">
        <v>1368</v>
      </c>
      <c r="N356" t="n">
        <v>1011</v>
      </c>
      <c r="O356" t="inlineStr">
        <is>
          <t>маш.-ч</t>
        </is>
      </c>
      <c r="P356" t="inlineStr">
        <is>
          <t>маш.-ч</t>
        </is>
      </c>
      <c r="Q356" t="n">
        <v>1</v>
      </c>
      <c r="W356" t="n">
        <v>0</v>
      </c>
      <c r="X356" t="n">
        <v>-1867053656</v>
      </c>
      <c r="Y356">
        <f>(AT356*ROUND(0.2,7))</f>
        <v/>
      </c>
      <c r="AA356" t="n">
        <v>0</v>
      </c>
      <c r="AB356" t="n">
        <v>8.390000000000001</v>
      </c>
      <c r="AC356" t="n">
        <v>0</v>
      </c>
      <c r="AD356" t="n">
        <v>0</v>
      </c>
      <c r="AE356" t="n">
        <v>0</v>
      </c>
      <c r="AF356" t="n">
        <v>1.95</v>
      </c>
      <c r="AG356" t="n">
        <v>0</v>
      </c>
      <c r="AH356" t="n">
        <v>0</v>
      </c>
      <c r="AI356" t="n">
        <v>1</v>
      </c>
      <c r="AJ356" t="n">
        <v>4.3</v>
      </c>
      <c r="AK356" t="n">
        <v>52.25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0.04</v>
      </c>
      <c r="AU356" t="inlineStr">
        <is>
          <t>)*0,2</t>
        </is>
      </c>
      <c r="AV356" t="n">
        <v>0</v>
      </c>
      <c r="AW356" t="n">
        <v>2</v>
      </c>
      <c r="AX356" t="n">
        <v>78871092</v>
      </c>
      <c r="AY356" t="n">
        <v>1</v>
      </c>
      <c r="AZ356" t="n">
        <v>0</v>
      </c>
      <c r="BA356" t="n">
        <v>323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>
        <f>ROUND(Y356*Source!I665*DO356,7)</f>
        <v/>
      </c>
      <c r="CX356">
        <f>ROUND(Y356*Source!I665,7)</f>
        <v/>
      </c>
      <c r="CY356">
        <f>AB356</f>
        <v/>
      </c>
      <c r="CZ356">
        <f>AF356</f>
        <v/>
      </c>
      <c r="DA356">
        <f>AJ356</f>
        <v/>
      </c>
      <c r="DB356">
        <f>ROUND((ROUND(AT356*CZ356,2)*ROUND(0.2,7)),2)</f>
        <v/>
      </c>
      <c r="DC356">
        <f>ROUND((ROUND(AT356*AG356,2)*ROUND(0.2,7)),2)</f>
        <v/>
      </c>
      <c r="DD356" t="inlineStr"/>
      <c r="DE356" t="inlineStr"/>
      <c r="DF356">
        <f>ROUND(ROUND(AE356,0)*CX356,0)</f>
        <v/>
      </c>
      <c r="DG356">
        <f>ROUND(ROUND(AF356*AJ356,0)*CX356,0)</f>
        <v/>
      </c>
      <c r="DH356">
        <f>ROUND(ROUND(AG356*AK356,0)*CX356,0)</f>
        <v/>
      </c>
      <c r="DI356">
        <f>ROUND(ROUND(AH356,0)*CX356,0)</f>
        <v/>
      </c>
      <c r="DJ356">
        <f>DG356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ROW(Source!A665)</f>
        <v/>
      </c>
      <c r="B357" t="n">
        <v>78869116</v>
      </c>
      <c r="C357" t="n">
        <v>78871068</v>
      </c>
      <c r="D357" t="n">
        <v>29174689</v>
      </c>
      <c r="E357" t="n">
        <v>1</v>
      </c>
      <c r="F357" t="n">
        <v>1</v>
      </c>
      <c r="G357" t="n">
        <v>1</v>
      </c>
      <c r="H357" t="n">
        <v>2</v>
      </c>
      <c r="I357" t="inlineStr">
        <is>
          <t>350451</t>
        </is>
      </c>
      <c r="J357" t="inlineStr">
        <is>
          <t>ТСЭМ Московской обл., 350451, приказ Минстроя России №675/пр от 28.02.2017 № 264/пр</t>
        </is>
      </c>
      <c r="K357" t="inlineStr">
        <is>
          <t>Пресс гидравлический с электроприводом</t>
        </is>
      </c>
      <c r="L357" t="n">
        <v>1368</v>
      </c>
      <c r="N357" t="n">
        <v>1011</v>
      </c>
      <c r="O357" t="inlineStr">
        <is>
          <t>маш.-ч</t>
        </is>
      </c>
      <c r="P357" t="inlineStr">
        <is>
          <t>маш.-ч</t>
        </is>
      </c>
      <c r="Q357" t="n">
        <v>1</v>
      </c>
      <c r="W357" t="n">
        <v>0</v>
      </c>
      <c r="X357" t="n">
        <v>-592654397</v>
      </c>
      <c r="Y357">
        <f>(AT357*ROUND(0.2,7))</f>
        <v/>
      </c>
      <c r="AA357" t="n">
        <v>0</v>
      </c>
      <c r="AB357" t="n">
        <v>6.54</v>
      </c>
      <c r="AC357" t="n">
        <v>0</v>
      </c>
      <c r="AD357" t="n">
        <v>0</v>
      </c>
      <c r="AE357" t="n">
        <v>0</v>
      </c>
      <c r="AF357" t="n">
        <v>1.11</v>
      </c>
      <c r="AG357" t="n">
        <v>0</v>
      </c>
      <c r="AH357" t="n">
        <v>0</v>
      </c>
      <c r="AI357" t="n">
        <v>1</v>
      </c>
      <c r="AJ357" t="n">
        <v>5.89</v>
      </c>
      <c r="AK357" t="n">
        <v>52.25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0.2</v>
      </c>
      <c r="AU357" t="inlineStr">
        <is>
          <t>)*0,2</t>
        </is>
      </c>
      <c r="AV357" t="n">
        <v>0</v>
      </c>
      <c r="AW357" t="n">
        <v>2</v>
      </c>
      <c r="AX357" t="n">
        <v>78871093</v>
      </c>
      <c r="AY357" t="n">
        <v>1</v>
      </c>
      <c r="AZ357" t="n">
        <v>2048</v>
      </c>
      <c r="BA357" t="n">
        <v>324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>
        <f>ROUND(Y357*Source!I665*DO357,7)</f>
        <v/>
      </c>
      <c r="CX357">
        <f>ROUND(Y357*Source!I665,7)</f>
        <v/>
      </c>
      <c r="CY357">
        <f>AB357</f>
        <v/>
      </c>
      <c r="CZ357">
        <f>AF357</f>
        <v/>
      </c>
      <c r="DA357">
        <f>AJ357</f>
        <v/>
      </c>
      <c r="DB357">
        <f>ROUND((ROUND(AT357*CZ357,2)*ROUND(0.2,7)),2)</f>
        <v/>
      </c>
      <c r="DC357">
        <f>ROUND((ROUND(AT357*AG357,2)*ROUND(0.2,7)),2)</f>
        <v/>
      </c>
      <c r="DD357" t="inlineStr"/>
      <c r="DE357" t="inlineStr"/>
      <c r="DF357">
        <f>ROUND(ROUND(AE357,0)*CX357,0)</f>
        <v/>
      </c>
      <c r="DG357">
        <f>ROUND(ROUND(AF357*AJ357,0)*CX357,0)</f>
        <v/>
      </c>
      <c r="DH357">
        <f>ROUND(ROUND(AG357*AK357,0)*CX357,0)</f>
        <v/>
      </c>
      <c r="DI357">
        <f>ROUND(ROUND(AH357,0)*CX357,0)</f>
        <v/>
      </c>
      <c r="DJ357">
        <f>DG357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ROW(Source!A665)</f>
        <v/>
      </c>
      <c r="B358" t="n">
        <v>78869116</v>
      </c>
      <c r="C358" t="n">
        <v>78871068</v>
      </c>
      <c r="D358" t="n">
        <v>29174913</v>
      </c>
      <c r="E358" t="n">
        <v>1</v>
      </c>
      <c r="F358" t="n">
        <v>1</v>
      </c>
      <c r="G358" t="n">
        <v>1</v>
      </c>
      <c r="H358" t="n">
        <v>2</v>
      </c>
      <c r="I358" t="inlineStr">
        <is>
          <t>400001</t>
        </is>
      </c>
      <c r="J358" t="inlineStr">
        <is>
          <t>ТСЭМ Московской обл., 400001, приказ Минстроя России №675/пр от 28.02.2017 № 264/пр</t>
        </is>
      </c>
      <c r="K358" t="inlineStr">
        <is>
          <t>Автомобили бортовые, грузоподъемность до 5 т</t>
        </is>
      </c>
      <c r="L358" t="n">
        <v>1368</v>
      </c>
      <c r="N358" t="n">
        <v>1011</v>
      </c>
      <c r="O358" t="inlineStr">
        <is>
          <t>маш.-ч</t>
        </is>
      </c>
      <c r="P358" t="inlineStr">
        <is>
          <t>маш.-ч</t>
        </is>
      </c>
      <c r="Q358" t="n">
        <v>1</v>
      </c>
      <c r="W358" t="n">
        <v>0</v>
      </c>
      <c r="X358" t="n">
        <v>1230759911</v>
      </c>
      <c r="Y358">
        <f>(AT358*ROUND(0.2,7))</f>
        <v/>
      </c>
      <c r="AA358" t="n">
        <v>0</v>
      </c>
      <c r="AB358" t="n">
        <v>2177.51</v>
      </c>
      <c r="AC358" t="n">
        <v>606.1</v>
      </c>
      <c r="AD358" t="n">
        <v>0</v>
      </c>
      <c r="AE358" t="n">
        <v>0</v>
      </c>
      <c r="AF358" t="n">
        <v>87.17</v>
      </c>
      <c r="AG358" t="n">
        <v>11.6</v>
      </c>
      <c r="AH358" t="n">
        <v>0</v>
      </c>
      <c r="AI358" t="n">
        <v>1</v>
      </c>
      <c r="AJ358" t="n">
        <v>24.98</v>
      </c>
      <c r="AK358" t="n">
        <v>52.25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0.01</v>
      </c>
      <c r="AU358" t="inlineStr">
        <is>
          <t>)*0,2</t>
        </is>
      </c>
      <c r="AV358" t="n">
        <v>0</v>
      </c>
      <c r="AW358" t="n">
        <v>2</v>
      </c>
      <c r="AX358" t="n">
        <v>78871094</v>
      </c>
      <c r="AY358" t="n">
        <v>1</v>
      </c>
      <c r="AZ358" t="n">
        <v>0</v>
      </c>
      <c r="BA358" t="n">
        <v>325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>
        <f>ROUND(Y358*Source!I665*DO358,7)</f>
        <v/>
      </c>
      <c r="CX358">
        <f>ROUND(Y358*Source!I665,7)</f>
        <v/>
      </c>
      <c r="CY358">
        <f>AB358</f>
        <v/>
      </c>
      <c r="CZ358">
        <f>AF358</f>
        <v/>
      </c>
      <c r="DA358">
        <f>AJ358</f>
        <v/>
      </c>
      <c r="DB358">
        <f>ROUND((ROUND(AT358*CZ358,2)*ROUND(0.2,7)),2)</f>
        <v/>
      </c>
      <c r="DC358">
        <f>ROUND((ROUND(AT358*AG358,2)*ROUND(0.2,7)),2)</f>
        <v/>
      </c>
      <c r="DD358" t="inlineStr"/>
      <c r="DE358" t="inlineStr"/>
      <c r="DF358">
        <f>ROUND(ROUND(AE358,0)*CX358,0)</f>
        <v/>
      </c>
      <c r="DG358">
        <f>ROUND(ROUND(AF358*AJ358,0)*CX358,0)</f>
        <v/>
      </c>
      <c r="DH358">
        <f>ROUND(ROUND(AG358*AK358,0)*CX358,0)</f>
        <v/>
      </c>
      <c r="DI358">
        <f>ROUND(ROUND(AH358,0)*CX358,0)</f>
        <v/>
      </c>
      <c r="DJ358">
        <f>DG358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ROW(Source!A665)</f>
        <v/>
      </c>
      <c r="B359" t="n">
        <v>78869116</v>
      </c>
      <c r="C359" t="n">
        <v>78871068</v>
      </c>
      <c r="D359" t="n">
        <v>29110546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101-1665</t>
        </is>
      </c>
      <c r="J359" t="inlineStr">
        <is>
          <t>ТССЦ Московской обл., 101-1665, приказ Минстроя России №675/пр от 28.02.2017 № 254/пр</t>
        </is>
      </c>
      <c r="K359" t="inlineStr">
        <is>
          <t>Лак электроизоляционный 318</t>
        </is>
      </c>
      <c r="L359" t="n">
        <v>1346</v>
      </c>
      <c r="N359" t="n">
        <v>1009</v>
      </c>
      <c r="O359" t="inlineStr">
        <is>
          <t>кг</t>
        </is>
      </c>
      <c r="P359" t="inlineStr">
        <is>
          <t>кг</t>
        </is>
      </c>
      <c r="Q359" t="n">
        <v>1</v>
      </c>
      <c r="W359" t="n">
        <v>0</v>
      </c>
      <c r="X359" t="n">
        <v>2102179917</v>
      </c>
      <c r="Y359">
        <f>(AT359*ROUND(0.2,7))</f>
        <v/>
      </c>
      <c r="AA359" t="n">
        <v>191.33</v>
      </c>
      <c r="AB359" t="n">
        <v>0</v>
      </c>
      <c r="AC359" t="n">
        <v>0</v>
      </c>
      <c r="AD359" t="n">
        <v>0</v>
      </c>
      <c r="AE359" t="n">
        <v>35.63</v>
      </c>
      <c r="AF359" t="n">
        <v>0</v>
      </c>
      <c r="AG359" t="n">
        <v>0</v>
      </c>
      <c r="AH359" t="n">
        <v>0</v>
      </c>
      <c r="AI359" t="n">
        <v>5.37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0.014</v>
      </c>
      <c r="AU359" t="inlineStr">
        <is>
          <t>)*0,2</t>
        </is>
      </c>
      <c r="AV359" t="n">
        <v>0</v>
      </c>
      <c r="AW359" t="n">
        <v>2</v>
      </c>
      <c r="AX359" t="n">
        <v>78871095</v>
      </c>
      <c r="AY359" t="n">
        <v>1</v>
      </c>
      <c r="AZ359" t="n">
        <v>2048</v>
      </c>
      <c r="BA359" t="n">
        <v>326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ROUND(Y359*Source!I665,7)</f>
        <v/>
      </c>
      <c r="CY359">
        <f>AA359</f>
        <v/>
      </c>
      <c r="CZ359">
        <f>AE359</f>
        <v/>
      </c>
      <c r="DA359">
        <f>AI359</f>
        <v/>
      </c>
      <c r="DB359">
        <f>ROUND((ROUND(AT359*CZ359,2)*ROUND(0.2,7)),2)</f>
        <v/>
      </c>
      <c r="DC359">
        <f>ROUND((ROUND(AT359*AG359,2)*ROUND(0.2,7)),2)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ROW(Source!A665)</f>
        <v/>
      </c>
      <c r="B360" t="n">
        <v>78869116</v>
      </c>
      <c r="C360" t="n">
        <v>78871068</v>
      </c>
      <c r="D360" t="n">
        <v>29113980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101-1924</t>
        </is>
      </c>
      <c r="J360" t="inlineStr">
        <is>
          <t>ТССЦ Московской обл., 101-1924, приказ Минстроя России №675/пр от 28.02.2017 № 254/пр</t>
        </is>
      </c>
      <c r="K360" t="inlineStr">
        <is>
          <t>Электроды диаметром 4 мм Э42А</t>
        </is>
      </c>
      <c r="L360" t="n">
        <v>1346</v>
      </c>
      <c r="N360" t="n">
        <v>1009</v>
      </c>
      <c r="O360" t="inlineStr">
        <is>
          <t>кг</t>
        </is>
      </c>
      <c r="P360" t="inlineStr">
        <is>
          <t>кг</t>
        </is>
      </c>
      <c r="Q360" t="n">
        <v>1</v>
      </c>
      <c r="W360" t="n">
        <v>0</v>
      </c>
      <c r="X360" t="n">
        <v>-1805966371</v>
      </c>
      <c r="Y360">
        <f>(AT360*ROUND(0.2,7))</f>
        <v/>
      </c>
      <c r="AA360" t="n">
        <v>179.3</v>
      </c>
      <c r="AB360" t="n">
        <v>0</v>
      </c>
      <c r="AC360" t="n">
        <v>0</v>
      </c>
      <c r="AD360" t="n">
        <v>0</v>
      </c>
      <c r="AE360" t="n">
        <v>14.31</v>
      </c>
      <c r="AF360" t="n">
        <v>0</v>
      </c>
      <c r="AG360" t="n">
        <v>0</v>
      </c>
      <c r="AH360" t="n">
        <v>0</v>
      </c>
      <c r="AI360" t="n">
        <v>12.53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0.07000000000000001</v>
      </c>
      <c r="AU360" t="inlineStr">
        <is>
          <t>)*0,2</t>
        </is>
      </c>
      <c r="AV360" t="n">
        <v>0</v>
      </c>
      <c r="AW360" t="n">
        <v>2</v>
      </c>
      <c r="AX360" t="n">
        <v>78871096</v>
      </c>
      <c r="AY360" t="n">
        <v>1</v>
      </c>
      <c r="AZ360" t="n">
        <v>2048</v>
      </c>
      <c r="BA360" t="n">
        <v>327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ROUND(Y360*Source!I665,7)</f>
        <v/>
      </c>
      <c r="CY360">
        <f>AA360</f>
        <v/>
      </c>
      <c r="CZ360">
        <f>AE360</f>
        <v/>
      </c>
      <c r="DA360">
        <f>AI360</f>
        <v/>
      </c>
      <c r="DB360">
        <f>ROUND((ROUND(AT360*CZ360,2)*ROUND(0.2,7)),2)</f>
        <v/>
      </c>
      <c r="DC360">
        <f>ROUND((ROUND(AT360*AG360,2)*ROUND(0.2,7)),2)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ROW(Source!A665)</f>
        <v/>
      </c>
      <c r="B361" t="n">
        <v>78869116</v>
      </c>
      <c r="C361" t="n">
        <v>78871068</v>
      </c>
      <c r="D361" t="n">
        <v>29108369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101-1964</t>
        </is>
      </c>
      <c r="J361" t="inlineStr">
        <is>
          <t>ТССЦ Московской обл., 101-1964, приказ Минстроя России №675/пр от 28.02.2017 № 254/пр</t>
        </is>
      </c>
      <c r="K361" t="inlineStr">
        <is>
          <t>Шпагат бумажный</t>
        </is>
      </c>
      <c r="L361" t="n">
        <v>1346</v>
      </c>
      <c r="N361" t="n">
        <v>1009</v>
      </c>
      <c r="O361" t="inlineStr">
        <is>
          <t>кг</t>
        </is>
      </c>
      <c r="P361" t="inlineStr">
        <is>
          <t>кг</t>
        </is>
      </c>
      <c r="Q361" t="n">
        <v>1</v>
      </c>
      <c r="W361" t="n">
        <v>0</v>
      </c>
      <c r="X361" t="n">
        <v>326902400</v>
      </c>
      <c r="Y361">
        <f>(AT361*ROUND(0.2,7))</f>
        <v/>
      </c>
      <c r="AA361" t="n">
        <v>260.82</v>
      </c>
      <c r="AB361" t="n">
        <v>0</v>
      </c>
      <c r="AC361" t="n">
        <v>0</v>
      </c>
      <c r="AD361" t="n">
        <v>0</v>
      </c>
      <c r="AE361" t="n">
        <v>18.9</v>
      </c>
      <c r="AF361" t="n">
        <v>0</v>
      </c>
      <c r="AG361" t="n">
        <v>0</v>
      </c>
      <c r="AH361" t="n">
        <v>0</v>
      </c>
      <c r="AI361" t="n">
        <v>13.8</v>
      </c>
      <c r="AJ361" t="n">
        <v>1</v>
      </c>
      <c r="AK361" t="n">
        <v>1</v>
      </c>
      <c r="AL361" t="n">
        <v>1</v>
      </c>
      <c r="AM361" t="n">
        <v>2</v>
      </c>
      <c r="AN361" t="n">
        <v>0</v>
      </c>
      <c r="AO361" t="n">
        <v>1</v>
      </c>
      <c r="AP361" t="n">
        <v>1</v>
      </c>
      <c r="AQ361" t="n">
        <v>0</v>
      </c>
      <c r="AR361" t="n">
        <v>0</v>
      </c>
      <c r="AS361" t="inlineStr"/>
      <c r="AT361" t="n">
        <v>0.004</v>
      </c>
      <c r="AU361" t="inlineStr">
        <is>
          <t>)*0,2</t>
        </is>
      </c>
      <c r="AV361" t="n">
        <v>0</v>
      </c>
      <c r="AW361" t="n">
        <v>2</v>
      </c>
      <c r="AX361" t="n">
        <v>78871097</v>
      </c>
      <c r="AY361" t="n">
        <v>1</v>
      </c>
      <c r="AZ361" t="n">
        <v>0</v>
      </c>
      <c r="BA361" t="n">
        <v>328</v>
      </c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ROUND(Y361*Source!I665,7)</f>
        <v/>
      </c>
      <c r="CY361">
        <f>AA361</f>
        <v/>
      </c>
      <c r="CZ361">
        <f>AE361</f>
        <v/>
      </c>
      <c r="DA361">
        <f>AI361</f>
        <v/>
      </c>
      <c r="DB361">
        <f>ROUND((ROUND(AT361*CZ361,2)*ROUND(0.2,7)),2)</f>
        <v/>
      </c>
      <c r="DC361">
        <f>ROUND((ROUND(AT361*AG361,2)*ROUND(0.2,7)),2)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ROW(Source!A665)</f>
        <v/>
      </c>
      <c r="B362" t="n">
        <v>78869116</v>
      </c>
      <c r="C362" t="n">
        <v>78871068</v>
      </c>
      <c r="D362" t="n">
        <v>29114246</v>
      </c>
      <c r="E362" t="n">
        <v>1</v>
      </c>
      <c r="F362" t="n">
        <v>1</v>
      </c>
      <c r="G362" t="n">
        <v>1</v>
      </c>
      <c r="H362" t="n">
        <v>3</v>
      </c>
      <c r="I362" t="inlineStr">
        <is>
          <t>101-1977</t>
        </is>
      </c>
      <c r="J362" t="inlineStr">
        <is>
          <t>ТССЦ Московской обл., 101-1977, приказ Минстроя России №675/пр от 28.02.2017 № 254/пр</t>
        </is>
      </c>
      <c r="K362" t="inlineStr">
        <is>
          <t>Болты с гайками и шайбами строительные</t>
        </is>
      </c>
      <c r="L362" t="n">
        <v>1346</v>
      </c>
      <c r="N362" t="n">
        <v>1009</v>
      </c>
      <c r="O362" t="inlineStr">
        <is>
          <t>кг</t>
        </is>
      </c>
      <c r="P362" t="inlineStr">
        <is>
          <t>кг</t>
        </is>
      </c>
      <c r="Q362" t="n">
        <v>1</v>
      </c>
      <c r="W362" t="n">
        <v>0</v>
      </c>
      <c r="X362" t="n">
        <v>30920770</v>
      </c>
      <c r="Y362">
        <f>(AT362*ROUND(0.2,7))</f>
        <v/>
      </c>
      <c r="AA362" t="n">
        <v>152.32</v>
      </c>
      <c r="AB362" t="n">
        <v>0</v>
      </c>
      <c r="AC362" t="n">
        <v>0</v>
      </c>
      <c r="AD362" t="n">
        <v>0</v>
      </c>
      <c r="AE362" t="n">
        <v>9.039999999999999</v>
      </c>
      <c r="AF362" t="n">
        <v>0</v>
      </c>
      <c r="AG362" t="n">
        <v>0</v>
      </c>
      <c r="AH362" t="n">
        <v>0</v>
      </c>
      <c r="AI362" t="n">
        <v>16.85</v>
      </c>
      <c r="AJ362" t="n">
        <v>1</v>
      </c>
      <c r="AK362" t="n">
        <v>1</v>
      </c>
      <c r="AL362" t="n">
        <v>1</v>
      </c>
      <c r="AM362" t="n">
        <v>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0.38</v>
      </c>
      <c r="AU362" t="inlineStr">
        <is>
          <t>)*0,2</t>
        </is>
      </c>
      <c r="AV362" t="n">
        <v>0</v>
      </c>
      <c r="AW362" t="n">
        <v>2</v>
      </c>
      <c r="AX362" t="n">
        <v>78871098</v>
      </c>
      <c r="AY362" t="n">
        <v>1</v>
      </c>
      <c r="AZ362" t="n">
        <v>2048</v>
      </c>
      <c r="BA362" t="n">
        <v>329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V362" t="n">
        <v>0</v>
      </c>
      <c r="CW362" t="n">
        <v>0</v>
      </c>
      <c r="CX362">
        <f>ROUND(Y362*Source!I665,7)</f>
        <v/>
      </c>
      <c r="CY362">
        <f>AA362</f>
        <v/>
      </c>
      <c r="CZ362">
        <f>AE362</f>
        <v/>
      </c>
      <c r="DA362">
        <f>AI362</f>
        <v/>
      </c>
      <c r="DB362">
        <f>ROUND((ROUND(AT362*CZ362,2)*ROUND(0.2,7)),2)</f>
        <v/>
      </c>
      <c r="DC362">
        <f>ROUND((ROUND(AT362*AG362,2)*ROUND(0.2,7)),2)</f>
        <v/>
      </c>
      <c r="DD362" t="inlineStr"/>
      <c r="DE362" t="inlineStr"/>
      <c r="DF362">
        <f>ROUND(ROUND(AE362*AI362,0)*CX362,0)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DF362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ROW(Source!A665)</f>
        <v/>
      </c>
      <c r="B363" t="n">
        <v>78869116</v>
      </c>
      <c r="C363" t="n">
        <v>78871068</v>
      </c>
      <c r="D363" t="n">
        <v>29110426</v>
      </c>
      <c r="E363" t="n">
        <v>1</v>
      </c>
      <c r="F363" t="n">
        <v>1</v>
      </c>
      <c r="G363" t="n">
        <v>1</v>
      </c>
      <c r="H363" t="n">
        <v>3</v>
      </c>
      <c r="I363" t="inlineStr">
        <is>
          <t>101-2143</t>
        </is>
      </c>
      <c r="J363" t="inlineStr">
        <is>
          <t>ТССЦ Московской обл., 101-2143, приказ Минстроя России №675/пр от 28.02.2017 № 254/пр</t>
        </is>
      </c>
      <c r="K363" t="inlineStr">
        <is>
          <t>Краска</t>
        </is>
      </c>
      <c r="L363" t="n">
        <v>1346</v>
      </c>
      <c r="N363" t="n">
        <v>1009</v>
      </c>
      <c r="O363" t="inlineStr">
        <is>
          <t>кг</t>
        </is>
      </c>
      <c r="P363" t="inlineStr">
        <is>
          <t>кг</t>
        </is>
      </c>
      <c r="Q363" t="n">
        <v>1</v>
      </c>
      <c r="W363" t="n">
        <v>0</v>
      </c>
      <c r="X363" t="n">
        <v>-1768004575</v>
      </c>
      <c r="Y363">
        <f>(AT363*ROUND(0.2,7))</f>
        <v/>
      </c>
      <c r="AA363" t="n">
        <v>76.84</v>
      </c>
      <c r="AB363" t="n">
        <v>0</v>
      </c>
      <c r="AC363" t="n">
        <v>0</v>
      </c>
      <c r="AD363" t="n">
        <v>0</v>
      </c>
      <c r="AE363" t="n">
        <v>28.67</v>
      </c>
      <c r="AF363" t="n">
        <v>0</v>
      </c>
      <c r="AG363" t="n">
        <v>0</v>
      </c>
      <c r="AH363" t="n">
        <v>0</v>
      </c>
      <c r="AI363" t="n">
        <v>2.68</v>
      </c>
      <c r="AJ363" t="n">
        <v>1</v>
      </c>
      <c r="AK363" t="n">
        <v>1</v>
      </c>
      <c r="AL363" t="n">
        <v>1</v>
      </c>
      <c r="AM363" t="n">
        <v>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0.047</v>
      </c>
      <c r="AU363" t="inlineStr">
        <is>
          <t>)*0,2</t>
        </is>
      </c>
      <c r="AV363" t="n">
        <v>0</v>
      </c>
      <c r="AW363" t="n">
        <v>2</v>
      </c>
      <c r="AX363" t="n">
        <v>78871099</v>
      </c>
      <c r="AY363" t="n">
        <v>1</v>
      </c>
      <c r="AZ363" t="n">
        <v>0</v>
      </c>
      <c r="BA363" t="n">
        <v>330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V363" t="n">
        <v>0</v>
      </c>
      <c r="CW363" t="n">
        <v>0</v>
      </c>
      <c r="CX363">
        <f>ROUND(Y363*Source!I665,7)</f>
        <v/>
      </c>
      <c r="CY363">
        <f>AA363</f>
        <v/>
      </c>
      <c r="CZ363">
        <f>AE363</f>
        <v/>
      </c>
      <c r="DA363">
        <f>AI363</f>
        <v/>
      </c>
      <c r="DB363">
        <f>ROUND((ROUND(AT363*CZ363,2)*ROUND(0.2,7)),2)</f>
        <v/>
      </c>
      <c r="DC363">
        <f>ROUND((ROUND(AT363*AG363,2)*ROUND(0.2,7)),2)</f>
        <v/>
      </c>
      <c r="DD363" t="inlineStr"/>
      <c r="DE363" t="inlineStr"/>
      <c r="DF363">
        <f>ROUND(ROUND(AE363*AI363,0)*CX363,0)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DF363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ROW(Source!A665)</f>
        <v/>
      </c>
      <c r="B364" t="n">
        <v>78869116</v>
      </c>
      <c r="C364" t="n">
        <v>78871068</v>
      </c>
      <c r="D364" t="n">
        <v>29107961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101-2365</t>
        </is>
      </c>
      <c r="J364" t="inlineStr">
        <is>
          <t>ТССЦ Московской обл., 101-2365, приказ Минстроя России №675/пр от 28.02.2017 № 254/пр</t>
        </is>
      </c>
      <c r="K364" t="inlineStr">
        <is>
          <t>Нитки швейные</t>
        </is>
      </c>
      <c r="L364" t="n">
        <v>1346</v>
      </c>
      <c r="N364" t="n">
        <v>1009</v>
      </c>
      <c r="O364" t="inlineStr">
        <is>
          <t>кг</t>
        </is>
      </c>
      <c r="P364" t="inlineStr">
        <is>
          <t>кг</t>
        </is>
      </c>
      <c r="Q364" t="n">
        <v>1</v>
      </c>
      <c r="W364" t="n">
        <v>0</v>
      </c>
      <c r="X364" t="n">
        <v>-1088339451</v>
      </c>
      <c r="Y364">
        <f>(AT364*ROUND(0.2,7))</f>
        <v/>
      </c>
      <c r="AA364" t="n">
        <v>766.37</v>
      </c>
      <c r="AB364" t="n">
        <v>0</v>
      </c>
      <c r="AC364" t="n">
        <v>0</v>
      </c>
      <c r="AD364" t="n">
        <v>0</v>
      </c>
      <c r="AE364" t="n">
        <v>133.05</v>
      </c>
      <c r="AF364" t="n">
        <v>0</v>
      </c>
      <c r="AG364" t="n">
        <v>0</v>
      </c>
      <c r="AH364" t="n">
        <v>0</v>
      </c>
      <c r="AI364" t="n">
        <v>5.76</v>
      </c>
      <c r="AJ364" t="n">
        <v>1</v>
      </c>
      <c r="AK364" t="n">
        <v>1</v>
      </c>
      <c r="AL364" t="n">
        <v>1</v>
      </c>
      <c r="AM364" t="n">
        <v>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0.002</v>
      </c>
      <c r="AU364" t="inlineStr">
        <is>
          <t>)*0,2</t>
        </is>
      </c>
      <c r="AV364" t="n">
        <v>0</v>
      </c>
      <c r="AW364" t="n">
        <v>2</v>
      </c>
      <c r="AX364" t="n">
        <v>78871100</v>
      </c>
      <c r="AY364" t="n">
        <v>1</v>
      </c>
      <c r="AZ364" t="n">
        <v>0</v>
      </c>
      <c r="BA364" t="n">
        <v>331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ROUND(Y364*Source!I665,7)</f>
        <v/>
      </c>
      <c r="CY364">
        <f>AA364</f>
        <v/>
      </c>
      <c r="CZ364">
        <f>AE364</f>
        <v/>
      </c>
      <c r="DA364">
        <f>AI364</f>
        <v/>
      </c>
      <c r="DB364">
        <f>ROUND((ROUND(AT364*CZ364,2)*ROUND(0.2,7)),2)</f>
        <v/>
      </c>
      <c r="DC364">
        <f>ROUND((ROUND(AT364*AG364,2)*ROUND(0.2,7)),2)</f>
        <v/>
      </c>
      <c r="DD364" t="inlineStr"/>
      <c r="DE364" t="inlineStr"/>
      <c r="DF364">
        <f>ROUND(ROUND(AE364*AI364,0)*CX364,0)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DF364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ROW(Source!A665)</f>
        <v/>
      </c>
      <c r="B365" t="n">
        <v>78869116</v>
      </c>
      <c r="C365" t="n">
        <v>78871068</v>
      </c>
      <c r="D365" t="n">
        <v>29110838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101-2499</t>
        </is>
      </c>
      <c r="J365" t="inlineStr">
        <is>
          <t>ТССЦ Московской обл., 101-2499, приказ Минстроя России №675/пр от 28.02.2017 № 254/пр</t>
        </is>
      </c>
      <c r="K365" t="inlineStr">
        <is>
          <t>Лента изоляционная прорезиненная односторонняя ширина 20 мм, толщина 0,25-0,35 мм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W365" t="n">
        <v>0</v>
      </c>
      <c r="X365" t="n">
        <v>-1294780295</v>
      </c>
      <c r="Y365">
        <f>(AT365*ROUND(0.2,7))</f>
        <v/>
      </c>
      <c r="AA365" t="n">
        <v>1090.07</v>
      </c>
      <c r="AB365" t="n">
        <v>0</v>
      </c>
      <c r="AC365" t="n">
        <v>0</v>
      </c>
      <c r="AD365" t="n">
        <v>0</v>
      </c>
      <c r="AE365" t="n">
        <v>30.5</v>
      </c>
      <c r="AF365" t="n">
        <v>0</v>
      </c>
      <c r="AG365" t="n">
        <v>0</v>
      </c>
      <c r="AH365" t="n">
        <v>0</v>
      </c>
      <c r="AI365" t="n">
        <v>35.74</v>
      </c>
      <c r="AJ365" t="n">
        <v>1</v>
      </c>
      <c r="AK365" t="n">
        <v>1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0.036</v>
      </c>
      <c r="AU365" t="inlineStr">
        <is>
          <t>)*0,2</t>
        </is>
      </c>
      <c r="AV365" t="n">
        <v>0</v>
      </c>
      <c r="AW365" t="n">
        <v>2</v>
      </c>
      <c r="AX365" t="n">
        <v>78871101</v>
      </c>
      <c r="AY365" t="n">
        <v>1</v>
      </c>
      <c r="AZ365" t="n">
        <v>0</v>
      </c>
      <c r="BA365" t="n">
        <v>332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 t="n">
        <v>0</v>
      </c>
      <c r="CX365">
        <f>ROUND(Y365*Source!I665,7)</f>
        <v/>
      </c>
      <c r="CY365">
        <f>AA365</f>
        <v/>
      </c>
      <c r="CZ365">
        <f>AE365</f>
        <v/>
      </c>
      <c r="DA365">
        <f>AI365</f>
        <v/>
      </c>
      <c r="DB365">
        <f>ROUND((ROUND(AT365*CZ365,2)*ROUND(0.2,7)),2)</f>
        <v/>
      </c>
      <c r="DC365">
        <f>ROUND((ROUND(AT365*AG365,2)*ROUND(0.2,7)),2)</f>
        <v/>
      </c>
      <c r="DD365" t="inlineStr"/>
      <c r="DE365" t="inlineStr"/>
      <c r="DF365">
        <f>ROUND(ROUND(AE365*AI365,0)*CX365,0)</f>
        <v/>
      </c>
      <c r="DG365">
        <f>ROUND(ROUND(AF365,0)*CX365,0)</f>
        <v/>
      </c>
      <c r="DH365">
        <f>ROUND(ROUND(AG365,0)*CX365,0)</f>
        <v/>
      </c>
      <c r="DI365">
        <f>ROUND(ROUND(AH365,0)*CX365,0)</f>
        <v/>
      </c>
      <c r="DJ365">
        <f>DF365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ROW(Source!A665)</f>
        <v/>
      </c>
      <c r="B366" t="n">
        <v>78869116</v>
      </c>
      <c r="C366" t="n">
        <v>78871068</v>
      </c>
      <c r="D366" t="n">
        <v>29114470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101-3914</t>
        </is>
      </c>
      <c r="J366" t="inlineStr">
        <is>
          <t>ТССЦ Московской обл., 101-3914, приказ Минстроя России №675/пр от 28.02.2017 № 254/пр</t>
        </is>
      </c>
      <c r="K366" t="inlineStr">
        <is>
          <t>Дюбели распорные полипропиленовые</t>
        </is>
      </c>
      <c r="L366" t="n">
        <v>1355</v>
      </c>
      <c r="N366" t="n">
        <v>1010</v>
      </c>
      <c r="O366" t="inlineStr">
        <is>
          <t>100 шт.</t>
        </is>
      </c>
      <c r="P366" t="inlineStr">
        <is>
          <t>100 шт.</t>
        </is>
      </c>
      <c r="Q366" t="n">
        <v>100</v>
      </c>
      <c r="W366" t="n">
        <v>0</v>
      </c>
      <c r="X366" t="n">
        <v>1627582661</v>
      </c>
      <c r="Y366">
        <f>(AT366*ROUND(0.2,7))</f>
        <v/>
      </c>
      <c r="AA366" t="n">
        <v>78.48</v>
      </c>
      <c r="AB366" t="n">
        <v>0</v>
      </c>
      <c r="AC366" t="n">
        <v>0</v>
      </c>
      <c r="AD366" t="n">
        <v>0</v>
      </c>
      <c r="AE366" t="n">
        <v>86.23999999999999</v>
      </c>
      <c r="AF366" t="n">
        <v>0</v>
      </c>
      <c r="AG366" t="n">
        <v>0</v>
      </c>
      <c r="AH366" t="n">
        <v>0</v>
      </c>
      <c r="AI366" t="n">
        <v>0.91</v>
      </c>
      <c r="AJ366" t="n">
        <v>1</v>
      </c>
      <c r="AK366" t="n">
        <v>1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0.014</v>
      </c>
      <c r="AU366" t="inlineStr">
        <is>
          <t>)*0,2</t>
        </is>
      </c>
      <c r="AV366" t="n">
        <v>0</v>
      </c>
      <c r="AW366" t="n">
        <v>2</v>
      </c>
      <c r="AX366" t="n">
        <v>78871102</v>
      </c>
      <c r="AY366" t="n">
        <v>1</v>
      </c>
      <c r="AZ366" t="n">
        <v>2048</v>
      </c>
      <c r="BA366" t="n">
        <v>333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 t="n">
        <v>0</v>
      </c>
      <c r="CX366">
        <f>ROUND(Y366*Source!I665,7)</f>
        <v/>
      </c>
      <c r="CY366">
        <f>AA366</f>
        <v/>
      </c>
      <c r="CZ366">
        <f>AE366</f>
        <v/>
      </c>
      <c r="DA366">
        <f>AI366</f>
        <v/>
      </c>
      <c r="DB366">
        <f>ROUND((ROUND(AT366*CZ366,2)*ROUND(0.2,7)),2)</f>
        <v/>
      </c>
      <c r="DC366">
        <f>ROUND((ROUND(AT366*AG366,2)*ROUND(0.2,7)),2)</f>
        <v/>
      </c>
      <c r="DD366" t="inlineStr"/>
      <c r="DE366" t="inlineStr"/>
      <c r="DF366">
        <f>ROUND(ROUND(AE366*AI366,0)*CX366,0)</f>
        <v/>
      </c>
      <c r="DG366">
        <f>ROUND(ROUND(AF366,0)*CX366,0)</f>
        <v/>
      </c>
      <c r="DH366">
        <f>ROUND(ROUND(AG366,0)*CX366,0)</f>
        <v/>
      </c>
      <c r="DI366">
        <f>ROUND(ROUND(AH366,0)*CX366,0)</f>
        <v/>
      </c>
      <c r="DJ366">
        <f>DF366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ROW(Source!A665)</f>
        <v/>
      </c>
      <c r="B367" t="n">
        <v>78869116</v>
      </c>
      <c r="C367" t="n">
        <v>78871068</v>
      </c>
      <c r="D367" t="n">
        <v>29129474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201-0843</t>
        </is>
      </c>
      <c r="J367" t="inlineStr">
        <is>
          <t>ТССЦ Московской обл., 201-0843, приказ Минстроя России №675/пр от 28.02.2017 № 255/пр</t>
        </is>
      </c>
      <c r="K367" t="inlineStr">
        <is>
          <t>Конструкции стальные индивидуальные решетчатые сварные массой до 0,1 т</t>
        </is>
      </c>
      <c r="L367" t="n">
        <v>1348</v>
      </c>
      <c r="N367" t="n">
        <v>1009</v>
      </c>
      <c r="O367" t="inlineStr">
        <is>
          <t>т</t>
        </is>
      </c>
      <c r="P367" t="inlineStr">
        <is>
          <t>т</t>
        </is>
      </c>
      <c r="Q367" t="n">
        <v>1000</v>
      </c>
      <c r="W367" t="n">
        <v>0</v>
      </c>
      <c r="X367" t="n">
        <v>-115984519</v>
      </c>
      <c r="Y367">
        <f>(AT367*ROUND(0.2,7))</f>
        <v/>
      </c>
      <c r="AA367" t="n">
        <v>118113.18</v>
      </c>
      <c r="AB367" t="n">
        <v>0</v>
      </c>
      <c r="AC367" t="n">
        <v>0</v>
      </c>
      <c r="AD367" t="n">
        <v>0</v>
      </c>
      <c r="AE367" t="n">
        <v>11534.49</v>
      </c>
      <c r="AF367" t="n">
        <v>0</v>
      </c>
      <c r="AG367" t="n">
        <v>0</v>
      </c>
      <c r="AH367" t="n">
        <v>0</v>
      </c>
      <c r="AI367" t="n">
        <v>10.24</v>
      </c>
      <c r="AJ367" t="n">
        <v>1</v>
      </c>
      <c r="AK367" t="n">
        <v>1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0.002</v>
      </c>
      <c r="AU367" t="inlineStr">
        <is>
          <t>)*0,2</t>
        </is>
      </c>
      <c r="AV367" t="n">
        <v>0</v>
      </c>
      <c r="AW367" t="n">
        <v>2</v>
      </c>
      <c r="AX367" t="n">
        <v>78871103</v>
      </c>
      <c r="AY367" t="n">
        <v>1</v>
      </c>
      <c r="AZ367" t="n">
        <v>0</v>
      </c>
      <c r="BA367" t="n">
        <v>334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 t="n">
        <v>0</v>
      </c>
      <c r="CX367">
        <f>ROUND(Y367*Source!I665,7)</f>
        <v/>
      </c>
      <c r="CY367">
        <f>AA367</f>
        <v/>
      </c>
      <c r="CZ367">
        <f>AE367</f>
        <v/>
      </c>
      <c r="DA367">
        <f>AI367</f>
        <v/>
      </c>
      <c r="DB367">
        <f>ROUND((ROUND(AT367*CZ367,2)*ROUND(0.2,7)),2)</f>
        <v/>
      </c>
      <c r="DC367">
        <f>ROUND((ROUND(AT367*AG367,2)*ROUND(0.2,7)),2)</f>
        <v/>
      </c>
      <c r="DD367" t="inlineStr"/>
      <c r="DE367" t="inlineStr"/>
      <c r="DF367">
        <f>ROUND(ROUND(AE367*AI367,0)*CX367,0)</f>
        <v/>
      </c>
      <c r="DG367">
        <f>ROUND(ROUND(AF367,0)*CX367,0)</f>
        <v/>
      </c>
      <c r="DH367">
        <f>ROUND(ROUND(AG367,0)*CX367,0)</f>
        <v/>
      </c>
      <c r="DI367">
        <f>ROUND(ROUND(AH367,0)*CX367,0)</f>
        <v/>
      </c>
      <c r="DJ367">
        <f>DF367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ROW(Source!A665)</f>
        <v/>
      </c>
      <c r="B368" t="n">
        <v>78869116</v>
      </c>
      <c r="C368" t="n">
        <v>78871068</v>
      </c>
      <c r="D368" t="n">
        <v>29165774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509-0090</t>
        </is>
      </c>
      <c r="J368" t="inlineStr">
        <is>
          <t>ТССЦ Московской обл., 509-0090, приказ Минстроя России №675/пр от 28.02.2017 № 258/пр</t>
        </is>
      </c>
      <c r="K368" t="inlineStr">
        <is>
          <t>Перемычки гибкие, тип ПГС-50</t>
        </is>
      </c>
      <c r="L368" t="n">
        <v>1358</v>
      </c>
      <c r="N368" t="n">
        <v>1010</v>
      </c>
      <c r="O368" t="inlineStr">
        <is>
          <t>10 шт.</t>
        </is>
      </c>
      <c r="P368" t="inlineStr">
        <is>
          <t>10 шт.</t>
        </is>
      </c>
      <c r="Q368" t="n">
        <v>10</v>
      </c>
      <c r="W368" t="n">
        <v>0</v>
      </c>
      <c r="X368" t="n">
        <v>-1035860104</v>
      </c>
      <c r="Y368">
        <f>(AT368*ROUND(0.2,7))</f>
        <v/>
      </c>
      <c r="AA368" t="n">
        <v>1258.9</v>
      </c>
      <c r="AB368" t="n">
        <v>0</v>
      </c>
      <c r="AC368" t="n">
        <v>0</v>
      </c>
      <c r="AD368" t="n">
        <v>0</v>
      </c>
      <c r="AE368" t="n">
        <v>40.9</v>
      </c>
      <c r="AF368" t="n">
        <v>0</v>
      </c>
      <c r="AG368" t="n">
        <v>0</v>
      </c>
      <c r="AH368" t="n">
        <v>0</v>
      </c>
      <c r="AI368" t="n">
        <v>30.78</v>
      </c>
      <c r="AJ368" t="n">
        <v>1</v>
      </c>
      <c r="AK368" t="n">
        <v>1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0.1</v>
      </c>
      <c r="AU368" t="inlineStr">
        <is>
          <t>)*0,2</t>
        </is>
      </c>
      <c r="AV368" t="n">
        <v>0</v>
      </c>
      <c r="AW368" t="n">
        <v>2</v>
      </c>
      <c r="AX368" t="n">
        <v>78871104</v>
      </c>
      <c r="AY368" t="n">
        <v>1</v>
      </c>
      <c r="AZ368" t="n">
        <v>2048</v>
      </c>
      <c r="BA368" t="n">
        <v>335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 t="n">
        <v>0</v>
      </c>
      <c r="CX368">
        <f>ROUND(Y368*Source!I665,7)</f>
        <v/>
      </c>
      <c r="CY368">
        <f>AA368</f>
        <v/>
      </c>
      <c r="CZ368">
        <f>AE368</f>
        <v/>
      </c>
      <c r="DA368">
        <f>AI368</f>
        <v/>
      </c>
      <c r="DB368">
        <f>ROUND((ROUND(AT368*CZ368,2)*ROUND(0.2,7)),2)</f>
        <v/>
      </c>
      <c r="DC368">
        <f>ROUND((ROUND(AT368*AG368,2)*ROUND(0.2,7)),2)</f>
        <v/>
      </c>
      <c r="DD368" t="inlineStr"/>
      <c r="DE368" t="inlineStr"/>
      <c r="DF368">
        <f>ROUND(ROUND(AE368*AI368,0)*CX368,0)</f>
        <v/>
      </c>
      <c r="DG368">
        <f>ROUND(ROUND(AF368,0)*CX368,0)</f>
        <v/>
      </c>
      <c r="DH368">
        <f>ROUND(ROUND(AG368,0)*CX368,0)</f>
        <v/>
      </c>
      <c r="DI368">
        <f>ROUND(ROUND(AH368,0)*CX368,0)</f>
        <v/>
      </c>
      <c r="DJ368">
        <f>DF368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ROW(Source!A665)</f>
        <v/>
      </c>
      <c r="B369" t="n">
        <v>78869116</v>
      </c>
      <c r="C369" t="n">
        <v>78871068</v>
      </c>
      <c r="D369" t="n">
        <v>29171708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509-1210</t>
        </is>
      </c>
      <c r="J369" t="inlineStr">
        <is>
          <t>ТССЦ Московской обл., 509-1210, приказ Минстроя России №675/пр от 28.02.2017 № 258/пр</t>
        </is>
      </c>
      <c r="K369" t="inlineStr">
        <is>
          <t>Вазелин технический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W369" t="n">
        <v>0</v>
      </c>
      <c r="X369" t="n">
        <v>1015963907</v>
      </c>
      <c r="Y369">
        <f>(AT369*ROUND(0.2,7))</f>
        <v/>
      </c>
      <c r="AA369" t="n">
        <v>315.49</v>
      </c>
      <c r="AB369" t="n">
        <v>0</v>
      </c>
      <c r="AC369" t="n">
        <v>0</v>
      </c>
      <c r="AD369" t="n">
        <v>0</v>
      </c>
      <c r="AE369" t="n">
        <v>30.6</v>
      </c>
      <c r="AF369" t="n">
        <v>0</v>
      </c>
      <c r="AG369" t="n">
        <v>0</v>
      </c>
      <c r="AH369" t="n">
        <v>0</v>
      </c>
      <c r="AI369" t="n">
        <v>10.31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0.008999999999999999</v>
      </c>
      <c r="AU369" t="inlineStr">
        <is>
          <t>)*0,2</t>
        </is>
      </c>
      <c r="AV369" t="n">
        <v>0</v>
      </c>
      <c r="AW369" t="n">
        <v>2</v>
      </c>
      <c r="AX369" t="n">
        <v>78871105</v>
      </c>
      <c r="AY369" t="n">
        <v>1</v>
      </c>
      <c r="AZ369" t="n">
        <v>0</v>
      </c>
      <c r="BA369" t="n">
        <v>336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ROUND(Y369*Source!I665,7)</f>
        <v/>
      </c>
      <c r="CY369">
        <f>AA369</f>
        <v/>
      </c>
      <c r="CZ369">
        <f>AE369</f>
        <v/>
      </c>
      <c r="DA369">
        <f>AI369</f>
        <v/>
      </c>
      <c r="DB369">
        <f>ROUND((ROUND(AT369*CZ369,2)*ROUND(0.2,7)),2)</f>
        <v/>
      </c>
      <c r="DC369">
        <f>ROUND((ROUND(AT369*AG369,2)*ROUND(0.2,7)),2)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ROW(Source!A665)</f>
        <v/>
      </c>
      <c r="B370" t="n">
        <v>78869116</v>
      </c>
      <c r="C370" t="n">
        <v>78871068</v>
      </c>
      <c r="D370" t="n">
        <v>29171808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999-9950</t>
        </is>
      </c>
      <c r="J370" t="inlineStr">
        <is>
          <t>ТССЦ Московской обл., 999-9950, приказ Минстроя России №675/пр от 21.09.2015 г.</t>
        </is>
      </c>
      <c r="K370" t="inlineStr">
        <is>
          <t>Вспомогательные ненормируемые материалы (2% от ОЗП)</t>
        </is>
      </c>
      <c r="L370" t="n">
        <v>1374</v>
      </c>
      <c r="N370" t="n">
        <v>1013</v>
      </c>
      <c r="O370" t="inlineStr">
        <is>
          <t>РУБ</t>
        </is>
      </c>
      <c r="P370" t="inlineStr">
        <is>
          <t>РУБ</t>
        </is>
      </c>
      <c r="Q370" t="n">
        <v>1</v>
      </c>
      <c r="W370" t="n">
        <v>0</v>
      </c>
      <c r="X370" t="n">
        <v>-915781824</v>
      </c>
      <c r="Y370">
        <f>(AT370*ROUND(0.2,7))</f>
        <v/>
      </c>
      <c r="AA370" t="n">
        <v>1</v>
      </c>
      <c r="AB370" t="n">
        <v>0</v>
      </c>
      <c r="AC370" t="n">
        <v>0</v>
      </c>
      <c r="AD370" t="n">
        <v>0</v>
      </c>
      <c r="AE370" t="n">
        <v>1</v>
      </c>
      <c r="AF370" t="n">
        <v>0</v>
      </c>
      <c r="AG370" t="n">
        <v>0</v>
      </c>
      <c r="AH370" t="n">
        <v>0</v>
      </c>
      <c r="AI370" t="n">
        <v>1</v>
      </c>
      <c r="AJ370" t="n">
        <v>1</v>
      </c>
      <c r="AK370" t="n">
        <v>1</v>
      </c>
      <c r="AL370" t="n">
        <v>1</v>
      </c>
      <c r="AM370" t="n">
        <v>-2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0.44</v>
      </c>
      <c r="AU370" t="inlineStr">
        <is>
          <t>)*0,2</t>
        </is>
      </c>
      <c r="AV370" t="n">
        <v>0</v>
      </c>
      <c r="AW370" t="n">
        <v>2</v>
      </c>
      <c r="AX370" t="n">
        <v>78871106</v>
      </c>
      <c r="AY370" t="n">
        <v>1</v>
      </c>
      <c r="AZ370" t="n">
        <v>2048</v>
      </c>
      <c r="BA370" t="n">
        <v>337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ROUND(Y370*Source!I665,7)</f>
        <v/>
      </c>
      <c r="CY370">
        <f>AA370</f>
        <v/>
      </c>
      <c r="CZ370">
        <f>AE370</f>
        <v/>
      </c>
      <c r="DA370">
        <f>AI370</f>
        <v/>
      </c>
      <c r="DB370">
        <f>ROUND((ROUND(AT370*CZ370,2)*ROUND(0.2,7)),2)</f>
        <v/>
      </c>
      <c r="DC370">
        <f>ROUND((ROUND(AT370*AG370,2)*ROUND(0.2,7)),2)</f>
        <v/>
      </c>
      <c r="DD370" t="inlineStr"/>
      <c r="DE370" t="inlineStr"/>
      <c r="DF370">
        <f>ROUND(ROUND(AE370,0)*CX370,0)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ROW(Source!A666)</f>
        <v/>
      </c>
      <c r="B371" t="n">
        <v>78869116</v>
      </c>
      <c r="C371" t="n">
        <v>78871107</v>
      </c>
      <c r="D371" t="n">
        <v>29361307</v>
      </c>
      <c r="E371" t="n">
        <v>1</v>
      </c>
      <c r="F371" t="n">
        <v>1</v>
      </c>
      <c r="G371" t="n">
        <v>1</v>
      </c>
      <c r="H371" t="n">
        <v>1</v>
      </c>
      <c r="I371" t="inlineStr">
        <is>
          <t>1-2039-90</t>
        </is>
      </c>
      <c r="J371" t="inlineStr"/>
      <c r="K371" t="inlineStr">
        <is>
          <t>Рабочий монтажник среднего разряда 3,9</t>
        </is>
      </c>
      <c r="L371" t="n">
        <v>1369</v>
      </c>
      <c r="N371" t="n">
        <v>1013</v>
      </c>
      <c r="O371" t="inlineStr">
        <is>
          <t>чел.-ч</t>
        </is>
      </c>
      <c r="P371" t="inlineStr">
        <is>
          <t>чел.-ч</t>
        </is>
      </c>
      <c r="Q371" t="n">
        <v>1</v>
      </c>
      <c r="W371" t="n">
        <v>0</v>
      </c>
      <c r="X371" t="n">
        <v>357208865</v>
      </c>
      <c r="Y371">
        <f>AT371</f>
        <v/>
      </c>
      <c r="AA371" t="n">
        <v>0</v>
      </c>
      <c r="AB371" t="n">
        <v>0</v>
      </c>
      <c r="AC371" t="n">
        <v>0</v>
      </c>
      <c r="AD371" t="n">
        <v>9.51</v>
      </c>
      <c r="AE371" t="n">
        <v>0</v>
      </c>
      <c r="AF371" t="n">
        <v>0</v>
      </c>
      <c r="AG371" t="n">
        <v>0</v>
      </c>
      <c r="AH371" t="n">
        <v>9.51</v>
      </c>
      <c r="AI371" t="n">
        <v>1</v>
      </c>
      <c r="AJ371" t="n">
        <v>1</v>
      </c>
      <c r="AK371" t="n">
        <v>1</v>
      </c>
      <c r="AL371" t="n">
        <v>1</v>
      </c>
      <c r="AM371" t="n">
        <v>-2</v>
      </c>
      <c r="AN371" t="n">
        <v>0</v>
      </c>
      <c r="AO371" t="n">
        <v>1</v>
      </c>
      <c r="AP371" t="n">
        <v>0</v>
      </c>
      <c r="AQ371" t="n">
        <v>0</v>
      </c>
      <c r="AR371" t="n">
        <v>0</v>
      </c>
      <c r="AS371" t="inlineStr"/>
      <c r="AT371" t="n">
        <v>2.32</v>
      </c>
      <c r="AU371" t="inlineStr"/>
      <c r="AV371" t="n">
        <v>1</v>
      </c>
      <c r="AW371" t="n">
        <v>2</v>
      </c>
      <c r="AX371" t="n">
        <v>78871128</v>
      </c>
      <c r="AY371" t="n">
        <v>1</v>
      </c>
      <c r="AZ371" t="n">
        <v>0</v>
      </c>
      <c r="BA371" t="n">
        <v>338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U371">
        <f>ROUND(AT371*Source!I666*AH371*AL371,0)</f>
        <v/>
      </c>
      <c r="CV371">
        <f>ROUND(Y371*Source!I666,7)</f>
        <v/>
      </c>
      <c r="CW371" t="n">
        <v>0</v>
      </c>
      <c r="CX371">
        <f>ROUND(Y371*Source!I666,7)</f>
        <v/>
      </c>
      <c r="CY371">
        <f>AD371</f>
        <v/>
      </c>
      <c r="CZ371">
        <f>AH371</f>
        <v/>
      </c>
      <c r="DA371">
        <f>AL371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DI371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ROW(Source!A666)</f>
        <v/>
      </c>
      <c r="B372" t="n">
        <v>78869116</v>
      </c>
      <c r="C372" t="n">
        <v>78871107</v>
      </c>
      <c r="D372" t="n">
        <v>121548</v>
      </c>
      <c r="E372" t="n">
        <v>1</v>
      </c>
      <c r="F372" t="n">
        <v>1</v>
      </c>
      <c r="G372" t="n">
        <v>1</v>
      </c>
      <c r="H372" t="n">
        <v>1</v>
      </c>
      <c r="I372" t="inlineStr">
        <is>
          <t>2</t>
        </is>
      </c>
      <c r="J372" t="inlineStr"/>
      <c r="K372" t="inlineStr">
        <is>
          <t>Затраты труда машинистов</t>
        </is>
      </c>
      <c r="L372" t="n">
        <v>608254</v>
      </c>
      <c r="N372" t="n">
        <v>1013</v>
      </c>
      <c r="O372" t="inlineStr">
        <is>
          <t>чел.час</t>
        </is>
      </c>
      <c r="P372" t="inlineStr">
        <is>
          <t>чел.час</t>
        </is>
      </c>
      <c r="Q372" t="n">
        <v>1</v>
      </c>
      <c r="W372" t="n">
        <v>0</v>
      </c>
      <c r="X372" t="n">
        <v>-185737400</v>
      </c>
      <c r="Y372">
        <f>AT372</f>
        <v/>
      </c>
      <c r="AA372" t="n">
        <v>0</v>
      </c>
      <c r="AB372" t="n">
        <v>0</v>
      </c>
      <c r="AC372" t="n">
        <v>0</v>
      </c>
      <c r="AD372" t="n">
        <v>0</v>
      </c>
      <c r="AE372" t="n">
        <v>0</v>
      </c>
      <c r="AF372" t="n">
        <v>0</v>
      </c>
      <c r="AG372" t="n">
        <v>0</v>
      </c>
      <c r="AH372" t="n">
        <v>0</v>
      </c>
      <c r="AI372" t="n">
        <v>1</v>
      </c>
      <c r="AJ372" t="n">
        <v>1</v>
      </c>
      <c r="AK372" t="n">
        <v>1</v>
      </c>
      <c r="AL372" t="n">
        <v>1</v>
      </c>
      <c r="AM372" t="n">
        <v>-2</v>
      </c>
      <c r="AN372" t="n">
        <v>0</v>
      </c>
      <c r="AO372" t="n">
        <v>1</v>
      </c>
      <c r="AP372" t="n">
        <v>0</v>
      </c>
      <c r="AQ372" t="n">
        <v>0</v>
      </c>
      <c r="AR372" t="n">
        <v>0</v>
      </c>
      <c r="AS372" t="inlineStr"/>
      <c r="AT372" t="n">
        <v>0.01</v>
      </c>
      <c r="AU372" t="inlineStr"/>
      <c r="AV372" t="n">
        <v>2</v>
      </c>
      <c r="AW372" t="n">
        <v>2</v>
      </c>
      <c r="AX372" t="n">
        <v>78871129</v>
      </c>
      <c r="AY372" t="n">
        <v>1</v>
      </c>
      <c r="AZ372" t="n">
        <v>0</v>
      </c>
      <c r="BA372" t="n">
        <v>339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ROUND(Y372*Source!I666,7)</f>
        <v/>
      </c>
      <c r="CY372">
        <f>AD372</f>
        <v/>
      </c>
      <c r="CZ372">
        <f>AH372</f>
        <v/>
      </c>
      <c r="DA372">
        <f>AL372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DI372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ROW(Source!A666)</f>
        <v/>
      </c>
      <c r="B373" t="n">
        <v>78869116</v>
      </c>
      <c r="C373" t="n">
        <v>78871107</v>
      </c>
      <c r="D373" t="n">
        <v>29172362</v>
      </c>
      <c r="E373" t="n">
        <v>1</v>
      </c>
      <c r="F373" t="n">
        <v>1</v>
      </c>
      <c r="G373" t="n">
        <v>1</v>
      </c>
      <c r="H373" t="n">
        <v>2</v>
      </c>
      <c r="I373" t="inlineStr">
        <is>
          <t>021102</t>
        </is>
      </c>
      <c r="J373" t="inlineStr">
        <is>
          <t>ТСЭМ Московской обл., 021102, приказ Минстроя России №675/пр от 28.02.2017 № 264/пр</t>
        </is>
      </c>
      <c r="K373" t="inlineStr">
        <is>
          <t>Краны на автомобильном ходу при работе на монтаже технологического оборудования 10 т</t>
        </is>
      </c>
      <c r="L373" t="n">
        <v>1368</v>
      </c>
      <c r="N373" t="n">
        <v>1011</v>
      </c>
      <c r="O373" t="inlineStr">
        <is>
          <t>маш.-ч</t>
        </is>
      </c>
      <c r="P373" t="inlineStr">
        <is>
          <t>маш.-ч</t>
        </is>
      </c>
      <c r="Q373" t="n">
        <v>1</v>
      </c>
      <c r="W373" t="n">
        <v>0</v>
      </c>
      <c r="X373" t="n">
        <v>783836208</v>
      </c>
      <c r="Y373">
        <f>AT373</f>
        <v/>
      </c>
      <c r="AA373" t="n">
        <v>0</v>
      </c>
      <c r="AB373" t="n">
        <v>1504.04</v>
      </c>
      <c r="AC373" t="n">
        <v>705.38</v>
      </c>
      <c r="AD373" t="n">
        <v>0</v>
      </c>
      <c r="AE373" t="n">
        <v>0</v>
      </c>
      <c r="AF373" t="n">
        <v>134.65</v>
      </c>
      <c r="AG373" t="n">
        <v>13.5</v>
      </c>
      <c r="AH373" t="n">
        <v>0</v>
      </c>
      <c r="AI373" t="n">
        <v>1</v>
      </c>
      <c r="AJ373" t="n">
        <v>11.17</v>
      </c>
      <c r="AK373" t="n">
        <v>52.25</v>
      </c>
      <c r="AL373" t="n">
        <v>1</v>
      </c>
      <c r="AM373" t="n">
        <v>2</v>
      </c>
      <c r="AN373" t="n">
        <v>0</v>
      </c>
      <c r="AO373" t="n">
        <v>1</v>
      </c>
      <c r="AP373" t="n">
        <v>0</v>
      </c>
      <c r="AQ373" t="n">
        <v>0</v>
      </c>
      <c r="AR373" t="n">
        <v>0</v>
      </c>
      <c r="AS373" t="inlineStr"/>
      <c r="AT373" t="n">
        <v>0.01</v>
      </c>
      <c r="AU373" t="inlineStr"/>
      <c r="AV373" t="n">
        <v>0</v>
      </c>
      <c r="AW373" t="n">
        <v>2</v>
      </c>
      <c r="AX373" t="n">
        <v>78871130</v>
      </c>
      <c r="AY373" t="n">
        <v>1</v>
      </c>
      <c r="AZ373" t="n">
        <v>0</v>
      </c>
      <c r="BA373" t="n">
        <v>340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>
        <f>ROUND(Y373*Source!I666*DO373,7)</f>
        <v/>
      </c>
      <c r="CX373">
        <f>ROUND(Y373*Source!I666,7)</f>
        <v/>
      </c>
      <c r="CY373">
        <f>AB373</f>
        <v/>
      </c>
      <c r="CZ373">
        <f>AF373</f>
        <v/>
      </c>
      <c r="DA373">
        <f>AJ373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ROUND(ROUND(AE373,0)*CX373,0)</f>
        <v/>
      </c>
      <c r="DG373">
        <f>ROUND(ROUND(AF373*AJ373,0)*CX373,0)</f>
        <v/>
      </c>
      <c r="DH373">
        <f>ROUND(ROUND(AG373*AK373,0)*CX373,0)</f>
        <v/>
      </c>
      <c r="DI373">
        <f>ROUND(ROUND(AH373,0)*CX373,0)</f>
        <v/>
      </c>
      <c r="DJ373">
        <f>DG373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ROW(Source!A666)</f>
        <v/>
      </c>
      <c r="B374" t="n">
        <v>78869116</v>
      </c>
      <c r="C374" t="n">
        <v>78871107</v>
      </c>
      <c r="D374" t="n">
        <v>29172657</v>
      </c>
      <c r="E374" t="n">
        <v>1</v>
      </c>
      <c r="F374" t="n">
        <v>1</v>
      </c>
      <c r="G374" t="n">
        <v>1</v>
      </c>
      <c r="H374" t="n">
        <v>2</v>
      </c>
      <c r="I374" t="inlineStr">
        <is>
          <t>040502</t>
        </is>
      </c>
      <c r="J374" t="inlineStr">
        <is>
          <t>ТСЭМ Московской обл., 040502, приказ Минстроя России №675/пр от 28.02.2017 № 264/пр</t>
        </is>
      </c>
      <c r="K374" t="inlineStr">
        <is>
          <t>Установки для сварки ручной дуговой (постоянного тока)</t>
        </is>
      </c>
      <c r="L374" t="n">
        <v>1368</v>
      </c>
      <c r="N374" t="n">
        <v>1011</v>
      </c>
      <c r="O374" t="inlineStr">
        <is>
          <t>маш.-ч</t>
        </is>
      </c>
      <c r="P374" t="inlineStr">
        <is>
          <t>маш.-ч</t>
        </is>
      </c>
      <c r="Q374" t="n">
        <v>1</v>
      </c>
      <c r="W374" t="n">
        <v>0</v>
      </c>
      <c r="X374" t="n">
        <v>1474986261</v>
      </c>
      <c r="Y374">
        <f>AT374</f>
        <v/>
      </c>
      <c r="AA374" t="n">
        <v>0</v>
      </c>
      <c r="AB374" t="n">
        <v>69.26000000000001</v>
      </c>
      <c r="AC374" t="n">
        <v>0</v>
      </c>
      <c r="AD374" t="n">
        <v>0</v>
      </c>
      <c r="AE374" t="n">
        <v>0</v>
      </c>
      <c r="AF374" t="n">
        <v>8.1</v>
      </c>
      <c r="AG374" t="n">
        <v>0</v>
      </c>
      <c r="AH374" t="n">
        <v>0</v>
      </c>
      <c r="AI374" t="n">
        <v>1</v>
      </c>
      <c r="AJ374" t="n">
        <v>8.550000000000001</v>
      </c>
      <c r="AK374" t="n">
        <v>52.25</v>
      </c>
      <c r="AL374" t="n">
        <v>1</v>
      </c>
      <c r="AM374" t="n">
        <v>2</v>
      </c>
      <c r="AN374" t="n">
        <v>0</v>
      </c>
      <c r="AO374" t="n">
        <v>1</v>
      </c>
      <c r="AP374" t="n">
        <v>0</v>
      </c>
      <c r="AQ374" t="n">
        <v>0</v>
      </c>
      <c r="AR374" t="n">
        <v>0</v>
      </c>
      <c r="AS374" t="inlineStr"/>
      <c r="AT374" t="n">
        <v>0.13</v>
      </c>
      <c r="AU374" t="inlineStr"/>
      <c r="AV374" t="n">
        <v>0</v>
      </c>
      <c r="AW374" t="n">
        <v>2</v>
      </c>
      <c r="AX374" t="n">
        <v>78871131</v>
      </c>
      <c r="AY374" t="n">
        <v>1</v>
      </c>
      <c r="AZ374" t="n">
        <v>0</v>
      </c>
      <c r="BA374" t="n">
        <v>341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>
        <f>ROUND(Y374*Source!I666*DO374,7)</f>
        <v/>
      </c>
      <c r="CX374">
        <f>ROUND(Y374*Source!I666,7)</f>
        <v/>
      </c>
      <c r="CY374">
        <f>AB374</f>
        <v/>
      </c>
      <c r="CZ374">
        <f>AF374</f>
        <v/>
      </c>
      <c r="DA374">
        <f>AJ374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ROUND(ROUND(AE374,0)*CX374,0)</f>
        <v/>
      </c>
      <c r="DG374">
        <f>ROUND(ROUND(AF374*AJ374,0)*CX374,0)</f>
        <v/>
      </c>
      <c r="DH374">
        <f>ROUND(ROUND(AG374*AK374,0)*CX374,0)</f>
        <v/>
      </c>
      <c r="DI374">
        <f>ROUND(ROUND(AH374,0)*CX374,0)</f>
        <v/>
      </c>
      <c r="DJ374">
        <f>DG374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ROW(Source!A666)</f>
        <v/>
      </c>
      <c r="B375" t="n">
        <v>78869116</v>
      </c>
      <c r="C375" t="n">
        <v>78871107</v>
      </c>
      <c r="D375" t="n">
        <v>29174500</v>
      </c>
      <c r="E375" t="n">
        <v>1</v>
      </c>
      <c r="F375" t="n">
        <v>1</v>
      </c>
      <c r="G375" t="n">
        <v>1</v>
      </c>
      <c r="H375" t="n">
        <v>2</v>
      </c>
      <c r="I375" t="inlineStr">
        <is>
          <t>330206</t>
        </is>
      </c>
      <c r="J375" t="inlineStr">
        <is>
          <t>ТСЭМ Московской обл., 330206, приказ Минстроя России №675/пр от 28.02.2017 № 264/пр</t>
        </is>
      </c>
      <c r="K375" t="inlineStr">
        <is>
          <t>Дрели электрические</t>
        </is>
      </c>
      <c r="L375" t="n">
        <v>1368</v>
      </c>
      <c r="N375" t="n">
        <v>1011</v>
      </c>
      <c r="O375" t="inlineStr">
        <is>
          <t>маш.-ч</t>
        </is>
      </c>
      <c r="P375" t="inlineStr">
        <is>
          <t>маш.-ч</t>
        </is>
      </c>
      <c r="Q375" t="n">
        <v>1</v>
      </c>
      <c r="W375" t="n">
        <v>0</v>
      </c>
      <c r="X375" t="n">
        <v>-1867053656</v>
      </c>
      <c r="Y375">
        <f>AT375</f>
        <v/>
      </c>
      <c r="AA375" t="n">
        <v>0</v>
      </c>
      <c r="AB375" t="n">
        <v>8.390000000000001</v>
      </c>
      <c r="AC375" t="n">
        <v>0</v>
      </c>
      <c r="AD375" t="n">
        <v>0</v>
      </c>
      <c r="AE375" t="n">
        <v>0</v>
      </c>
      <c r="AF375" t="n">
        <v>1.95</v>
      </c>
      <c r="AG375" t="n">
        <v>0</v>
      </c>
      <c r="AH375" t="n">
        <v>0</v>
      </c>
      <c r="AI375" t="n">
        <v>1</v>
      </c>
      <c r="AJ375" t="n">
        <v>4.3</v>
      </c>
      <c r="AK375" t="n">
        <v>52.25</v>
      </c>
      <c r="AL375" t="n">
        <v>1</v>
      </c>
      <c r="AM375" t="n">
        <v>2</v>
      </c>
      <c r="AN375" t="n">
        <v>0</v>
      </c>
      <c r="AO375" t="n">
        <v>1</v>
      </c>
      <c r="AP375" t="n">
        <v>0</v>
      </c>
      <c r="AQ375" t="n">
        <v>0</v>
      </c>
      <c r="AR375" t="n">
        <v>0</v>
      </c>
      <c r="AS375" t="inlineStr"/>
      <c r="AT375" t="n">
        <v>0.04</v>
      </c>
      <c r="AU375" t="inlineStr"/>
      <c r="AV375" t="n">
        <v>0</v>
      </c>
      <c r="AW375" t="n">
        <v>2</v>
      </c>
      <c r="AX375" t="n">
        <v>78871132</v>
      </c>
      <c r="AY375" t="n">
        <v>1</v>
      </c>
      <c r="AZ375" t="n">
        <v>0</v>
      </c>
      <c r="BA375" t="n">
        <v>342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>
        <f>ROUND(Y375*Source!I666*DO375,7)</f>
        <v/>
      </c>
      <c r="CX375">
        <f>ROUND(Y375*Source!I666,7)</f>
        <v/>
      </c>
      <c r="CY375">
        <f>AB375</f>
        <v/>
      </c>
      <c r="CZ375">
        <f>AF375</f>
        <v/>
      </c>
      <c r="DA375">
        <f>AJ375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ROUND(ROUND(AE375,0)*CX375,0)</f>
        <v/>
      </c>
      <c r="DG375">
        <f>ROUND(ROUND(AF375*AJ375,0)*CX375,0)</f>
        <v/>
      </c>
      <c r="DH375">
        <f>ROUND(ROUND(AG375*AK375,0)*CX375,0)</f>
        <v/>
      </c>
      <c r="DI375">
        <f>ROUND(ROUND(AH375,0)*CX375,0)</f>
        <v/>
      </c>
      <c r="DJ375">
        <f>DG375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ROW(Source!A666)</f>
        <v/>
      </c>
      <c r="B376" t="n">
        <v>78869116</v>
      </c>
      <c r="C376" t="n">
        <v>78871107</v>
      </c>
      <c r="D376" t="n">
        <v>29174689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350451</t>
        </is>
      </c>
      <c r="J376" t="inlineStr">
        <is>
          <t>ТСЭМ Московской обл., 350451, приказ Минстроя России №675/пр от 28.02.2017 № 264/пр</t>
        </is>
      </c>
      <c r="K376" t="inlineStr">
        <is>
          <t>Пресс гидравлический с электроприводом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W376" t="n">
        <v>0</v>
      </c>
      <c r="X376" t="n">
        <v>-592654397</v>
      </c>
      <c r="Y376">
        <f>AT376</f>
        <v/>
      </c>
      <c r="AA376" t="n">
        <v>0</v>
      </c>
      <c r="AB376" t="n">
        <v>6.54</v>
      </c>
      <c r="AC376" t="n">
        <v>0</v>
      </c>
      <c r="AD376" t="n">
        <v>0</v>
      </c>
      <c r="AE376" t="n">
        <v>0</v>
      </c>
      <c r="AF376" t="n">
        <v>1.11</v>
      </c>
      <c r="AG376" t="n">
        <v>0</v>
      </c>
      <c r="AH376" t="n">
        <v>0</v>
      </c>
      <c r="AI376" t="n">
        <v>1</v>
      </c>
      <c r="AJ376" t="n">
        <v>5.89</v>
      </c>
      <c r="AK376" t="n">
        <v>52.25</v>
      </c>
      <c r="AL376" t="n">
        <v>1</v>
      </c>
      <c r="AM376" t="n">
        <v>2</v>
      </c>
      <c r="AN376" t="n">
        <v>0</v>
      </c>
      <c r="AO376" t="n">
        <v>1</v>
      </c>
      <c r="AP376" t="n">
        <v>0</v>
      </c>
      <c r="AQ376" t="n">
        <v>0</v>
      </c>
      <c r="AR376" t="n">
        <v>0</v>
      </c>
      <c r="AS376" t="inlineStr"/>
      <c r="AT376" t="n">
        <v>0.2</v>
      </c>
      <c r="AU376" t="inlineStr"/>
      <c r="AV376" t="n">
        <v>0</v>
      </c>
      <c r="AW376" t="n">
        <v>2</v>
      </c>
      <c r="AX376" t="n">
        <v>78871133</v>
      </c>
      <c r="AY376" t="n">
        <v>1</v>
      </c>
      <c r="AZ376" t="n">
        <v>0</v>
      </c>
      <c r="BA376" t="n">
        <v>343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>
        <f>ROUND(Y376*Source!I666*DO376,7)</f>
        <v/>
      </c>
      <c r="CX376">
        <f>ROUND(Y376*Source!I666,7)</f>
        <v/>
      </c>
      <c r="CY376">
        <f>AB376</f>
        <v/>
      </c>
      <c r="CZ376">
        <f>AF376</f>
        <v/>
      </c>
      <c r="DA376">
        <f>AJ376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ROUND(ROUND(AE376,0)*CX376,0)</f>
        <v/>
      </c>
      <c r="DG376">
        <f>ROUND(ROUND(AF376*AJ376,0)*CX376,0)</f>
        <v/>
      </c>
      <c r="DH376">
        <f>ROUND(ROUND(AG376*AK376,0)*CX376,0)</f>
        <v/>
      </c>
      <c r="DI376">
        <f>ROUND(ROUND(AH376,0)*CX376,0)</f>
        <v/>
      </c>
      <c r="DJ376">
        <f>DG376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ROW(Source!A666)</f>
        <v/>
      </c>
      <c r="B377" t="n">
        <v>78869116</v>
      </c>
      <c r="C377" t="n">
        <v>78871107</v>
      </c>
      <c r="D377" t="n">
        <v>29174913</v>
      </c>
      <c r="E377" t="n">
        <v>1</v>
      </c>
      <c r="F377" t="n">
        <v>1</v>
      </c>
      <c r="G377" t="n">
        <v>1</v>
      </c>
      <c r="H377" t="n">
        <v>2</v>
      </c>
      <c r="I377" t="inlineStr">
        <is>
          <t>400001</t>
        </is>
      </c>
      <c r="J377" t="inlineStr">
        <is>
          <t>ТСЭМ Московской обл., 400001, приказ Минстроя России №675/пр от 28.02.2017 № 264/пр</t>
        </is>
      </c>
      <c r="K377" t="inlineStr">
        <is>
          <t>Автомобили бортовые, грузоподъемность до 5 т</t>
        </is>
      </c>
      <c r="L377" t="n">
        <v>1368</v>
      </c>
      <c r="N377" t="n">
        <v>1011</v>
      </c>
      <c r="O377" t="inlineStr">
        <is>
          <t>маш.-ч</t>
        </is>
      </c>
      <c r="P377" t="inlineStr">
        <is>
          <t>маш.-ч</t>
        </is>
      </c>
      <c r="Q377" t="n">
        <v>1</v>
      </c>
      <c r="W377" t="n">
        <v>0</v>
      </c>
      <c r="X377" t="n">
        <v>1230759911</v>
      </c>
      <c r="Y377">
        <f>AT377</f>
        <v/>
      </c>
      <c r="AA377" t="n">
        <v>0</v>
      </c>
      <c r="AB377" t="n">
        <v>2177.51</v>
      </c>
      <c r="AC377" t="n">
        <v>606.1</v>
      </c>
      <c r="AD377" t="n">
        <v>0</v>
      </c>
      <c r="AE377" t="n">
        <v>0</v>
      </c>
      <c r="AF377" t="n">
        <v>87.17</v>
      </c>
      <c r="AG377" t="n">
        <v>11.6</v>
      </c>
      <c r="AH377" t="n">
        <v>0</v>
      </c>
      <c r="AI377" t="n">
        <v>1</v>
      </c>
      <c r="AJ377" t="n">
        <v>24.98</v>
      </c>
      <c r="AK377" t="n">
        <v>52.25</v>
      </c>
      <c r="AL377" t="n">
        <v>1</v>
      </c>
      <c r="AM377" t="n">
        <v>2</v>
      </c>
      <c r="AN377" t="n">
        <v>0</v>
      </c>
      <c r="AO377" t="n">
        <v>1</v>
      </c>
      <c r="AP377" t="n">
        <v>0</v>
      </c>
      <c r="AQ377" t="n">
        <v>0</v>
      </c>
      <c r="AR377" t="n">
        <v>0</v>
      </c>
      <c r="AS377" t="inlineStr"/>
      <c r="AT377" t="n">
        <v>0.01</v>
      </c>
      <c r="AU377" t="inlineStr"/>
      <c r="AV377" t="n">
        <v>0</v>
      </c>
      <c r="AW377" t="n">
        <v>2</v>
      </c>
      <c r="AX377" t="n">
        <v>78871134</v>
      </c>
      <c r="AY377" t="n">
        <v>1</v>
      </c>
      <c r="AZ377" t="n">
        <v>0</v>
      </c>
      <c r="BA377" t="n">
        <v>344</v>
      </c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>
        <f>ROUND(Y377*Source!I666*DO377,7)</f>
        <v/>
      </c>
      <c r="CX377">
        <f>ROUND(Y377*Source!I666,7)</f>
        <v/>
      </c>
      <c r="CY377">
        <f>AB377</f>
        <v/>
      </c>
      <c r="CZ377">
        <f>AF377</f>
        <v/>
      </c>
      <c r="DA377">
        <f>AJ377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ROUND(ROUND(AE377,0)*CX377,0)</f>
        <v/>
      </c>
      <c r="DG377">
        <f>ROUND(ROUND(AF377*AJ377,0)*CX377,0)</f>
        <v/>
      </c>
      <c r="DH377">
        <f>ROUND(ROUND(AG377*AK377,0)*CX377,0)</f>
        <v/>
      </c>
      <c r="DI377">
        <f>ROUND(ROUND(AH377,0)*CX377,0)</f>
        <v/>
      </c>
      <c r="DJ377">
        <f>DG377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ROW(Source!A666)</f>
        <v/>
      </c>
      <c r="B378" t="n">
        <v>78869116</v>
      </c>
      <c r="C378" t="n">
        <v>78871107</v>
      </c>
      <c r="D378" t="n">
        <v>29110546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101-1665</t>
        </is>
      </c>
      <c r="J378" t="inlineStr">
        <is>
          <t>ТССЦ Московской обл., 101-1665, приказ Минстроя России №675/пр от 28.02.2017 № 254/пр</t>
        </is>
      </c>
      <c r="K378" t="inlineStr">
        <is>
          <t>Лак электроизоляционный 318</t>
        </is>
      </c>
      <c r="L378" t="n">
        <v>1346</v>
      </c>
      <c r="N378" t="n">
        <v>1009</v>
      </c>
      <c r="O378" t="inlineStr">
        <is>
          <t>кг</t>
        </is>
      </c>
      <c r="P378" t="inlineStr">
        <is>
          <t>кг</t>
        </is>
      </c>
      <c r="Q378" t="n">
        <v>1</v>
      </c>
      <c r="W378" t="n">
        <v>0</v>
      </c>
      <c r="X378" t="n">
        <v>2102179917</v>
      </c>
      <c r="Y378">
        <f>AT378</f>
        <v/>
      </c>
      <c r="AA378" t="n">
        <v>191.33</v>
      </c>
      <c r="AB378" t="n">
        <v>0</v>
      </c>
      <c r="AC378" t="n">
        <v>0</v>
      </c>
      <c r="AD378" t="n">
        <v>0</v>
      </c>
      <c r="AE378" t="n">
        <v>35.63</v>
      </c>
      <c r="AF378" t="n">
        <v>0</v>
      </c>
      <c r="AG378" t="n">
        <v>0</v>
      </c>
      <c r="AH378" t="n">
        <v>0</v>
      </c>
      <c r="AI378" t="n">
        <v>5.37</v>
      </c>
      <c r="AJ378" t="n">
        <v>1</v>
      </c>
      <c r="AK378" t="n">
        <v>1</v>
      </c>
      <c r="AL378" t="n">
        <v>1</v>
      </c>
      <c r="AM378" t="n">
        <v>2</v>
      </c>
      <c r="AN378" t="n">
        <v>0</v>
      </c>
      <c r="AO378" t="n">
        <v>1</v>
      </c>
      <c r="AP378" t="n">
        <v>0</v>
      </c>
      <c r="AQ378" t="n">
        <v>0</v>
      </c>
      <c r="AR378" t="n">
        <v>0</v>
      </c>
      <c r="AS378" t="inlineStr"/>
      <c r="AT378" t="n">
        <v>0.014</v>
      </c>
      <c r="AU378" t="inlineStr"/>
      <c r="AV378" t="n">
        <v>0</v>
      </c>
      <c r="AW378" t="n">
        <v>2</v>
      </c>
      <c r="AX378" t="n">
        <v>78871135</v>
      </c>
      <c r="AY378" t="n">
        <v>1</v>
      </c>
      <c r="AZ378" t="n">
        <v>0</v>
      </c>
      <c r="BA378" t="n">
        <v>345</v>
      </c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ROUND(Y378*Source!I666,7)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ROW(Source!A666)</f>
        <v/>
      </c>
      <c r="B379" t="n">
        <v>78869116</v>
      </c>
      <c r="C379" t="n">
        <v>78871107</v>
      </c>
      <c r="D379" t="n">
        <v>29113980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101-1924</t>
        </is>
      </c>
      <c r="J379" t="inlineStr">
        <is>
          <t>ТССЦ Московской обл., 101-1924, приказ Минстроя России №675/пр от 28.02.2017 № 254/пр</t>
        </is>
      </c>
      <c r="K379" t="inlineStr">
        <is>
          <t>Электроды диаметром 4 мм Э42А</t>
        </is>
      </c>
      <c r="L379" t="n">
        <v>1346</v>
      </c>
      <c r="N379" t="n">
        <v>1009</v>
      </c>
      <c r="O379" t="inlineStr">
        <is>
          <t>кг</t>
        </is>
      </c>
      <c r="P379" t="inlineStr">
        <is>
          <t>кг</t>
        </is>
      </c>
      <c r="Q379" t="n">
        <v>1</v>
      </c>
      <c r="W379" t="n">
        <v>0</v>
      </c>
      <c r="X379" t="n">
        <v>-1805966371</v>
      </c>
      <c r="Y379">
        <f>AT379</f>
        <v/>
      </c>
      <c r="AA379" t="n">
        <v>179.3</v>
      </c>
      <c r="AB379" t="n">
        <v>0</v>
      </c>
      <c r="AC379" t="n">
        <v>0</v>
      </c>
      <c r="AD379" t="n">
        <v>0</v>
      </c>
      <c r="AE379" t="n">
        <v>14.31</v>
      </c>
      <c r="AF379" t="n">
        <v>0</v>
      </c>
      <c r="AG379" t="n">
        <v>0</v>
      </c>
      <c r="AH379" t="n">
        <v>0</v>
      </c>
      <c r="AI379" t="n">
        <v>12.53</v>
      </c>
      <c r="AJ379" t="n">
        <v>1</v>
      </c>
      <c r="AK379" t="n">
        <v>1</v>
      </c>
      <c r="AL379" t="n">
        <v>1</v>
      </c>
      <c r="AM379" t="n">
        <v>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0.07000000000000001</v>
      </c>
      <c r="AU379" t="inlineStr"/>
      <c r="AV379" t="n">
        <v>0</v>
      </c>
      <c r="AW379" t="n">
        <v>2</v>
      </c>
      <c r="AX379" t="n">
        <v>78871136</v>
      </c>
      <c r="AY379" t="n">
        <v>1</v>
      </c>
      <c r="AZ379" t="n">
        <v>0</v>
      </c>
      <c r="BA379" t="n">
        <v>346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V379" t="n">
        <v>0</v>
      </c>
      <c r="CW379" t="n">
        <v>0</v>
      </c>
      <c r="CX379">
        <f>ROUND(Y379*Source!I666,7)</f>
        <v/>
      </c>
      <c r="CY379">
        <f>AA379</f>
        <v/>
      </c>
      <c r="CZ379">
        <f>AE379</f>
        <v/>
      </c>
      <c r="DA379">
        <f>AI379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ROUND(ROUND(AE379*AI379,0)*CX379,0)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DF379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ROW(Source!A666)</f>
        <v/>
      </c>
      <c r="B380" t="n">
        <v>78869116</v>
      </c>
      <c r="C380" t="n">
        <v>78871107</v>
      </c>
      <c r="D380" t="n">
        <v>29108369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101-1964</t>
        </is>
      </c>
      <c r="J380" t="inlineStr">
        <is>
          <t>ТССЦ Московской обл., 101-1964, приказ Минстроя России №675/пр от 28.02.2017 № 254/пр</t>
        </is>
      </c>
      <c r="K380" t="inlineStr">
        <is>
          <t>Шпагат бумажный</t>
        </is>
      </c>
      <c r="L380" t="n">
        <v>1346</v>
      </c>
      <c r="N380" t="n">
        <v>1009</v>
      </c>
      <c r="O380" t="inlineStr">
        <is>
          <t>кг</t>
        </is>
      </c>
      <c r="P380" t="inlineStr">
        <is>
          <t>кг</t>
        </is>
      </c>
      <c r="Q380" t="n">
        <v>1</v>
      </c>
      <c r="W380" t="n">
        <v>0</v>
      </c>
      <c r="X380" t="n">
        <v>326902400</v>
      </c>
      <c r="Y380">
        <f>AT380</f>
        <v/>
      </c>
      <c r="AA380" t="n">
        <v>260.82</v>
      </c>
      <c r="AB380" t="n">
        <v>0</v>
      </c>
      <c r="AC380" t="n">
        <v>0</v>
      </c>
      <c r="AD380" t="n">
        <v>0</v>
      </c>
      <c r="AE380" t="n">
        <v>18.9</v>
      </c>
      <c r="AF380" t="n">
        <v>0</v>
      </c>
      <c r="AG380" t="n">
        <v>0</v>
      </c>
      <c r="AH380" t="n">
        <v>0</v>
      </c>
      <c r="AI380" t="n">
        <v>13.8</v>
      </c>
      <c r="AJ380" t="n">
        <v>1</v>
      </c>
      <c r="AK380" t="n">
        <v>1</v>
      </c>
      <c r="AL380" t="n">
        <v>1</v>
      </c>
      <c r="AM380" t="n">
        <v>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0.004</v>
      </c>
      <c r="AU380" t="inlineStr"/>
      <c r="AV380" t="n">
        <v>0</v>
      </c>
      <c r="AW380" t="n">
        <v>2</v>
      </c>
      <c r="AX380" t="n">
        <v>78871137</v>
      </c>
      <c r="AY380" t="n">
        <v>1</v>
      </c>
      <c r="AZ380" t="n">
        <v>0</v>
      </c>
      <c r="BA380" t="n">
        <v>347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ROUND(Y380*Source!I666,7)</f>
        <v/>
      </c>
      <c r="CY380">
        <f>AA380</f>
        <v/>
      </c>
      <c r="CZ380">
        <f>AE380</f>
        <v/>
      </c>
      <c r="DA380">
        <f>AI380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ROUND(ROUND(AE380*AI380,0)*CX380,0)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DF380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ROW(Source!A666)</f>
        <v/>
      </c>
      <c r="B381" t="n">
        <v>78869116</v>
      </c>
      <c r="C381" t="n">
        <v>78871107</v>
      </c>
      <c r="D381" t="n">
        <v>29114246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101-1977</t>
        </is>
      </c>
      <c r="J381" t="inlineStr">
        <is>
          <t>ТССЦ Московской обл., 101-1977, приказ Минстроя России №675/пр от 28.02.2017 № 254/пр</t>
        </is>
      </c>
      <c r="K381" t="inlineStr">
        <is>
          <t>Болты с гайками и шайбами строительные</t>
        </is>
      </c>
      <c r="L381" t="n">
        <v>1346</v>
      </c>
      <c r="N381" t="n">
        <v>1009</v>
      </c>
      <c r="O381" t="inlineStr">
        <is>
          <t>кг</t>
        </is>
      </c>
      <c r="P381" t="inlineStr">
        <is>
          <t>кг</t>
        </is>
      </c>
      <c r="Q381" t="n">
        <v>1</v>
      </c>
      <c r="W381" t="n">
        <v>0</v>
      </c>
      <c r="X381" t="n">
        <v>30920770</v>
      </c>
      <c r="Y381">
        <f>AT381</f>
        <v/>
      </c>
      <c r="AA381" t="n">
        <v>152.32</v>
      </c>
      <c r="AB381" t="n">
        <v>0</v>
      </c>
      <c r="AC381" t="n">
        <v>0</v>
      </c>
      <c r="AD381" t="n">
        <v>0</v>
      </c>
      <c r="AE381" t="n">
        <v>9.039999999999999</v>
      </c>
      <c r="AF381" t="n">
        <v>0</v>
      </c>
      <c r="AG381" t="n">
        <v>0</v>
      </c>
      <c r="AH381" t="n">
        <v>0</v>
      </c>
      <c r="AI381" t="n">
        <v>16.85</v>
      </c>
      <c r="AJ381" t="n">
        <v>1</v>
      </c>
      <c r="AK381" t="n">
        <v>1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0.38</v>
      </c>
      <c r="AU381" t="inlineStr"/>
      <c r="AV381" t="n">
        <v>0</v>
      </c>
      <c r="AW381" t="n">
        <v>2</v>
      </c>
      <c r="AX381" t="n">
        <v>78871138</v>
      </c>
      <c r="AY381" t="n">
        <v>1</v>
      </c>
      <c r="AZ381" t="n">
        <v>0</v>
      </c>
      <c r="BA381" t="n">
        <v>348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 t="n">
        <v>0</v>
      </c>
      <c r="CX381">
        <f>ROUND(Y381*Source!I666,7)</f>
        <v/>
      </c>
      <c r="CY381">
        <f>AA381</f>
        <v/>
      </c>
      <c r="CZ381">
        <f>AE381</f>
        <v/>
      </c>
      <c r="DA381">
        <f>AI381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ROUND(ROUND(AE381*AI381,0)*CX381,0)</f>
        <v/>
      </c>
      <c r="DG381">
        <f>ROUND(ROUND(AF381,0)*CX381,0)</f>
        <v/>
      </c>
      <c r="DH381">
        <f>ROUND(ROUND(AG381,0)*CX381,0)</f>
        <v/>
      </c>
      <c r="DI381">
        <f>ROUND(ROUND(AH381,0)*CX381,0)</f>
        <v/>
      </c>
      <c r="DJ381">
        <f>DF381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ROW(Source!A666)</f>
        <v/>
      </c>
      <c r="B382" t="n">
        <v>78869116</v>
      </c>
      <c r="C382" t="n">
        <v>78871107</v>
      </c>
      <c r="D382" t="n">
        <v>29110426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101-2143</t>
        </is>
      </c>
      <c r="J382" t="inlineStr">
        <is>
          <t>ТССЦ Московской обл., 101-2143, приказ Минстроя России №675/пр от 28.02.2017 № 254/пр</t>
        </is>
      </c>
      <c r="K382" t="inlineStr">
        <is>
          <t>Краска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W382" t="n">
        <v>0</v>
      </c>
      <c r="X382" t="n">
        <v>-1768004575</v>
      </c>
      <c r="Y382">
        <f>AT382</f>
        <v/>
      </c>
      <c r="AA382" t="n">
        <v>76.84</v>
      </c>
      <c r="AB382" t="n">
        <v>0</v>
      </c>
      <c r="AC382" t="n">
        <v>0</v>
      </c>
      <c r="AD382" t="n">
        <v>0</v>
      </c>
      <c r="AE382" t="n">
        <v>28.67</v>
      </c>
      <c r="AF382" t="n">
        <v>0</v>
      </c>
      <c r="AG382" t="n">
        <v>0</v>
      </c>
      <c r="AH382" t="n">
        <v>0</v>
      </c>
      <c r="AI382" t="n">
        <v>2.68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0.047</v>
      </c>
      <c r="AU382" t="inlineStr"/>
      <c r="AV382" t="n">
        <v>0</v>
      </c>
      <c r="AW382" t="n">
        <v>2</v>
      </c>
      <c r="AX382" t="n">
        <v>78871139</v>
      </c>
      <c r="AY382" t="n">
        <v>1</v>
      </c>
      <c r="AZ382" t="n">
        <v>0</v>
      </c>
      <c r="BA382" t="n">
        <v>349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ROUND(Y382*Source!I666,7)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ROW(Source!A666)</f>
        <v/>
      </c>
      <c r="B383" t="n">
        <v>78869116</v>
      </c>
      <c r="C383" t="n">
        <v>78871107</v>
      </c>
      <c r="D383" t="n">
        <v>29107961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101-2365</t>
        </is>
      </c>
      <c r="J383" t="inlineStr">
        <is>
          <t>ТССЦ Московской обл., 101-2365, приказ Минстроя России №675/пр от 28.02.2017 № 254/пр</t>
        </is>
      </c>
      <c r="K383" t="inlineStr">
        <is>
          <t>Нитки швейные</t>
        </is>
      </c>
      <c r="L383" t="n">
        <v>1346</v>
      </c>
      <c r="N383" t="n">
        <v>1009</v>
      </c>
      <c r="O383" t="inlineStr">
        <is>
          <t>кг</t>
        </is>
      </c>
      <c r="P383" t="inlineStr">
        <is>
          <t>кг</t>
        </is>
      </c>
      <c r="Q383" t="n">
        <v>1</v>
      </c>
      <c r="W383" t="n">
        <v>0</v>
      </c>
      <c r="X383" t="n">
        <v>-1088339451</v>
      </c>
      <c r="Y383">
        <f>AT383</f>
        <v/>
      </c>
      <c r="AA383" t="n">
        <v>766.37</v>
      </c>
      <c r="AB383" t="n">
        <v>0</v>
      </c>
      <c r="AC383" t="n">
        <v>0</v>
      </c>
      <c r="AD383" t="n">
        <v>0</v>
      </c>
      <c r="AE383" t="n">
        <v>133.05</v>
      </c>
      <c r="AF383" t="n">
        <v>0</v>
      </c>
      <c r="AG383" t="n">
        <v>0</v>
      </c>
      <c r="AH383" t="n">
        <v>0</v>
      </c>
      <c r="AI383" t="n">
        <v>5.76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</v>
      </c>
      <c r="AU383" t="inlineStr"/>
      <c r="AV383" t="n">
        <v>0</v>
      </c>
      <c r="AW383" t="n">
        <v>2</v>
      </c>
      <c r="AX383" t="n">
        <v>78871140</v>
      </c>
      <c r="AY383" t="n">
        <v>1</v>
      </c>
      <c r="AZ383" t="n">
        <v>0</v>
      </c>
      <c r="BA383" t="n">
        <v>350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ROUND(Y383*Source!I666,7)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ROW(Source!A666)</f>
        <v/>
      </c>
      <c r="B384" t="n">
        <v>78869116</v>
      </c>
      <c r="C384" t="n">
        <v>78871107</v>
      </c>
      <c r="D384" t="n">
        <v>29110838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101-2499</t>
        </is>
      </c>
      <c r="J384" t="inlineStr">
        <is>
          <t>ТССЦ Московской обл., 101-2499, приказ Минстроя России №675/пр от 28.02.2017 № 254/пр</t>
        </is>
      </c>
      <c r="K384" t="inlineStr">
        <is>
          <t>Лента изоляционная прорезиненная односторонняя ширина 20 мм, толщина 0,25-0,35 мм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-1294780295</v>
      </c>
      <c r="Y384">
        <f>AT384</f>
        <v/>
      </c>
      <c r="AA384" t="n">
        <v>1090.07</v>
      </c>
      <c r="AB384" t="n">
        <v>0</v>
      </c>
      <c r="AC384" t="n">
        <v>0</v>
      </c>
      <c r="AD384" t="n">
        <v>0</v>
      </c>
      <c r="AE384" t="n">
        <v>30.5</v>
      </c>
      <c r="AF384" t="n">
        <v>0</v>
      </c>
      <c r="AG384" t="n">
        <v>0</v>
      </c>
      <c r="AH384" t="n">
        <v>0</v>
      </c>
      <c r="AI384" t="n">
        <v>35.74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0.036</v>
      </c>
      <c r="AU384" t="inlineStr"/>
      <c r="AV384" t="n">
        <v>0</v>
      </c>
      <c r="AW384" t="n">
        <v>2</v>
      </c>
      <c r="AX384" t="n">
        <v>78871141</v>
      </c>
      <c r="AY384" t="n">
        <v>1</v>
      </c>
      <c r="AZ384" t="n">
        <v>0</v>
      </c>
      <c r="BA384" t="n">
        <v>351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ROUND(Y384*Source!I666,7)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ROW(Source!A666)</f>
        <v/>
      </c>
      <c r="B385" t="n">
        <v>78869116</v>
      </c>
      <c r="C385" t="n">
        <v>78871107</v>
      </c>
      <c r="D385" t="n">
        <v>29114470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101-3914</t>
        </is>
      </c>
      <c r="J385" t="inlineStr">
        <is>
          <t>ТССЦ Московской обл., 101-3914, приказ Минстроя России №675/пр от 28.02.2017 № 254/пр</t>
        </is>
      </c>
      <c r="K385" t="inlineStr">
        <is>
          <t>Дюбели распорные полипропиленовые</t>
        </is>
      </c>
      <c r="L385" t="n">
        <v>1355</v>
      </c>
      <c r="N385" t="n">
        <v>1010</v>
      </c>
      <c r="O385" t="inlineStr">
        <is>
          <t>100 шт.</t>
        </is>
      </c>
      <c r="P385" t="inlineStr">
        <is>
          <t>100 шт.</t>
        </is>
      </c>
      <c r="Q385" t="n">
        <v>100</v>
      </c>
      <c r="W385" t="n">
        <v>0</v>
      </c>
      <c r="X385" t="n">
        <v>1627582661</v>
      </c>
      <c r="Y385">
        <f>AT385</f>
        <v/>
      </c>
      <c r="AA385" t="n">
        <v>78.48</v>
      </c>
      <c r="AB385" t="n">
        <v>0</v>
      </c>
      <c r="AC385" t="n">
        <v>0</v>
      </c>
      <c r="AD385" t="n">
        <v>0</v>
      </c>
      <c r="AE385" t="n">
        <v>86.23999999999999</v>
      </c>
      <c r="AF385" t="n">
        <v>0</v>
      </c>
      <c r="AG385" t="n">
        <v>0</v>
      </c>
      <c r="AH385" t="n">
        <v>0</v>
      </c>
      <c r="AI385" t="n">
        <v>0.91</v>
      </c>
      <c r="AJ385" t="n">
        <v>1</v>
      </c>
      <c r="AK385" t="n">
        <v>1</v>
      </c>
      <c r="AL385" t="n">
        <v>1</v>
      </c>
      <c r="AM385" t="n">
        <v>2</v>
      </c>
      <c r="AN385" t="n">
        <v>0</v>
      </c>
      <c r="AO385" t="n">
        <v>1</v>
      </c>
      <c r="AP385" t="n">
        <v>0</v>
      </c>
      <c r="AQ385" t="n">
        <v>0</v>
      </c>
      <c r="AR385" t="n">
        <v>0</v>
      </c>
      <c r="AS385" t="inlineStr"/>
      <c r="AT385" t="n">
        <v>0.014</v>
      </c>
      <c r="AU385" t="inlineStr"/>
      <c r="AV385" t="n">
        <v>0</v>
      </c>
      <c r="AW385" t="n">
        <v>2</v>
      </c>
      <c r="AX385" t="n">
        <v>78871142</v>
      </c>
      <c r="AY385" t="n">
        <v>1</v>
      </c>
      <c r="AZ385" t="n">
        <v>0</v>
      </c>
      <c r="BA385" t="n">
        <v>352</v>
      </c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ROUND(Y385*Source!I666,7)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ROW(Source!A666)</f>
        <v/>
      </c>
      <c r="B386" t="n">
        <v>78869116</v>
      </c>
      <c r="C386" t="n">
        <v>78871107</v>
      </c>
      <c r="D386" t="n">
        <v>29129474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201-0843</t>
        </is>
      </c>
      <c r="J386" t="inlineStr">
        <is>
          <t>ТССЦ Московской обл., 201-0843, приказ Минстроя России №675/пр от 28.02.2017 № 255/пр</t>
        </is>
      </c>
      <c r="K386" t="inlineStr">
        <is>
          <t>Конструкции стальные индивидуальные решетчатые сварные массой до 0,1 т</t>
        </is>
      </c>
      <c r="L386" t="n">
        <v>1348</v>
      </c>
      <c r="N386" t="n">
        <v>1009</v>
      </c>
      <c r="O386" t="inlineStr">
        <is>
          <t>т</t>
        </is>
      </c>
      <c r="P386" t="inlineStr">
        <is>
          <t>т</t>
        </is>
      </c>
      <c r="Q386" t="n">
        <v>1000</v>
      </c>
      <c r="W386" t="n">
        <v>0</v>
      </c>
      <c r="X386" t="n">
        <v>-115984519</v>
      </c>
      <c r="Y386">
        <f>AT386</f>
        <v/>
      </c>
      <c r="AA386" t="n">
        <v>118113.18</v>
      </c>
      <c r="AB386" t="n">
        <v>0</v>
      </c>
      <c r="AC386" t="n">
        <v>0</v>
      </c>
      <c r="AD386" t="n">
        <v>0</v>
      </c>
      <c r="AE386" t="n">
        <v>11534.49</v>
      </c>
      <c r="AF386" t="n">
        <v>0</v>
      </c>
      <c r="AG386" t="n">
        <v>0</v>
      </c>
      <c r="AH386" t="n">
        <v>0</v>
      </c>
      <c r="AI386" t="n">
        <v>10.24</v>
      </c>
      <c r="AJ386" t="n">
        <v>1</v>
      </c>
      <c r="AK386" t="n">
        <v>1</v>
      </c>
      <c r="AL386" t="n">
        <v>1</v>
      </c>
      <c r="AM386" t="n">
        <v>2</v>
      </c>
      <c r="AN386" t="n">
        <v>0</v>
      </c>
      <c r="AO386" t="n">
        <v>1</v>
      </c>
      <c r="AP386" t="n">
        <v>0</v>
      </c>
      <c r="AQ386" t="n">
        <v>0</v>
      </c>
      <c r="AR386" t="n">
        <v>0</v>
      </c>
      <c r="AS386" t="inlineStr"/>
      <c r="AT386" t="n">
        <v>0.002</v>
      </c>
      <c r="AU386" t="inlineStr"/>
      <c r="AV386" t="n">
        <v>0</v>
      </c>
      <c r="AW386" t="n">
        <v>2</v>
      </c>
      <c r="AX386" t="n">
        <v>78871143</v>
      </c>
      <c r="AY386" t="n">
        <v>1</v>
      </c>
      <c r="AZ386" t="n">
        <v>0</v>
      </c>
      <c r="BA386" t="n">
        <v>353</v>
      </c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ROUND(Y386*Source!I666,7)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ROW(Source!A666)</f>
        <v/>
      </c>
      <c r="B387" t="n">
        <v>78869116</v>
      </c>
      <c r="C387" t="n">
        <v>78871107</v>
      </c>
      <c r="D387" t="n">
        <v>29165774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509-0090</t>
        </is>
      </c>
      <c r="J387" t="inlineStr">
        <is>
          <t>ТССЦ Московской обл., 509-0090, приказ Минстроя России №675/пр от 28.02.2017 № 258/пр</t>
        </is>
      </c>
      <c r="K387" t="inlineStr">
        <is>
          <t>Перемычки гибкие, тип ПГС-50</t>
        </is>
      </c>
      <c r="L387" t="n">
        <v>1358</v>
      </c>
      <c r="N387" t="n">
        <v>1010</v>
      </c>
      <c r="O387" t="inlineStr">
        <is>
          <t>10 шт.</t>
        </is>
      </c>
      <c r="P387" t="inlineStr">
        <is>
          <t>10 шт.</t>
        </is>
      </c>
      <c r="Q387" t="n">
        <v>10</v>
      </c>
      <c r="W387" t="n">
        <v>0</v>
      </c>
      <c r="X387" t="n">
        <v>-1035860104</v>
      </c>
      <c r="Y387">
        <f>AT387</f>
        <v/>
      </c>
      <c r="AA387" t="n">
        <v>1258.9</v>
      </c>
      <c r="AB387" t="n">
        <v>0</v>
      </c>
      <c r="AC387" t="n">
        <v>0</v>
      </c>
      <c r="AD387" t="n">
        <v>0</v>
      </c>
      <c r="AE387" t="n">
        <v>40.9</v>
      </c>
      <c r="AF387" t="n">
        <v>0</v>
      </c>
      <c r="AG387" t="n">
        <v>0</v>
      </c>
      <c r="AH387" t="n">
        <v>0</v>
      </c>
      <c r="AI387" t="n">
        <v>30.78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0.1</v>
      </c>
      <c r="AU387" t="inlineStr"/>
      <c r="AV387" t="n">
        <v>0</v>
      </c>
      <c r="AW387" t="n">
        <v>2</v>
      </c>
      <c r="AX387" t="n">
        <v>78871144</v>
      </c>
      <c r="AY387" t="n">
        <v>1</v>
      </c>
      <c r="AZ387" t="n">
        <v>0</v>
      </c>
      <c r="BA387" t="n">
        <v>354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ROUND(Y387*Source!I666,7)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ROW(Source!A666)</f>
        <v/>
      </c>
      <c r="B388" t="n">
        <v>78869116</v>
      </c>
      <c r="C388" t="n">
        <v>78871107</v>
      </c>
      <c r="D388" t="n">
        <v>29171708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509-1210</t>
        </is>
      </c>
      <c r="J388" t="inlineStr">
        <is>
          <t>ТССЦ Московской обл., 509-1210, приказ Минстроя России №675/пр от 28.02.2017 № 258/пр</t>
        </is>
      </c>
      <c r="K388" t="inlineStr">
        <is>
          <t>Вазелин технический</t>
        </is>
      </c>
      <c r="L388" t="n">
        <v>1346</v>
      </c>
      <c r="N388" t="n">
        <v>1009</v>
      </c>
      <c r="O388" t="inlineStr">
        <is>
          <t>кг</t>
        </is>
      </c>
      <c r="P388" t="inlineStr">
        <is>
          <t>кг</t>
        </is>
      </c>
      <c r="Q388" t="n">
        <v>1</v>
      </c>
      <c r="W388" t="n">
        <v>0</v>
      </c>
      <c r="X388" t="n">
        <v>1015963907</v>
      </c>
      <c r="Y388">
        <f>AT388</f>
        <v/>
      </c>
      <c r="AA388" t="n">
        <v>315.49</v>
      </c>
      <c r="AB388" t="n">
        <v>0</v>
      </c>
      <c r="AC388" t="n">
        <v>0</v>
      </c>
      <c r="AD388" t="n">
        <v>0</v>
      </c>
      <c r="AE388" t="n">
        <v>30.6</v>
      </c>
      <c r="AF388" t="n">
        <v>0</v>
      </c>
      <c r="AG388" t="n">
        <v>0</v>
      </c>
      <c r="AH388" t="n">
        <v>0</v>
      </c>
      <c r="AI388" t="n">
        <v>10.31</v>
      </c>
      <c r="AJ388" t="n">
        <v>1</v>
      </c>
      <c r="AK388" t="n">
        <v>1</v>
      </c>
      <c r="AL388" t="n">
        <v>1</v>
      </c>
      <c r="AM388" t="n">
        <v>2</v>
      </c>
      <c r="AN388" t="n">
        <v>0</v>
      </c>
      <c r="AO388" t="n">
        <v>1</v>
      </c>
      <c r="AP388" t="n">
        <v>0</v>
      </c>
      <c r="AQ388" t="n">
        <v>0</v>
      </c>
      <c r="AR388" t="n">
        <v>0</v>
      </c>
      <c r="AS388" t="inlineStr"/>
      <c r="AT388" t="n">
        <v>0.008999999999999999</v>
      </c>
      <c r="AU388" t="inlineStr"/>
      <c r="AV388" t="n">
        <v>0</v>
      </c>
      <c r="AW388" t="n">
        <v>2</v>
      </c>
      <c r="AX388" t="n">
        <v>78871145</v>
      </c>
      <c r="AY388" t="n">
        <v>1</v>
      </c>
      <c r="AZ388" t="n">
        <v>0</v>
      </c>
      <c r="BA388" t="n">
        <v>355</v>
      </c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ROUND(Y388*Source!I666,7)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ROW(Source!A666)</f>
        <v/>
      </c>
      <c r="B389" t="n">
        <v>78869116</v>
      </c>
      <c r="C389" t="n">
        <v>78871107</v>
      </c>
      <c r="D389" t="n">
        <v>29166685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509-2247</t>
        </is>
      </c>
      <c r="J389" t="inlineStr">
        <is>
          <t>ТССЦ Московской обл., 509-2247, приказ Минстроя России №675/пр от 28.02.2017 № 258/пр</t>
        </is>
      </c>
      <c r="K389" t="inlineStr">
        <is>
          <t>Выключатели автоматические «IEK» ВА47-29 4Р 25А, характеристика С</t>
        </is>
      </c>
      <c r="L389" t="n">
        <v>1354</v>
      </c>
      <c r="N389" t="n">
        <v>1010</v>
      </c>
      <c r="O389" t="inlineStr">
        <is>
          <t>шт.</t>
        </is>
      </c>
      <c r="P389" t="inlineStr">
        <is>
          <t>шт.</t>
        </is>
      </c>
      <c r="Q389" t="n">
        <v>1</v>
      </c>
      <c r="W389" t="n">
        <v>0</v>
      </c>
      <c r="X389" t="n">
        <v>-104479151</v>
      </c>
      <c r="Y389">
        <f>AT389</f>
        <v/>
      </c>
      <c r="AA389" t="n">
        <v>490.45</v>
      </c>
      <c r="AB389" t="n">
        <v>0</v>
      </c>
      <c r="AC389" t="n">
        <v>0</v>
      </c>
      <c r="AD389" t="n">
        <v>0</v>
      </c>
      <c r="AE389" t="n">
        <v>57.43</v>
      </c>
      <c r="AF389" t="n">
        <v>0</v>
      </c>
      <c r="AG389" t="n">
        <v>0</v>
      </c>
      <c r="AH389" t="n">
        <v>0</v>
      </c>
      <c r="AI389" t="n">
        <v>8.539999999999999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ROUND(Y389*Source!I666,7)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ROW(Source!A666)</f>
        <v/>
      </c>
      <c r="B390" t="n">
        <v>78869116</v>
      </c>
      <c r="C390" t="n">
        <v>78871107</v>
      </c>
      <c r="D390" t="n">
        <v>29171808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999-9950</t>
        </is>
      </c>
      <c r="J390" t="inlineStr">
        <is>
          <t>ТССЦ Московской обл., 999-9950, приказ Минстроя России №675/пр от 21.09.2015 г.</t>
        </is>
      </c>
      <c r="K390" t="inlineStr">
        <is>
          <t>Вспомогательные ненормируемые материалы (2% от ОЗП)</t>
        </is>
      </c>
      <c r="L390" t="n">
        <v>1374</v>
      </c>
      <c r="N390" t="n">
        <v>1013</v>
      </c>
      <c r="O390" t="inlineStr">
        <is>
          <t>РУБ</t>
        </is>
      </c>
      <c r="P390" t="inlineStr">
        <is>
          <t>РУБ</t>
        </is>
      </c>
      <c r="Q390" t="n">
        <v>1</v>
      </c>
      <c r="W390" t="n">
        <v>0</v>
      </c>
      <c r="X390" t="n">
        <v>-915781824</v>
      </c>
      <c r="Y390">
        <f>AT390</f>
        <v/>
      </c>
      <c r="AA390" t="n">
        <v>1</v>
      </c>
      <c r="AB390" t="n">
        <v>0</v>
      </c>
      <c r="AC390" t="n">
        <v>0</v>
      </c>
      <c r="AD390" t="n">
        <v>0</v>
      </c>
      <c r="AE390" t="n">
        <v>1</v>
      </c>
      <c r="AF390" t="n">
        <v>0</v>
      </c>
      <c r="AG390" t="n">
        <v>0</v>
      </c>
      <c r="AH390" t="n">
        <v>0</v>
      </c>
      <c r="AI390" t="n">
        <v>1</v>
      </c>
      <c r="AJ390" t="n">
        <v>1</v>
      </c>
      <c r="AK390" t="n">
        <v>1</v>
      </c>
      <c r="AL390" t="n">
        <v>1</v>
      </c>
      <c r="AM390" t="n">
        <v>-2</v>
      </c>
      <c r="AN390" t="n">
        <v>0</v>
      </c>
      <c r="AO390" t="n">
        <v>1</v>
      </c>
      <c r="AP390" t="n">
        <v>0</v>
      </c>
      <c r="AQ390" t="n">
        <v>0</v>
      </c>
      <c r="AR390" t="n">
        <v>0</v>
      </c>
      <c r="AS390" t="inlineStr"/>
      <c r="AT390" t="n">
        <v>0.44</v>
      </c>
      <c r="AU390" t="inlineStr"/>
      <c r="AV390" t="n">
        <v>0</v>
      </c>
      <c r="AW390" t="n">
        <v>2</v>
      </c>
      <c r="AX390" t="n">
        <v>78871146</v>
      </c>
      <c r="AY390" t="n">
        <v>1</v>
      </c>
      <c r="AZ390" t="n">
        <v>0</v>
      </c>
      <c r="BA390" t="n">
        <v>356</v>
      </c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ROUND(Y390*Source!I666,7)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ROW(Source!A668)</f>
        <v/>
      </c>
      <c r="B391" t="n">
        <v>78869116</v>
      </c>
      <c r="C391" t="n">
        <v>78871148</v>
      </c>
      <c r="D391" t="n">
        <v>18407150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1-1030-90</t>
        </is>
      </c>
      <c r="J391" t="inlineStr"/>
      <c r="K391" t="inlineStr">
        <is>
          <t>Рабочий строитель среднего разряда 3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-931037793</v>
      </c>
      <c r="Y391">
        <f>AT391</f>
        <v/>
      </c>
      <c r="AA391" t="n">
        <v>0</v>
      </c>
      <c r="AB391" t="n">
        <v>0</v>
      </c>
      <c r="AC391" t="n">
        <v>0</v>
      </c>
      <c r="AD391" t="n">
        <v>8.529999999999999</v>
      </c>
      <c r="AE391" t="n">
        <v>0</v>
      </c>
      <c r="AF391" t="n">
        <v>0</v>
      </c>
      <c r="AG391" t="n">
        <v>0</v>
      </c>
      <c r="AH391" t="n">
        <v>8.529999999999999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0</v>
      </c>
      <c r="AQ391" t="n">
        <v>0</v>
      </c>
      <c r="AR391" t="n">
        <v>0</v>
      </c>
      <c r="AS391" t="inlineStr"/>
      <c r="AT391" t="n">
        <v>37.8</v>
      </c>
      <c r="AU391" t="inlineStr"/>
      <c r="AV391" t="n">
        <v>1</v>
      </c>
      <c r="AW391" t="n">
        <v>2</v>
      </c>
      <c r="AX391" t="n">
        <v>78871150</v>
      </c>
      <c r="AY391" t="n">
        <v>1</v>
      </c>
      <c r="AZ391" t="n">
        <v>0</v>
      </c>
      <c r="BA391" t="n">
        <v>357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ROUND(AT391*Source!I668*AH391*AL391,0)</f>
        <v/>
      </c>
      <c r="CV391">
        <f>ROUND(Y391*Source!I668,7)</f>
        <v/>
      </c>
      <c r="CW391" t="n">
        <v>0</v>
      </c>
      <c r="CX391">
        <f>ROUND(Y391*Source!I668,7)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ROW(Source!A669)</f>
        <v/>
      </c>
      <c r="B392" t="n">
        <v>78869116</v>
      </c>
      <c r="C392" t="n">
        <v>78871151</v>
      </c>
      <c r="D392" t="n">
        <v>18413627</v>
      </c>
      <c r="E392" t="n">
        <v>1</v>
      </c>
      <c r="F392" t="n">
        <v>1</v>
      </c>
      <c r="G392" t="n">
        <v>1</v>
      </c>
      <c r="H392" t="n">
        <v>1</v>
      </c>
      <c r="I392" t="inlineStr">
        <is>
          <t>1-1042-90</t>
        </is>
      </c>
      <c r="J392" t="inlineStr"/>
      <c r="K392" t="inlineStr">
        <is>
          <t>Рабочий строитель среднего разряда 4,2</t>
        </is>
      </c>
      <c r="L392" t="n">
        <v>1369</v>
      </c>
      <c r="N392" t="n">
        <v>1013</v>
      </c>
      <c r="O392" t="inlineStr">
        <is>
          <t>чел.-ч</t>
        </is>
      </c>
      <c r="P392" t="inlineStr">
        <is>
          <t>чел.-ч</t>
        </is>
      </c>
      <c r="Q392" t="n">
        <v>1</v>
      </c>
      <c r="W392" t="n">
        <v>0</v>
      </c>
      <c r="X392" t="n">
        <v>-1366182279</v>
      </c>
      <c r="Y392">
        <f>AT392</f>
        <v/>
      </c>
      <c r="AA392" t="n">
        <v>0</v>
      </c>
      <c r="AB392" t="n">
        <v>0</v>
      </c>
      <c r="AC392" t="n">
        <v>0</v>
      </c>
      <c r="AD392" t="n">
        <v>9.92</v>
      </c>
      <c r="AE392" t="n">
        <v>0</v>
      </c>
      <c r="AF392" t="n">
        <v>0</v>
      </c>
      <c r="AG392" t="n">
        <v>0</v>
      </c>
      <c r="AH392" t="n">
        <v>9.92</v>
      </c>
      <c r="AI392" t="n">
        <v>1</v>
      </c>
      <c r="AJ392" t="n">
        <v>1</v>
      </c>
      <c r="AK392" t="n">
        <v>1</v>
      </c>
      <c r="AL392" t="n">
        <v>1</v>
      </c>
      <c r="AM392" t="n">
        <v>-2</v>
      </c>
      <c r="AN392" t="n">
        <v>0</v>
      </c>
      <c r="AO392" t="n">
        <v>1</v>
      </c>
      <c r="AP392" t="n">
        <v>0</v>
      </c>
      <c r="AQ392" t="n">
        <v>0</v>
      </c>
      <c r="AR392" t="n">
        <v>0</v>
      </c>
      <c r="AS392" t="inlineStr"/>
      <c r="AT392" t="n">
        <v>121.8</v>
      </c>
      <c r="AU392" t="inlineStr"/>
      <c r="AV392" t="n">
        <v>1</v>
      </c>
      <c r="AW392" t="n">
        <v>2</v>
      </c>
      <c r="AX392" t="n">
        <v>78871167</v>
      </c>
      <c r="AY392" t="n">
        <v>1</v>
      </c>
      <c r="AZ392" t="n">
        <v>0</v>
      </c>
      <c r="BA392" t="n">
        <v>358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U392">
        <f>ROUND(AT392*Source!I669*AH392*AL392,0)</f>
        <v/>
      </c>
      <c r="CV392">
        <f>ROUND(Y392*Source!I669,7)</f>
        <v/>
      </c>
      <c r="CW392" t="n">
        <v>0</v>
      </c>
      <c r="CX392">
        <f>ROUND(Y392*Source!I669,7)</f>
        <v/>
      </c>
      <c r="CY392">
        <f>AD392</f>
        <v/>
      </c>
      <c r="CZ392">
        <f>AH392</f>
        <v/>
      </c>
      <c r="DA392">
        <f>AL392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ROUND(ROUND(AF392,0)*CX392,0)</f>
        <v/>
      </c>
      <c r="DH392">
        <f>ROUND(ROUND(AG392,0)*CX392,0)</f>
        <v/>
      </c>
      <c r="DI392">
        <f>ROUND(ROUND(AH392,0)*CX392,0)</f>
        <v/>
      </c>
      <c r="DJ392">
        <f>DI392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ROW(Source!A669)</f>
        <v/>
      </c>
      <c r="B393" t="n">
        <v>78869116</v>
      </c>
      <c r="C393" t="n">
        <v>78871151</v>
      </c>
      <c r="D393" t="n">
        <v>121548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2</t>
        </is>
      </c>
      <c r="J393" t="inlineStr"/>
      <c r="K393" t="inlineStr">
        <is>
          <t>Затраты труда машинистов</t>
        </is>
      </c>
      <c r="L393" t="n">
        <v>608254</v>
      </c>
      <c r="N393" t="n">
        <v>1013</v>
      </c>
      <c r="O393" t="inlineStr">
        <is>
          <t>чел.час</t>
        </is>
      </c>
      <c r="P393" t="inlineStr">
        <is>
          <t>чел.час</t>
        </is>
      </c>
      <c r="Q393" t="n">
        <v>1</v>
      </c>
      <c r="W393" t="n">
        <v>0</v>
      </c>
      <c r="X393" t="n">
        <v>-185737400</v>
      </c>
      <c r="Y393">
        <f>AT393</f>
        <v/>
      </c>
      <c r="AA393" t="n">
        <v>0</v>
      </c>
      <c r="AB393" t="n">
        <v>0</v>
      </c>
      <c r="AC393" t="n">
        <v>0</v>
      </c>
      <c r="AD393" t="n">
        <v>0</v>
      </c>
      <c r="AE393" t="n">
        <v>0</v>
      </c>
      <c r="AF393" t="n">
        <v>0</v>
      </c>
      <c r="AG393" t="n">
        <v>0</v>
      </c>
      <c r="AH393" t="n">
        <v>0</v>
      </c>
      <c r="AI393" t="n">
        <v>1</v>
      </c>
      <c r="AJ393" t="n">
        <v>1</v>
      </c>
      <c r="AK393" t="n">
        <v>1</v>
      </c>
      <c r="AL393" t="n">
        <v>1</v>
      </c>
      <c r="AM393" t="n">
        <v>-2</v>
      </c>
      <c r="AN393" t="n">
        <v>0</v>
      </c>
      <c r="AO393" t="n">
        <v>1</v>
      </c>
      <c r="AP393" t="n">
        <v>0</v>
      </c>
      <c r="AQ393" t="n">
        <v>0</v>
      </c>
      <c r="AR393" t="n">
        <v>0</v>
      </c>
      <c r="AS393" t="inlineStr"/>
      <c r="AT393" t="n">
        <v>4.72</v>
      </c>
      <c r="AU393" t="inlineStr"/>
      <c r="AV393" t="n">
        <v>2</v>
      </c>
      <c r="AW393" t="n">
        <v>2</v>
      </c>
      <c r="AX393" t="n">
        <v>78871168</v>
      </c>
      <c r="AY393" t="n">
        <v>1</v>
      </c>
      <c r="AZ393" t="n">
        <v>0</v>
      </c>
      <c r="BA393" t="n">
        <v>359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 t="n">
        <v>0</v>
      </c>
      <c r="CX393">
        <f>ROUND(Y393*Source!I669,7)</f>
        <v/>
      </c>
      <c r="CY393">
        <f>AD393</f>
        <v/>
      </c>
      <c r="CZ393">
        <f>AH393</f>
        <v/>
      </c>
      <c r="DA393">
        <f>AL393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ROUND(ROUND(AF393,0)*CX393,0)</f>
        <v/>
      </c>
      <c r="DH393">
        <f>ROUND(ROUND(AG393,0)*CX393,0)</f>
        <v/>
      </c>
      <c r="DI393">
        <f>ROUND(ROUND(AH393,0)*CX393,0)</f>
        <v/>
      </c>
      <c r="DJ393">
        <f>DI393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ROW(Source!A669)</f>
        <v/>
      </c>
      <c r="B394" t="n">
        <v>78869116</v>
      </c>
      <c r="C394" t="n">
        <v>78871151</v>
      </c>
      <c r="D394" t="n">
        <v>29172268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020129</t>
        </is>
      </c>
      <c r="J394" t="inlineStr">
        <is>
          <t>ТСЭМ Московской обл., 020129, приказ Минстроя России №675/пр от 28.02.2017 № 264/пр</t>
        </is>
      </c>
      <c r="K394" t="inlineStr">
        <is>
          <t>Краны башенные при работе на других видах строительства 8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-438066613</v>
      </c>
      <c r="Y394">
        <f>AT394</f>
        <v/>
      </c>
      <c r="AA394" t="n">
        <v>0</v>
      </c>
      <c r="AB394" t="n">
        <v>1211.33</v>
      </c>
      <c r="AC394" t="n">
        <v>705.38</v>
      </c>
      <c r="AD394" t="n">
        <v>0</v>
      </c>
      <c r="AE394" t="n">
        <v>0</v>
      </c>
      <c r="AF394" t="n">
        <v>86.40000000000001</v>
      </c>
      <c r="AG394" t="n">
        <v>13.5</v>
      </c>
      <c r="AH394" t="n">
        <v>0</v>
      </c>
      <c r="AI394" t="n">
        <v>1</v>
      </c>
      <c r="AJ394" t="n">
        <v>14.02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0</v>
      </c>
      <c r="AQ394" t="n">
        <v>0</v>
      </c>
      <c r="AR394" t="n">
        <v>0</v>
      </c>
      <c r="AS394" t="inlineStr"/>
      <c r="AT394" t="n">
        <v>0.05</v>
      </c>
      <c r="AU394" t="inlineStr"/>
      <c r="AV394" t="n">
        <v>0</v>
      </c>
      <c r="AW394" t="n">
        <v>2</v>
      </c>
      <c r="AX394" t="n">
        <v>78871169</v>
      </c>
      <c r="AY394" t="n">
        <v>1</v>
      </c>
      <c r="AZ394" t="n">
        <v>0</v>
      </c>
      <c r="BA394" t="n">
        <v>360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ROUND(Y394*Source!I669*DO394,7)</f>
        <v/>
      </c>
      <c r="CX394">
        <f>ROUND(Y394*Source!I669,7)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ROW(Source!A669)</f>
        <v/>
      </c>
      <c r="B395" t="n">
        <v>78869116</v>
      </c>
      <c r="C395" t="n">
        <v>78871151</v>
      </c>
      <c r="D395" t="n">
        <v>29172379</v>
      </c>
      <c r="E395" t="n">
        <v>1</v>
      </c>
      <c r="F395" t="n">
        <v>1</v>
      </c>
      <c r="G395" t="n">
        <v>1</v>
      </c>
      <c r="H395" t="n">
        <v>2</v>
      </c>
      <c r="I395" t="inlineStr">
        <is>
          <t>021141</t>
        </is>
      </c>
      <c r="J395" t="inlineStr">
        <is>
          <t>ТСЭМ Московской обл., 021141, приказ Минстроя России №675/пр от 28.02.2017 № 264/пр</t>
        </is>
      </c>
      <c r="K395" t="inlineStr">
        <is>
          <t>Краны на автомобильном ходу при работе на других видах строительства 10 т</t>
        </is>
      </c>
      <c r="L395" t="n">
        <v>1368</v>
      </c>
      <c r="N395" t="n">
        <v>1011</v>
      </c>
      <c r="O395" t="inlineStr">
        <is>
          <t>маш.-ч</t>
        </is>
      </c>
      <c r="P395" t="inlineStr">
        <is>
          <t>маш.-ч</t>
        </is>
      </c>
      <c r="Q395" t="n">
        <v>1</v>
      </c>
      <c r="W395" t="n">
        <v>0</v>
      </c>
      <c r="X395" t="n">
        <v>1106923569</v>
      </c>
      <c r="Y395">
        <f>AT395</f>
        <v/>
      </c>
      <c r="AA395" t="n">
        <v>0</v>
      </c>
      <c r="AB395" t="n">
        <v>1490.72</v>
      </c>
      <c r="AC395" t="n">
        <v>705.38</v>
      </c>
      <c r="AD395" t="n">
        <v>0</v>
      </c>
      <c r="AE395" t="n">
        <v>0</v>
      </c>
      <c r="AF395" t="n">
        <v>112</v>
      </c>
      <c r="AG395" t="n">
        <v>13.5</v>
      </c>
      <c r="AH395" t="n">
        <v>0</v>
      </c>
      <c r="AI395" t="n">
        <v>1</v>
      </c>
      <c r="AJ395" t="n">
        <v>13.31</v>
      </c>
      <c r="AK395" t="n">
        <v>52.25</v>
      </c>
      <c r="AL395" t="n">
        <v>1</v>
      </c>
      <c r="AM395" t="n">
        <v>2</v>
      </c>
      <c r="AN395" t="n">
        <v>0</v>
      </c>
      <c r="AO395" t="n">
        <v>1</v>
      </c>
      <c r="AP395" t="n">
        <v>0</v>
      </c>
      <c r="AQ395" t="n">
        <v>0</v>
      </c>
      <c r="AR395" t="n">
        <v>0</v>
      </c>
      <c r="AS395" t="inlineStr"/>
      <c r="AT395" t="n">
        <v>0.03</v>
      </c>
      <c r="AU395" t="inlineStr"/>
      <c r="AV395" t="n">
        <v>0</v>
      </c>
      <c r="AW395" t="n">
        <v>2</v>
      </c>
      <c r="AX395" t="n">
        <v>78871170</v>
      </c>
      <c r="AY395" t="n">
        <v>1</v>
      </c>
      <c r="AZ395" t="n">
        <v>0</v>
      </c>
      <c r="BA395" t="n">
        <v>361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>
        <f>ROUND(Y395*Source!I669*DO395,7)</f>
        <v/>
      </c>
      <c r="CX395">
        <f>ROUND(Y395*Source!I669,7)</f>
        <v/>
      </c>
      <c r="CY395">
        <f>AB395</f>
        <v/>
      </c>
      <c r="CZ395">
        <f>AF395</f>
        <v/>
      </c>
      <c r="DA395">
        <f>AJ395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ROUND(ROUND(AE395,0)*CX395,0)</f>
        <v/>
      </c>
      <c r="DG395">
        <f>ROUND(ROUND(AF395*AJ395,0)*CX395,0)</f>
        <v/>
      </c>
      <c r="DH395">
        <f>ROUND(ROUND(AG395*AK395,0)*CX395,0)</f>
        <v/>
      </c>
      <c r="DI395">
        <f>ROUND(ROUND(AH395,0)*CX395,0)</f>
        <v/>
      </c>
      <c r="DJ395">
        <f>DG395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ROW(Source!A669)</f>
        <v/>
      </c>
      <c r="B396" t="n">
        <v>78869116</v>
      </c>
      <c r="C396" t="n">
        <v>78871151</v>
      </c>
      <c r="D396" t="n">
        <v>29172951</v>
      </c>
      <c r="E396" t="n">
        <v>1</v>
      </c>
      <c r="F396" t="n">
        <v>1</v>
      </c>
      <c r="G396" t="n">
        <v>1</v>
      </c>
      <c r="H396" t="n">
        <v>2</v>
      </c>
      <c r="I396" t="inlineStr">
        <is>
          <t>081600</t>
        </is>
      </c>
      <c r="J396" t="inlineStr">
        <is>
          <t>ТСЭМ Московской обл., 081600, приказ Минстроя России №675/пр от 28.02.2017 № 264/пр</t>
        </is>
      </c>
      <c r="K396" t="inlineStr">
        <is>
          <t>Агрегаты для сварки полиэтиленовых труб</t>
        </is>
      </c>
      <c r="L396" t="n">
        <v>1368</v>
      </c>
      <c r="N396" t="n">
        <v>1011</v>
      </c>
      <c r="O396" t="inlineStr">
        <is>
          <t>маш.-ч</t>
        </is>
      </c>
      <c r="P396" t="inlineStr">
        <is>
          <t>маш.-ч</t>
        </is>
      </c>
      <c r="Q396" t="n">
        <v>1</v>
      </c>
      <c r="W396" t="n">
        <v>0</v>
      </c>
      <c r="X396" t="n">
        <v>1994325455</v>
      </c>
      <c r="Y396">
        <f>AT396</f>
        <v/>
      </c>
      <c r="AA396" t="n">
        <v>0</v>
      </c>
      <c r="AB396" t="n">
        <v>1193.19</v>
      </c>
      <c r="AC396" t="n">
        <v>705.38</v>
      </c>
      <c r="AD396" t="n">
        <v>0</v>
      </c>
      <c r="AE396" t="n">
        <v>0</v>
      </c>
      <c r="AF396" t="n">
        <v>100.1</v>
      </c>
      <c r="AG396" t="n">
        <v>13.5</v>
      </c>
      <c r="AH396" t="n">
        <v>0</v>
      </c>
      <c r="AI396" t="n">
        <v>1</v>
      </c>
      <c r="AJ396" t="n">
        <v>11.92</v>
      </c>
      <c r="AK396" t="n">
        <v>52.25</v>
      </c>
      <c r="AL396" t="n">
        <v>1</v>
      </c>
      <c r="AM396" t="n">
        <v>2</v>
      </c>
      <c r="AN396" t="n">
        <v>0</v>
      </c>
      <c r="AO396" t="n">
        <v>1</v>
      </c>
      <c r="AP396" t="n">
        <v>0</v>
      </c>
      <c r="AQ396" t="n">
        <v>0</v>
      </c>
      <c r="AR396" t="n">
        <v>0</v>
      </c>
      <c r="AS396" t="inlineStr"/>
      <c r="AT396" t="n">
        <v>4.64</v>
      </c>
      <c r="AU396" t="inlineStr"/>
      <c r="AV396" t="n">
        <v>0</v>
      </c>
      <c r="AW396" t="n">
        <v>2</v>
      </c>
      <c r="AX396" t="n">
        <v>78871171</v>
      </c>
      <c r="AY396" t="n">
        <v>1</v>
      </c>
      <c r="AZ396" t="n">
        <v>0</v>
      </c>
      <c r="BA396" t="n">
        <v>362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>
        <f>ROUND(Y396*Source!I669*DO396,7)</f>
        <v/>
      </c>
      <c r="CX396">
        <f>ROUND(Y396*Source!I669,7)</f>
        <v/>
      </c>
      <c r="CY396">
        <f>AB396</f>
        <v/>
      </c>
      <c r="CZ396">
        <f>AF396</f>
        <v/>
      </c>
      <c r="DA396">
        <f>AJ396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ROUND(ROUND(AE396,0)*CX396,0)</f>
        <v/>
      </c>
      <c r="DG396">
        <f>ROUND(ROUND(AF396*AJ396,0)*CX396,0)</f>
        <v/>
      </c>
      <c r="DH396">
        <f>ROUND(ROUND(AG396*AK396,0)*CX396,0)</f>
        <v/>
      </c>
      <c r="DI396">
        <f>ROUND(ROUND(AH396,0)*CX396,0)</f>
        <v/>
      </c>
      <c r="DJ396">
        <f>DG396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ROW(Source!A669)</f>
        <v/>
      </c>
      <c r="B397" t="n">
        <v>78869116</v>
      </c>
      <c r="C397" t="n">
        <v>78871151</v>
      </c>
      <c r="D397" t="n">
        <v>29174913</v>
      </c>
      <c r="E397" t="n">
        <v>1</v>
      </c>
      <c r="F397" t="n">
        <v>1</v>
      </c>
      <c r="G397" t="n">
        <v>1</v>
      </c>
      <c r="H397" t="n">
        <v>2</v>
      </c>
      <c r="I397" t="inlineStr">
        <is>
          <t>400001</t>
        </is>
      </c>
      <c r="J397" t="inlineStr">
        <is>
          <t>ТСЭМ Московской обл., 400001, приказ Минстроя России №675/пр от 28.02.2017 № 264/пр</t>
        </is>
      </c>
      <c r="K397" t="inlineStr">
        <is>
          <t>Автомобили бортовые, грузоподъемность до 5 т</t>
        </is>
      </c>
      <c r="L397" t="n">
        <v>1368</v>
      </c>
      <c r="N397" t="n">
        <v>1011</v>
      </c>
      <c r="O397" t="inlineStr">
        <is>
          <t>маш.-ч</t>
        </is>
      </c>
      <c r="P397" t="inlineStr">
        <is>
          <t>маш.-ч</t>
        </is>
      </c>
      <c r="Q397" t="n">
        <v>1</v>
      </c>
      <c r="W397" t="n">
        <v>0</v>
      </c>
      <c r="X397" t="n">
        <v>1230759911</v>
      </c>
      <c r="Y397">
        <f>AT397</f>
        <v/>
      </c>
      <c r="AA397" t="n">
        <v>0</v>
      </c>
      <c r="AB397" t="n">
        <v>2177.51</v>
      </c>
      <c r="AC397" t="n">
        <v>606.1</v>
      </c>
      <c r="AD397" t="n">
        <v>0</v>
      </c>
      <c r="AE397" t="n">
        <v>0</v>
      </c>
      <c r="AF397" t="n">
        <v>87.17</v>
      </c>
      <c r="AG397" t="n">
        <v>11.6</v>
      </c>
      <c r="AH397" t="n">
        <v>0</v>
      </c>
      <c r="AI397" t="n">
        <v>1</v>
      </c>
      <c r="AJ397" t="n">
        <v>24.98</v>
      </c>
      <c r="AK397" t="n">
        <v>52.25</v>
      </c>
      <c r="AL397" t="n">
        <v>1</v>
      </c>
      <c r="AM397" t="n">
        <v>2</v>
      </c>
      <c r="AN397" t="n">
        <v>0</v>
      </c>
      <c r="AO397" t="n">
        <v>1</v>
      </c>
      <c r="AP397" t="n">
        <v>0</v>
      </c>
      <c r="AQ397" t="n">
        <v>0</v>
      </c>
      <c r="AR397" t="n">
        <v>0</v>
      </c>
      <c r="AS397" t="inlineStr"/>
      <c r="AT397" t="n">
        <v>0.22</v>
      </c>
      <c r="AU397" t="inlineStr"/>
      <c r="AV397" t="n">
        <v>0</v>
      </c>
      <c r="AW397" t="n">
        <v>2</v>
      </c>
      <c r="AX397" t="n">
        <v>78871172</v>
      </c>
      <c r="AY397" t="n">
        <v>1</v>
      </c>
      <c r="AZ397" t="n">
        <v>0</v>
      </c>
      <c r="BA397" t="n">
        <v>363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>
        <f>ROUND(Y397*Source!I669*DO397,7)</f>
        <v/>
      </c>
      <c r="CX397">
        <f>ROUND(Y397*Source!I669,7)</f>
        <v/>
      </c>
      <c r="CY397">
        <f>AB397</f>
        <v/>
      </c>
      <c r="CZ397">
        <f>AF397</f>
        <v/>
      </c>
      <c r="DA397">
        <f>AJ397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ROUND(ROUND(AE397,0)*CX397,0)</f>
        <v/>
      </c>
      <c r="DG397">
        <f>ROUND(ROUND(AF397*AJ397,0)*CX397,0)</f>
        <v/>
      </c>
      <c r="DH397">
        <f>ROUND(ROUND(AG397*AK397,0)*CX397,0)</f>
        <v/>
      </c>
      <c r="DI397">
        <f>ROUND(ROUND(AH397,0)*CX397,0)</f>
        <v/>
      </c>
      <c r="DJ397">
        <f>DG397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ROW(Source!A669)</f>
        <v/>
      </c>
      <c r="B398" t="n">
        <v>78869116</v>
      </c>
      <c r="C398" t="n">
        <v>78871151</v>
      </c>
      <c r="D398" t="n">
        <v>29114425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101-0137</t>
        </is>
      </c>
      <c r="J398" t="inlineStr">
        <is>
          <t>ТССЦ Московской обл., 101-0137, приказ Минстроя России №675/пр от 28.02.2017 № 254/пр</t>
        </is>
      </c>
      <c r="K398" t="inlineStr">
        <is>
          <t>Дюбели с калиброванной головкой (в обоймах) 3х58,5 мм</t>
        </is>
      </c>
      <c r="L398" t="n">
        <v>1348</v>
      </c>
      <c r="N398" t="n">
        <v>1009</v>
      </c>
      <c r="O398" t="inlineStr">
        <is>
          <t>т</t>
        </is>
      </c>
      <c r="P398" t="inlineStr">
        <is>
          <t>т</t>
        </is>
      </c>
      <c r="Q398" t="n">
        <v>1000</v>
      </c>
      <c r="W398" t="n">
        <v>0</v>
      </c>
      <c r="X398" t="n">
        <v>-1847793032</v>
      </c>
      <c r="Y398">
        <f>AT398</f>
        <v/>
      </c>
      <c r="AA398" t="n">
        <v>84141.34</v>
      </c>
      <c r="AB398" t="n">
        <v>0</v>
      </c>
      <c r="AC398" t="n">
        <v>0</v>
      </c>
      <c r="AD398" t="n">
        <v>0</v>
      </c>
      <c r="AE398" t="n">
        <v>22558</v>
      </c>
      <c r="AF398" t="n">
        <v>0</v>
      </c>
      <c r="AG398" t="n">
        <v>0</v>
      </c>
      <c r="AH398" t="n">
        <v>0</v>
      </c>
      <c r="AI398" t="n">
        <v>3.73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0</v>
      </c>
      <c r="AQ398" t="n">
        <v>0</v>
      </c>
      <c r="AR398" t="n">
        <v>0</v>
      </c>
      <c r="AS398" t="inlineStr"/>
      <c r="AT398" t="n">
        <v>0.00051</v>
      </c>
      <c r="AU398" t="inlineStr"/>
      <c r="AV398" t="n">
        <v>0</v>
      </c>
      <c r="AW398" t="n">
        <v>2</v>
      </c>
      <c r="AX398" t="n">
        <v>78871173</v>
      </c>
      <c r="AY398" t="n">
        <v>1</v>
      </c>
      <c r="AZ398" t="n">
        <v>0</v>
      </c>
      <c r="BA398" t="n">
        <v>364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ROUND(Y398*Source!I669,7)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ROW(Source!A669)</f>
        <v/>
      </c>
      <c r="B399" t="n">
        <v>78869116</v>
      </c>
      <c r="C399" t="n">
        <v>78871151</v>
      </c>
      <c r="D399" t="n">
        <v>29109382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101-0329</t>
        </is>
      </c>
      <c r="J399" t="inlineStr">
        <is>
          <t>ТССЦ Московской обл., 101-0329, приказ Минстроя России №675/пр от 28.02.2017 № 254/пр</t>
        </is>
      </c>
      <c r="K399" t="inlineStr">
        <is>
          <t>Клей 88-СА</t>
        </is>
      </c>
      <c r="L399" t="n">
        <v>1346</v>
      </c>
      <c r="N399" t="n">
        <v>1009</v>
      </c>
      <c r="O399" t="inlineStr">
        <is>
          <t>кг</t>
        </is>
      </c>
      <c r="P399" t="inlineStr">
        <is>
          <t>кг</t>
        </is>
      </c>
      <c r="Q399" t="n">
        <v>1</v>
      </c>
      <c r="W399" t="n">
        <v>0</v>
      </c>
      <c r="X399" t="n">
        <v>342338703</v>
      </c>
      <c r="Y399">
        <f>AT399</f>
        <v/>
      </c>
      <c r="AA399" t="n">
        <v>477.06</v>
      </c>
      <c r="AB399" t="n">
        <v>0</v>
      </c>
      <c r="AC399" t="n">
        <v>0</v>
      </c>
      <c r="AD399" t="n">
        <v>0</v>
      </c>
      <c r="AE399" t="n">
        <v>28.93</v>
      </c>
      <c r="AF399" t="n">
        <v>0</v>
      </c>
      <c r="AG399" t="n">
        <v>0</v>
      </c>
      <c r="AH399" t="n">
        <v>0</v>
      </c>
      <c r="AI399" t="n">
        <v>16.49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0</v>
      </c>
      <c r="AQ399" t="n">
        <v>0</v>
      </c>
      <c r="AR399" t="n">
        <v>0</v>
      </c>
      <c r="AS399" t="inlineStr"/>
      <c r="AT399" t="n">
        <v>0.17</v>
      </c>
      <c r="AU399" t="inlineStr"/>
      <c r="AV399" t="n">
        <v>0</v>
      </c>
      <c r="AW399" t="n">
        <v>2</v>
      </c>
      <c r="AX399" t="n">
        <v>78871174</v>
      </c>
      <c r="AY399" t="n">
        <v>1</v>
      </c>
      <c r="AZ399" t="n">
        <v>0</v>
      </c>
      <c r="BA399" t="n">
        <v>365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ROUND(Y399*Source!I669,7)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ROW(Source!A669)</f>
        <v/>
      </c>
      <c r="B400" t="n">
        <v>78869116</v>
      </c>
      <c r="C400" t="n">
        <v>78871151</v>
      </c>
      <c r="D400" t="n">
        <v>29107972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101-1680</t>
        </is>
      </c>
      <c r="J400" t="inlineStr">
        <is>
          <t>ТССЦ Московской обл., 101-1680, приказ Минстроя России №675/пр от 28.02.2017 № 254/пр</t>
        </is>
      </c>
      <c r="K400" t="inlineStr">
        <is>
          <t>Патроны для строительно-монтажного пистолета</t>
        </is>
      </c>
      <c r="L400" t="n">
        <v>1356</v>
      </c>
      <c r="N400" t="n">
        <v>1010</v>
      </c>
      <c r="O400" t="inlineStr">
        <is>
          <t>1000 шт.</t>
        </is>
      </c>
      <c r="P400" t="inlineStr">
        <is>
          <t>1000 шт.</t>
        </is>
      </c>
      <c r="Q400" t="n">
        <v>1000</v>
      </c>
      <c r="W400" t="n">
        <v>0</v>
      </c>
      <c r="X400" t="n">
        <v>110535374</v>
      </c>
      <c r="Y400">
        <f>AT400</f>
        <v/>
      </c>
      <c r="AA400" t="n">
        <v>4642</v>
      </c>
      <c r="AB400" t="n">
        <v>0</v>
      </c>
      <c r="AC400" t="n">
        <v>0</v>
      </c>
      <c r="AD400" t="n">
        <v>0</v>
      </c>
      <c r="AE400" t="n">
        <v>253.8</v>
      </c>
      <c r="AF400" t="n">
        <v>0</v>
      </c>
      <c r="AG400" t="n">
        <v>0</v>
      </c>
      <c r="AH400" t="n">
        <v>0</v>
      </c>
      <c r="AI400" t="n">
        <v>18.29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0</v>
      </c>
      <c r="AQ400" t="n">
        <v>0</v>
      </c>
      <c r="AR400" t="n">
        <v>0</v>
      </c>
      <c r="AS400" t="inlineStr"/>
      <c r="AT400" t="n">
        <v>0.06</v>
      </c>
      <c r="AU400" t="inlineStr"/>
      <c r="AV400" t="n">
        <v>0</v>
      </c>
      <c r="AW400" t="n">
        <v>2</v>
      </c>
      <c r="AX400" t="n">
        <v>78871175</v>
      </c>
      <c r="AY400" t="n">
        <v>1</v>
      </c>
      <c r="AZ400" t="n">
        <v>0</v>
      </c>
      <c r="BA400" t="n">
        <v>366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ROUND(Y400*Source!I669,7)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ROW(Source!A669)</f>
        <v/>
      </c>
      <c r="B401" t="n">
        <v>78869116</v>
      </c>
      <c r="C401" t="n">
        <v>78871151</v>
      </c>
      <c r="D401" t="n">
        <v>29112620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101-1700</t>
        </is>
      </c>
      <c r="J401" t="inlineStr">
        <is>
          <t>ТССЦ Московской обл., 101-1700, приказ Минстроя России №675/пр от 28.02.2017 № 254/пр</t>
        </is>
      </c>
      <c r="K401" t="inlineStr">
        <is>
          <t>Наконечники для полиэтиленовых труб</t>
        </is>
      </c>
      <c r="L401" t="n">
        <v>1346</v>
      </c>
      <c r="N401" t="n">
        <v>1009</v>
      </c>
      <c r="O401" t="inlineStr">
        <is>
          <t>кг</t>
        </is>
      </c>
      <c r="P401" t="inlineStr">
        <is>
          <t>кг</t>
        </is>
      </c>
      <c r="Q401" t="n">
        <v>1</v>
      </c>
      <c r="W401" t="n">
        <v>0</v>
      </c>
      <c r="X401" t="n">
        <v>-2067002353</v>
      </c>
      <c r="Y401">
        <f>AT401</f>
        <v/>
      </c>
      <c r="AA401" t="n">
        <v>54.27</v>
      </c>
      <c r="AB401" t="n">
        <v>0</v>
      </c>
      <c r="AC401" t="n">
        <v>0</v>
      </c>
      <c r="AD401" t="n">
        <v>0</v>
      </c>
      <c r="AE401" t="n">
        <v>25.01</v>
      </c>
      <c r="AF401" t="n">
        <v>0</v>
      </c>
      <c r="AG401" t="n">
        <v>0</v>
      </c>
      <c r="AH401" t="n">
        <v>0</v>
      </c>
      <c r="AI401" t="n">
        <v>2.17</v>
      </c>
      <c r="AJ401" t="n">
        <v>1</v>
      </c>
      <c r="AK401" t="n">
        <v>1</v>
      </c>
      <c r="AL401" t="n">
        <v>1</v>
      </c>
      <c r="AM401" t="n">
        <v>2</v>
      </c>
      <c r="AN401" t="n">
        <v>0</v>
      </c>
      <c r="AO401" t="n">
        <v>1</v>
      </c>
      <c r="AP401" t="n">
        <v>0</v>
      </c>
      <c r="AQ401" t="n">
        <v>0</v>
      </c>
      <c r="AR401" t="n">
        <v>0</v>
      </c>
      <c r="AS401" t="inlineStr"/>
      <c r="AT401" t="n">
        <v>0.33</v>
      </c>
      <c r="AU401" t="inlineStr"/>
      <c r="AV401" t="n">
        <v>0</v>
      </c>
      <c r="AW401" t="n">
        <v>2</v>
      </c>
      <c r="AX401" t="n">
        <v>78871176</v>
      </c>
      <c r="AY401" t="n">
        <v>1</v>
      </c>
      <c r="AZ401" t="n">
        <v>0</v>
      </c>
      <c r="BA401" t="n">
        <v>367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V401" t="n">
        <v>0</v>
      </c>
      <c r="CW401" t="n">
        <v>0</v>
      </c>
      <c r="CX401">
        <f>ROUND(Y401*Source!I669,7)</f>
        <v/>
      </c>
      <c r="CY401">
        <f>AA401</f>
        <v/>
      </c>
      <c r="CZ401">
        <f>AE401</f>
        <v/>
      </c>
      <c r="DA401">
        <f>AI401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ROUND(ROUND(AE401*AI401,0)*CX401,0)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DF401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ROW(Source!A669)</f>
        <v/>
      </c>
      <c r="B402" t="n">
        <v>78869116</v>
      </c>
      <c r="C402" t="n">
        <v>78871151</v>
      </c>
      <c r="D402" t="n">
        <v>29122510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113-0473</t>
        </is>
      </c>
      <c r="J402" t="inlineStr">
        <is>
          <t>ТССЦ Московской обл., 113-0473, приказ Минстроя России №675/пр от 28.02.2017 № 254/пр</t>
        </is>
      </c>
      <c r="K402" t="inlineStr">
        <is>
          <t>Метиленхлорид</t>
        </is>
      </c>
      <c r="L402" t="n">
        <v>1346</v>
      </c>
      <c r="N402" t="n">
        <v>1009</v>
      </c>
      <c r="O402" t="inlineStr">
        <is>
          <t>кг</t>
        </is>
      </c>
      <c r="P402" t="inlineStr">
        <is>
          <t>кг</t>
        </is>
      </c>
      <c r="Q402" t="n">
        <v>1</v>
      </c>
      <c r="W402" t="n">
        <v>0</v>
      </c>
      <c r="X402" t="n">
        <v>-773887630</v>
      </c>
      <c r="Y402">
        <f>AT402</f>
        <v/>
      </c>
      <c r="AA402" t="n">
        <v>352.8</v>
      </c>
      <c r="AB402" t="n">
        <v>0</v>
      </c>
      <c r="AC402" t="n">
        <v>0</v>
      </c>
      <c r="AD402" t="n">
        <v>0</v>
      </c>
      <c r="AE402" t="n">
        <v>120</v>
      </c>
      <c r="AF402" t="n">
        <v>0</v>
      </c>
      <c r="AG402" t="n">
        <v>0</v>
      </c>
      <c r="AH402" t="n">
        <v>0</v>
      </c>
      <c r="AI402" t="n">
        <v>2.94</v>
      </c>
      <c r="AJ402" t="n">
        <v>1</v>
      </c>
      <c r="AK402" t="n">
        <v>1</v>
      </c>
      <c r="AL402" t="n">
        <v>1</v>
      </c>
      <c r="AM402" t="n">
        <v>2</v>
      </c>
      <c r="AN402" t="n">
        <v>0</v>
      </c>
      <c r="AO402" t="n">
        <v>1</v>
      </c>
      <c r="AP402" t="n">
        <v>0</v>
      </c>
      <c r="AQ402" t="n">
        <v>0</v>
      </c>
      <c r="AR402" t="n">
        <v>0</v>
      </c>
      <c r="AS402" t="inlineStr"/>
      <c r="AT402" t="n">
        <v>0.2</v>
      </c>
      <c r="AU402" t="inlineStr"/>
      <c r="AV402" t="n">
        <v>0</v>
      </c>
      <c r="AW402" t="n">
        <v>2</v>
      </c>
      <c r="AX402" t="n">
        <v>78871178</v>
      </c>
      <c r="AY402" t="n">
        <v>1</v>
      </c>
      <c r="AZ402" t="n">
        <v>0</v>
      </c>
      <c r="BA402" t="n">
        <v>369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ROUND(Y402*Source!I669,7)</f>
        <v/>
      </c>
      <c r="CY402">
        <f>AA402</f>
        <v/>
      </c>
      <c r="CZ402">
        <f>AE402</f>
        <v/>
      </c>
      <c r="DA402">
        <f>AI402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ROUND(ROUND(AE402*AI402,0)*CX402,0)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DF402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ROW(Source!A669)</f>
        <v/>
      </c>
      <c r="B403" t="n">
        <v>78869116</v>
      </c>
      <c r="C403" t="n">
        <v>78871151</v>
      </c>
      <c r="D403" t="n">
        <v>29143380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302-0064</t>
        </is>
      </c>
      <c r="J403" t="inlineStr">
        <is>
          <t>ТССЦ Московской обл., 302-0064, приказ Минстроя России №675/пр от 28.02.2017 № 256/пр</t>
        </is>
      </c>
      <c r="K403" t="inlineStr">
        <is>
          <t>Кран шаровый муфтовый Valtec для воды диаметром 25 мм, тип в/в</t>
        </is>
      </c>
      <c r="L403" t="n">
        <v>1354</v>
      </c>
      <c r="N403" t="n">
        <v>1010</v>
      </c>
      <c r="O403" t="inlineStr">
        <is>
          <t>шт.</t>
        </is>
      </c>
      <c r="P403" t="inlineStr">
        <is>
          <t>шт.</t>
        </is>
      </c>
      <c r="Q403" t="n">
        <v>1</v>
      </c>
      <c r="W403" t="n">
        <v>0</v>
      </c>
      <c r="X403" t="n">
        <v>1163367142</v>
      </c>
      <c r="Y403">
        <f>AT403</f>
        <v/>
      </c>
      <c r="AA403" t="n">
        <v>949.99</v>
      </c>
      <c r="AB403" t="n">
        <v>0</v>
      </c>
      <c r="AC403" t="n">
        <v>0</v>
      </c>
      <c r="AD403" t="n">
        <v>0</v>
      </c>
      <c r="AE403" t="n">
        <v>67.09</v>
      </c>
      <c r="AF403" t="n">
        <v>0</v>
      </c>
      <c r="AG403" t="n">
        <v>0</v>
      </c>
      <c r="AH403" t="n">
        <v>0</v>
      </c>
      <c r="AI403" t="n">
        <v>14.16</v>
      </c>
      <c r="AJ403" t="n">
        <v>1</v>
      </c>
      <c r="AK403" t="n">
        <v>1</v>
      </c>
      <c r="AL403" t="n">
        <v>1</v>
      </c>
      <c r="AM403" t="n">
        <v>0</v>
      </c>
      <c r="AN403" t="n">
        <v>0</v>
      </c>
      <c r="AO403" t="n">
        <v>0</v>
      </c>
      <c r="AP403" t="n">
        <v>1</v>
      </c>
      <c r="AQ403" t="n">
        <v>0</v>
      </c>
      <c r="AR403" t="n">
        <v>0</v>
      </c>
      <c r="AS403" t="inlineStr"/>
      <c r="AT403" t="n">
        <v>41.6666667</v>
      </c>
      <c r="AU403" t="inlineStr"/>
      <c r="AV403" t="n">
        <v>0</v>
      </c>
      <c r="AW403" t="n">
        <v>1</v>
      </c>
      <c r="AX403" t="n">
        <v>-1</v>
      </c>
      <c r="AY403" t="n">
        <v>0</v>
      </c>
      <c r="AZ403" t="n">
        <v>0</v>
      </c>
      <c r="BA403" t="inlineStr"/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 t="n">
        <v>0</v>
      </c>
      <c r="CX403">
        <f>ROUND(Y403*Source!I669,7)</f>
        <v/>
      </c>
      <c r="CY403">
        <f>AA403</f>
        <v/>
      </c>
      <c r="CZ403">
        <f>AE403</f>
        <v/>
      </c>
      <c r="DA403">
        <f>AI403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ROUND(ROUND(AE403*AI403,0)*CX403,0)</f>
        <v/>
      </c>
      <c r="DG403">
        <f>ROUND(ROUND(AF403,0)*CX403,0)</f>
        <v/>
      </c>
      <c r="DH403">
        <f>ROUND(ROUND(AG403,0)*CX403,0)</f>
        <v/>
      </c>
      <c r="DI403">
        <f>ROUND(ROUND(AH403,0)*CX403,0)</f>
        <v/>
      </c>
      <c r="DJ403">
        <f>DF403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ROW(Source!A669)</f>
        <v/>
      </c>
      <c r="B404" t="n">
        <v>78869116</v>
      </c>
      <c r="C404" t="n">
        <v>78871151</v>
      </c>
      <c r="D404" t="n">
        <v>29143381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302-0065</t>
        </is>
      </c>
      <c r="J404" t="inlineStr">
        <is>
          <t>ТССЦ Московской обл., 302-0065, приказ Минстроя России №675/пр от 28.02.2017 № 256/пр</t>
        </is>
      </c>
      <c r="K404" t="inlineStr">
        <is>
          <t>Кран шаровый муфтовый Valtec для воды диаметром 32 мм, тип в/в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W404" t="n">
        <v>0</v>
      </c>
      <c r="X404" t="n">
        <v>535473645</v>
      </c>
      <c r="Y404">
        <f>AT404</f>
        <v/>
      </c>
      <c r="AA404" t="n">
        <v>1520.76</v>
      </c>
      <c r="AB404" t="n">
        <v>0</v>
      </c>
      <c r="AC404" t="n">
        <v>0</v>
      </c>
      <c r="AD404" t="n">
        <v>0</v>
      </c>
      <c r="AE404" t="n">
        <v>106.72</v>
      </c>
      <c r="AF404" t="n">
        <v>0</v>
      </c>
      <c r="AG404" t="n">
        <v>0</v>
      </c>
      <c r="AH404" t="n">
        <v>0</v>
      </c>
      <c r="AI404" t="n">
        <v>14.25</v>
      </c>
      <c r="AJ404" t="n">
        <v>1</v>
      </c>
      <c r="AK404" t="n">
        <v>1</v>
      </c>
      <c r="AL404" t="n">
        <v>1</v>
      </c>
      <c r="AM404" t="n">
        <v>0</v>
      </c>
      <c r="AN404" t="n">
        <v>0</v>
      </c>
      <c r="AO404" t="n">
        <v>0</v>
      </c>
      <c r="AP404" t="n">
        <v>1</v>
      </c>
      <c r="AQ404" t="n">
        <v>0</v>
      </c>
      <c r="AR404" t="n">
        <v>0</v>
      </c>
      <c r="AS404" t="inlineStr"/>
      <c r="AT404" t="n">
        <v>8.3333333</v>
      </c>
      <c r="AU404" t="inlineStr"/>
      <c r="AV404" t="n">
        <v>0</v>
      </c>
      <c r="AW404" t="n">
        <v>1</v>
      </c>
      <c r="AX404" t="n">
        <v>-1</v>
      </c>
      <c r="AY404" t="n">
        <v>0</v>
      </c>
      <c r="AZ404" t="n">
        <v>0</v>
      </c>
      <c r="BA404" t="inlineStr"/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 t="n">
        <v>0</v>
      </c>
      <c r="CX404">
        <f>ROUND(Y404*Source!I669,7)</f>
        <v/>
      </c>
      <c r="CY404">
        <f>AA404</f>
        <v/>
      </c>
      <c r="CZ404">
        <f>AE404</f>
        <v/>
      </c>
      <c r="DA404">
        <f>AI404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ROUND(ROUND(AE404*AI404,0)*CX404,0)</f>
        <v/>
      </c>
      <c r="DG404">
        <f>ROUND(ROUND(AF404,0)*CX404,0)</f>
        <v/>
      </c>
      <c r="DH404">
        <f>ROUND(ROUND(AG404,0)*CX404,0)</f>
        <v/>
      </c>
      <c r="DI404">
        <f>ROUND(ROUND(AH404,0)*CX404,0)</f>
        <v/>
      </c>
      <c r="DJ404">
        <f>DF404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ROW(Source!A669)</f>
        <v/>
      </c>
      <c r="B405" t="n">
        <v>78869116</v>
      </c>
      <c r="C405" t="n">
        <v>78871151</v>
      </c>
      <c r="D405" t="n">
        <v>29149246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405-1601</t>
        </is>
      </c>
      <c r="J405" t="inlineStr">
        <is>
          <t>ТССЦ Московской обл., 405-1601, приказ Минстроя России №675/пр от 28.02.2017 № 257/пр</t>
        </is>
      </c>
      <c r="K405" t="inlineStr">
        <is>
          <t>Известь строительная негашеная хлорная, марки А</t>
        </is>
      </c>
      <c r="L405" t="n">
        <v>1346</v>
      </c>
      <c r="N405" t="n">
        <v>1009</v>
      </c>
      <c r="O405" t="inlineStr">
        <is>
          <t>кг</t>
        </is>
      </c>
      <c r="P405" t="inlineStr">
        <is>
          <t>кг</t>
        </is>
      </c>
      <c r="Q405" t="n">
        <v>1</v>
      </c>
      <c r="W405" t="n">
        <v>0</v>
      </c>
      <c r="X405" t="n">
        <v>-823040862</v>
      </c>
      <c r="Y405">
        <f>AT405</f>
        <v/>
      </c>
      <c r="AA405" t="n">
        <v>7.87</v>
      </c>
      <c r="AB405" t="n">
        <v>0</v>
      </c>
      <c r="AC405" t="n">
        <v>0</v>
      </c>
      <c r="AD405" t="n">
        <v>0</v>
      </c>
      <c r="AE405" t="n">
        <v>2.15</v>
      </c>
      <c r="AF405" t="n">
        <v>0</v>
      </c>
      <c r="AG405" t="n">
        <v>0</v>
      </c>
      <c r="AH405" t="n">
        <v>0</v>
      </c>
      <c r="AI405" t="n">
        <v>3.66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0</v>
      </c>
      <c r="AQ405" t="n">
        <v>0</v>
      </c>
      <c r="AR405" t="n">
        <v>0</v>
      </c>
      <c r="AS405" t="inlineStr"/>
      <c r="AT405" t="n">
        <v>0.004</v>
      </c>
      <c r="AU405" t="inlineStr"/>
      <c r="AV405" t="n">
        <v>0</v>
      </c>
      <c r="AW405" t="n">
        <v>2</v>
      </c>
      <c r="AX405" t="n">
        <v>78871181</v>
      </c>
      <c r="AY405" t="n">
        <v>1</v>
      </c>
      <c r="AZ405" t="n">
        <v>0</v>
      </c>
      <c r="BA405" t="n">
        <v>372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ROUND(Y405*Source!I669,7)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ROW(Source!A669)</f>
        <v/>
      </c>
      <c r="B406" t="n">
        <v>78869116</v>
      </c>
      <c r="C406" t="n">
        <v>78871151</v>
      </c>
      <c r="D406" t="n">
        <v>29150040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411-0001</t>
        </is>
      </c>
      <c r="J406" t="inlineStr">
        <is>
          <t>ТССЦ Московской обл., 411-0001, приказ Минстроя России №675/пр от 28.02.2017 № 257/пр</t>
        </is>
      </c>
      <c r="K406" t="inlineStr">
        <is>
          <t>Вода</t>
        </is>
      </c>
      <c r="L406" t="n">
        <v>1339</v>
      </c>
      <c r="N406" t="n">
        <v>1007</v>
      </c>
      <c r="O406" t="inlineStr">
        <is>
          <t>м3</t>
        </is>
      </c>
      <c r="P406" t="inlineStr">
        <is>
          <t>м3</t>
        </is>
      </c>
      <c r="Q406" t="n">
        <v>1</v>
      </c>
      <c r="W406" t="n">
        <v>0</v>
      </c>
      <c r="X406" t="n">
        <v>619799737</v>
      </c>
      <c r="Y406">
        <f>AT406</f>
        <v/>
      </c>
      <c r="AA406" t="n">
        <v>31.28</v>
      </c>
      <c r="AB406" t="n">
        <v>0</v>
      </c>
      <c r="AC406" t="n">
        <v>0</v>
      </c>
      <c r="AD406" t="n">
        <v>0</v>
      </c>
      <c r="AE406" t="n">
        <v>2.44</v>
      </c>
      <c r="AF406" t="n">
        <v>0</v>
      </c>
      <c r="AG406" t="n">
        <v>0</v>
      </c>
      <c r="AH406" t="n">
        <v>0</v>
      </c>
      <c r="AI406" t="n">
        <v>12.82</v>
      </c>
      <c r="AJ406" t="n">
        <v>1</v>
      </c>
      <c r="AK406" t="n">
        <v>1</v>
      </c>
      <c r="AL406" t="n">
        <v>1</v>
      </c>
      <c r="AM406" t="n">
        <v>2</v>
      </c>
      <c r="AN406" t="n">
        <v>0</v>
      </c>
      <c r="AO406" t="n">
        <v>1</v>
      </c>
      <c r="AP406" t="n">
        <v>0</v>
      </c>
      <c r="AQ406" t="n">
        <v>0</v>
      </c>
      <c r="AR406" t="n">
        <v>0</v>
      </c>
      <c r="AS406" t="inlineStr"/>
      <c r="AT406" t="n">
        <v>1.21</v>
      </c>
      <c r="AU406" t="inlineStr"/>
      <c r="AV406" t="n">
        <v>0</v>
      </c>
      <c r="AW406" t="n">
        <v>2</v>
      </c>
      <c r="AX406" t="n">
        <v>78871182</v>
      </c>
      <c r="AY406" t="n">
        <v>1</v>
      </c>
      <c r="AZ406" t="n">
        <v>0</v>
      </c>
      <c r="BA406" t="n">
        <v>373</v>
      </c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ROUND(Y406*Source!I669,7)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ROW(Source!A669)</f>
        <v/>
      </c>
      <c r="B407" t="n">
        <v>78869116</v>
      </c>
      <c r="C407" t="n">
        <v>78871151</v>
      </c>
      <c r="D407" t="n">
        <v>29158419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507-3642</t>
        </is>
      </c>
      <c r="J407" t="inlineStr">
        <is>
          <t>ТССЦ Московской обл., 507-3642, приказ Минстроя России №675/пр от 28.02.2017 № 258/пр</t>
        </is>
      </c>
      <c r="K407" t="inlineStr">
        <is>
          <t>Труба напорная из полиэтилена PE 100 питьевая ПЭ100 SDR11, размером 32х3,0 мм (ГОСТ 18599-2001, ГОСТ Р 52134-2003)</t>
        </is>
      </c>
      <c r="L407" t="n">
        <v>1301</v>
      </c>
      <c r="N407" t="n">
        <v>1003</v>
      </c>
      <c r="O407" t="inlineStr">
        <is>
          <t>м</t>
        </is>
      </c>
      <c r="P407" t="inlineStr">
        <is>
          <t>м</t>
        </is>
      </c>
      <c r="Q407" t="n">
        <v>1</v>
      </c>
      <c r="W407" t="n">
        <v>0</v>
      </c>
      <c r="X407" t="n">
        <v>-829717903</v>
      </c>
      <c r="Y407">
        <f>AT407</f>
        <v/>
      </c>
      <c r="AA407" t="n">
        <v>49.03</v>
      </c>
      <c r="AB407" t="n">
        <v>0</v>
      </c>
      <c r="AC407" t="n">
        <v>0</v>
      </c>
      <c r="AD407" t="n">
        <v>0</v>
      </c>
      <c r="AE407" t="n">
        <v>16.29</v>
      </c>
      <c r="AF407" t="n">
        <v>0</v>
      </c>
      <c r="AG407" t="n">
        <v>0</v>
      </c>
      <c r="AH407" t="n">
        <v>0</v>
      </c>
      <c r="AI407" t="n">
        <v>3.01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0</v>
      </c>
      <c r="AQ407" t="n">
        <v>0</v>
      </c>
      <c r="AR407" t="n">
        <v>0</v>
      </c>
      <c r="AS407" t="inlineStr"/>
      <c r="AT407" t="n">
        <v>93.8</v>
      </c>
      <c r="AU407" t="inlineStr"/>
      <c r="AV407" t="n">
        <v>0</v>
      </c>
      <c r="AW407" t="n">
        <v>2</v>
      </c>
      <c r="AX407" t="n">
        <v>78871183</v>
      </c>
      <c r="AY407" t="n">
        <v>1</v>
      </c>
      <c r="AZ407" t="n">
        <v>0</v>
      </c>
      <c r="BA407" t="n">
        <v>374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ROUND(Y407*Source!I669,7)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ROW(Source!A669)</f>
        <v/>
      </c>
      <c r="B408" t="n">
        <v>78869116</v>
      </c>
      <c r="C408" t="n">
        <v>78871151</v>
      </c>
      <c r="D408" t="n">
        <v>29159169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507-5009</t>
        </is>
      </c>
      <c r="J408" t="inlineStr">
        <is>
          <t>ТССЦ Московской обл., 507-5009, приказ Минстроя России №675/пр от 28.02.2017 № 258/пр</t>
        </is>
      </c>
      <c r="K408" t="inlineStr">
        <is>
          <t>Муфта полипропиленовая соединительная диаметром 32 мм</t>
        </is>
      </c>
      <c r="L408" t="n">
        <v>1358</v>
      </c>
      <c r="N408" t="n">
        <v>1010</v>
      </c>
      <c r="O408" t="inlineStr">
        <is>
          <t>10 шт.</t>
        </is>
      </c>
      <c r="P408" t="inlineStr">
        <is>
          <t>10 шт.</t>
        </is>
      </c>
      <c r="Q408" t="n">
        <v>10</v>
      </c>
      <c r="W408" t="n">
        <v>0</v>
      </c>
      <c r="X408" t="n">
        <v>-1186610544</v>
      </c>
      <c r="Y408">
        <f>AT408</f>
        <v/>
      </c>
      <c r="AA408" t="n">
        <v>133.92</v>
      </c>
      <c r="AB408" t="n">
        <v>0</v>
      </c>
      <c r="AC408" t="n">
        <v>0</v>
      </c>
      <c r="AD408" t="n">
        <v>0</v>
      </c>
      <c r="AE408" t="n">
        <v>13.5</v>
      </c>
      <c r="AF408" t="n">
        <v>0</v>
      </c>
      <c r="AG408" t="n">
        <v>0</v>
      </c>
      <c r="AH408" t="n">
        <v>0</v>
      </c>
      <c r="AI408" t="n">
        <v>9.92</v>
      </c>
      <c r="AJ408" t="n">
        <v>1</v>
      </c>
      <c r="AK408" t="n">
        <v>1</v>
      </c>
      <c r="AL408" t="n">
        <v>1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inlineStr"/>
      <c r="AT408" t="n">
        <v>0.8333333000000001</v>
      </c>
      <c r="AU408" t="inlineStr"/>
      <c r="AV408" t="n">
        <v>0</v>
      </c>
      <c r="AW408" t="n">
        <v>1</v>
      </c>
      <c r="AX408" t="n">
        <v>-1</v>
      </c>
      <c r="AY408" t="n">
        <v>0</v>
      </c>
      <c r="AZ408" t="n">
        <v>0</v>
      </c>
      <c r="BA408" t="inlineStr"/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ROUND(Y408*Source!I669,7)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ROW(Source!A669)</f>
        <v/>
      </c>
      <c r="B409" t="n">
        <v>78869116</v>
      </c>
      <c r="C409" t="n">
        <v>78871151</v>
      </c>
      <c r="D409" t="n">
        <v>29159184</v>
      </c>
      <c r="E409" t="n">
        <v>1</v>
      </c>
      <c r="F409" t="n">
        <v>1</v>
      </c>
      <c r="G409" t="n">
        <v>1</v>
      </c>
      <c r="H409" t="n">
        <v>3</v>
      </c>
      <c r="I409" t="inlineStr">
        <is>
          <t>507-5024</t>
        </is>
      </c>
      <c r="J409" t="inlineStr">
        <is>
          <t>ТССЦ Московской обл., 507-5024, приказ Минстроя России №675/пр от 28.02.2017 № 258/пр</t>
        </is>
      </c>
      <c r="K409" t="inlineStr">
        <is>
          <t>Муфта полипропиленовая комбинированная, с внутренней резьбой диаметром 32х1"</t>
        </is>
      </c>
      <c r="L409" t="n">
        <v>1358</v>
      </c>
      <c r="N409" t="n">
        <v>1010</v>
      </c>
      <c r="O409" t="inlineStr">
        <is>
          <t>10 шт.</t>
        </is>
      </c>
      <c r="P409" t="inlineStr">
        <is>
          <t>10 шт.</t>
        </is>
      </c>
      <c r="Q409" t="n">
        <v>10</v>
      </c>
      <c r="W409" t="n">
        <v>0</v>
      </c>
      <c r="X409" t="n">
        <v>-317381250</v>
      </c>
      <c r="Y409">
        <f>AT409</f>
        <v/>
      </c>
      <c r="AA409" t="n">
        <v>880.5</v>
      </c>
      <c r="AB409" t="n">
        <v>0</v>
      </c>
      <c r="AC409" t="n">
        <v>0</v>
      </c>
      <c r="AD409" t="n">
        <v>0</v>
      </c>
      <c r="AE409" t="n">
        <v>178.6</v>
      </c>
      <c r="AF409" t="n">
        <v>0</v>
      </c>
      <c r="AG409" t="n">
        <v>0</v>
      </c>
      <c r="AH409" t="n">
        <v>0</v>
      </c>
      <c r="AI409" t="n">
        <v>4.93</v>
      </c>
      <c r="AJ409" t="n">
        <v>1</v>
      </c>
      <c r="AK409" t="n">
        <v>1</v>
      </c>
      <c r="AL409" t="n">
        <v>1</v>
      </c>
      <c r="AM409" t="n">
        <v>0</v>
      </c>
      <c r="AN409" t="n">
        <v>0</v>
      </c>
      <c r="AO409" t="n">
        <v>0</v>
      </c>
      <c r="AP409" t="n">
        <v>1</v>
      </c>
      <c r="AQ409" t="n">
        <v>0</v>
      </c>
      <c r="AR409" t="n">
        <v>0</v>
      </c>
      <c r="AS409" t="inlineStr"/>
      <c r="AT409" t="n">
        <v>1.6666667</v>
      </c>
      <c r="AU409" t="inlineStr"/>
      <c r="AV409" t="n">
        <v>0</v>
      </c>
      <c r="AW409" t="n">
        <v>1</v>
      </c>
      <c r="AX409" t="n">
        <v>-1</v>
      </c>
      <c r="AY409" t="n">
        <v>0</v>
      </c>
      <c r="AZ409" t="n">
        <v>0</v>
      </c>
      <c r="BA409" t="inlineStr"/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V409" t="n">
        <v>0</v>
      </c>
      <c r="CW409" t="n">
        <v>0</v>
      </c>
      <c r="CX409">
        <f>ROUND(Y409*Source!I669,7)</f>
        <v/>
      </c>
      <c r="CY409">
        <f>AA409</f>
        <v/>
      </c>
      <c r="CZ409">
        <f>AE409</f>
        <v/>
      </c>
      <c r="DA409">
        <f>AI409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ROUND(ROUND(AE409*AI409,0)*CX409,0)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DF409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ROW(Source!A712)</f>
        <v/>
      </c>
      <c r="B410" t="n">
        <v>78869116</v>
      </c>
      <c r="C410" t="n">
        <v>78871254</v>
      </c>
      <c r="D410" t="n">
        <v>18408291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1-1025-90</t>
        </is>
      </c>
      <c r="J410" t="inlineStr"/>
      <c r="K410" t="inlineStr">
        <is>
          <t>Рабочий строитель среднего разряда 2,5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1933892413</v>
      </c>
      <c r="Y410">
        <f>AT410</f>
        <v/>
      </c>
      <c r="AA410" t="n">
        <v>0</v>
      </c>
      <c r="AB410" t="n">
        <v>0</v>
      </c>
      <c r="AC410" t="n">
        <v>0</v>
      </c>
      <c r="AD410" t="n">
        <v>8.17</v>
      </c>
      <c r="AE410" t="n">
        <v>0</v>
      </c>
      <c r="AF410" t="n">
        <v>0</v>
      </c>
      <c r="AG410" t="n">
        <v>0</v>
      </c>
      <c r="AH410" t="n">
        <v>8.17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32.2</v>
      </c>
      <c r="AU410" t="inlineStr"/>
      <c r="AV410" t="n">
        <v>1</v>
      </c>
      <c r="AW410" t="n">
        <v>2</v>
      </c>
      <c r="AX410" t="n">
        <v>78871260</v>
      </c>
      <c r="AY410" t="n">
        <v>1</v>
      </c>
      <c r="AZ410" t="n">
        <v>0</v>
      </c>
      <c r="BA410" t="n">
        <v>375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ROUND(AT410*Source!I712*AH410*AL410,0)</f>
        <v/>
      </c>
      <c r="CV410">
        <f>ROUND(Y410*Source!I712,7)</f>
        <v/>
      </c>
      <c r="CW410" t="n">
        <v>0</v>
      </c>
      <c r="CX410">
        <f>ROUND(Y410*Source!I712,7)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ROW(Source!A712)</f>
        <v/>
      </c>
      <c r="B411" t="n">
        <v>78869116</v>
      </c>
      <c r="C411" t="n">
        <v>78871254</v>
      </c>
      <c r="D411" t="n">
        <v>29174913</v>
      </c>
      <c r="E411" t="n">
        <v>1</v>
      </c>
      <c r="F411" t="n">
        <v>1</v>
      </c>
      <c r="G411" t="n">
        <v>1</v>
      </c>
      <c r="H411" t="n">
        <v>2</v>
      </c>
      <c r="I411" t="inlineStr">
        <is>
          <t>400001</t>
        </is>
      </c>
      <c r="J411" t="inlineStr">
        <is>
          <t>ТСЭМ Московской обл., 400001, приказ Минстроя России №675/пр от 28.02.2017 № 264/пр</t>
        </is>
      </c>
      <c r="K411" t="inlineStr">
        <is>
          <t>Автомобили бортовые, грузоподъемность до 5 т</t>
        </is>
      </c>
      <c r="L411" t="n">
        <v>1368</v>
      </c>
      <c r="N411" t="n">
        <v>1011</v>
      </c>
      <c r="O411" t="inlineStr">
        <is>
          <t>маш.-ч</t>
        </is>
      </c>
      <c r="P411" t="inlineStr">
        <is>
          <t>маш.-ч</t>
        </is>
      </c>
      <c r="Q411" t="n">
        <v>1</v>
      </c>
      <c r="W411" t="n">
        <v>0</v>
      </c>
      <c r="X411" t="n">
        <v>1230759911</v>
      </c>
      <c r="Y411">
        <f>AT411</f>
        <v/>
      </c>
      <c r="AA411" t="n">
        <v>0</v>
      </c>
      <c r="AB411" t="n">
        <v>2177.51</v>
      </c>
      <c r="AC411" t="n">
        <v>606.1</v>
      </c>
      <c r="AD411" t="n">
        <v>0</v>
      </c>
      <c r="AE411" t="n">
        <v>0</v>
      </c>
      <c r="AF411" t="n">
        <v>87.17</v>
      </c>
      <c r="AG411" t="n">
        <v>11.6</v>
      </c>
      <c r="AH411" t="n">
        <v>0</v>
      </c>
      <c r="AI411" t="n">
        <v>1</v>
      </c>
      <c r="AJ411" t="n">
        <v>24.98</v>
      </c>
      <c r="AK411" t="n">
        <v>52.25</v>
      </c>
      <c r="AL411" t="n">
        <v>1</v>
      </c>
      <c r="AM411" t="n">
        <v>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0.01</v>
      </c>
      <c r="AU411" t="inlineStr"/>
      <c r="AV411" t="n">
        <v>0</v>
      </c>
      <c r="AW411" t="n">
        <v>2</v>
      </c>
      <c r="AX411" t="n">
        <v>78871261</v>
      </c>
      <c r="AY411" t="n">
        <v>1</v>
      </c>
      <c r="AZ411" t="n">
        <v>0</v>
      </c>
      <c r="BA411" t="n">
        <v>376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>
        <f>ROUND(Y411*Source!I712*DO411,7)</f>
        <v/>
      </c>
      <c r="CX411">
        <f>ROUND(Y411*Source!I712,7)</f>
        <v/>
      </c>
      <c r="CY411">
        <f>AB411</f>
        <v/>
      </c>
      <c r="CZ411">
        <f>AF411</f>
        <v/>
      </c>
      <c r="DA411">
        <f>AJ411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ROUND(ROUND(AF411*AJ411,0)*CX411,0)</f>
        <v/>
      </c>
      <c r="DH411">
        <f>ROUND(ROUND(AG411*AK411,0)*CX411,0)</f>
        <v/>
      </c>
      <c r="DI411">
        <f>ROUND(ROUND(AH411,0)*CX411,0)</f>
        <v/>
      </c>
      <c r="DJ411">
        <f>DG411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ROW(Source!A712)</f>
        <v/>
      </c>
      <c r="B412" t="n">
        <v>78869116</v>
      </c>
      <c r="C412" t="n">
        <v>78871254</v>
      </c>
      <c r="D412" t="n">
        <v>29110139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101-1703</t>
        </is>
      </c>
      <c r="J412" t="inlineStr">
        <is>
          <t>ТССЦ Московской обл., 101-1703, приказ Минстроя России №675/пр от 28.02.2017 № 254/пр</t>
        </is>
      </c>
      <c r="K412" t="inlineStr">
        <is>
          <t>Прокладки резиновые (пластина техническая прессованная)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W412" t="n">
        <v>0</v>
      </c>
      <c r="X412" t="n">
        <v>-1947909329</v>
      </c>
      <c r="Y412">
        <f>AT412</f>
        <v/>
      </c>
      <c r="AA412" t="n">
        <v>341.04</v>
      </c>
      <c r="AB412" t="n">
        <v>0</v>
      </c>
      <c r="AC412" t="n">
        <v>0</v>
      </c>
      <c r="AD412" t="n">
        <v>0</v>
      </c>
      <c r="AE412" t="n">
        <v>23.09</v>
      </c>
      <c r="AF412" t="n">
        <v>0</v>
      </c>
      <c r="AG412" t="n">
        <v>0</v>
      </c>
      <c r="AH412" t="n">
        <v>0</v>
      </c>
      <c r="AI412" t="n">
        <v>14.77</v>
      </c>
      <c r="AJ412" t="n">
        <v>1</v>
      </c>
      <c r="AK412" t="n">
        <v>1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2</v>
      </c>
      <c r="AU412" t="inlineStr"/>
      <c r="AV412" t="n">
        <v>0</v>
      </c>
      <c r="AW412" t="n">
        <v>2</v>
      </c>
      <c r="AX412" t="n">
        <v>78871262</v>
      </c>
      <c r="AY412" t="n">
        <v>1</v>
      </c>
      <c r="AZ412" t="n">
        <v>0</v>
      </c>
      <c r="BA412" t="n">
        <v>377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 t="n">
        <v>0</v>
      </c>
      <c r="CX412">
        <f>ROUND(Y412*Source!I712,7)</f>
        <v/>
      </c>
      <c r="CY412">
        <f>AA412</f>
        <v/>
      </c>
      <c r="CZ412">
        <f>AE412</f>
        <v/>
      </c>
      <c r="DA412">
        <f>AI412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ROUND(ROUND(AE412*AI412,0)*CX412,0)</f>
        <v/>
      </c>
      <c r="DG412">
        <f>ROUND(ROUND(AF412,0)*CX412,0)</f>
        <v/>
      </c>
      <c r="DH412">
        <f>ROUND(ROUND(AG412,0)*CX412,0)</f>
        <v/>
      </c>
      <c r="DI412">
        <f>ROUND(ROUND(AH412,0)*CX412,0)</f>
        <v/>
      </c>
      <c r="DJ412">
        <f>DF412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ROW(Source!A712)</f>
        <v/>
      </c>
      <c r="B413" t="n">
        <v>78869116</v>
      </c>
      <c r="C413" t="n">
        <v>78871254</v>
      </c>
      <c r="D413" t="n">
        <v>29114240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101-2576</t>
        </is>
      </c>
      <c r="J413" t="inlineStr">
        <is>
          <t>ТССЦ Московской обл., 101-2576, приказ Минстроя России №675/пр от 28.02.2017 № 254/пр</t>
        </is>
      </c>
      <c r="K413" t="inlineStr">
        <is>
          <t>Болты с гайками и шайбами для санитарно-технических работ диаметром 16 мм</t>
        </is>
      </c>
      <c r="L413" t="n">
        <v>1348</v>
      </c>
      <c r="N413" t="n">
        <v>1009</v>
      </c>
      <c r="O413" t="inlineStr">
        <is>
          <t>т</t>
        </is>
      </c>
      <c r="P413" t="inlineStr">
        <is>
          <t>т</t>
        </is>
      </c>
      <c r="Q413" t="n">
        <v>1000</v>
      </c>
      <c r="W413" t="n">
        <v>0</v>
      </c>
      <c r="X413" t="n">
        <v>-1701539228</v>
      </c>
      <c r="Y413">
        <f>AT413</f>
        <v/>
      </c>
      <c r="AA413" t="n">
        <v>145037.4</v>
      </c>
      <c r="AB413" t="n">
        <v>0</v>
      </c>
      <c r="AC413" t="n">
        <v>0</v>
      </c>
      <c r="AD413" t="n">
        <v>0</v>
      </c>
      <c r="AE413" t="n">
        <v>14830</v>
      </c>
      <c r="AF413" t="n">
        <v>0</v>
      </c>
      <c r="AG413" t="n">
        <v>0</v>
      </c>
      <c r="AH413" t="n">
        <v>0</v>
      </c>
      <c r="AI413" t="n">
        <v>9.779999999999999</v>
      </c>
      <c r="AJ413" t="n">
        <v>1</v>
      </c>
      <c r="AK413" t="n">
        <v>1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0.005</v>
      </c>
      <c r="AU413" t="inlineStr"/>
      <c r="AV413" t="n">
        <v>0</v>
      </c>
      <c r="AW413" t="n">
        <v>2</v>
      </c>
      <c r="AX413" t="n">
        <v>78871263</v>
      </c>
      <c r="AY413" t="n">
        <v>1</v>
      </c>
      <c r="AZ413" t="n">
        <v>0</v>
      </c>
      <c r="BA413" t="n">
        <v>378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 t="n">
        <v>0</v>
      </c>
      <c r="CX413">
        <f>ROUND(Y413*Source!I712,7)</f>
        <v/>
      </c>
      <c r="CY413">
        <f>AA413</f>
        <v/>
      </c>
      <c r="CZ413">
        <f>AE413</f>
        <v/>
      </c>
      <c r="DA413">
        <f>AI413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ROUND(ROUND(AE413*AI413,0)*CX413,0)</f>
        <v/>
      </c>
      <c r="DG413">
        <f>ROUND(ROUND(AF413,0)*CX413,0)</f>
        <v/>
      </c>
      <c r="DH413">
        <f>ROUND(ROUND(AG413,0)*CX413,0)</f>
        <v/>
      </c>
      <c r="DI413">
        <f>ROUND(ROUND(AH413,0)*CX413,0)</f>
        <v/>
      </c>
      <c r="DJ413">
        <f>DF413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ROW(Source!A712)</f>
        <v/>
      </c>
      <c r="B414" t="n">
        <v>78869116</v>
      </c>
      <c r="C414" t="n">
        <v>78871254</v>
      </c>
      <c r="D414" t="n">
        <v>29150040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411-0001</t>
        </is>
      </c>
      <c r="J414" t="inlineStr">
        <is>
          <t>ТССЦ Московской обл., 411-0001, приказ Минстроя России №675/пр от 28.02.2017 № 257/пр</t>
        </is>
      </c>
      <c r="K414" t="inlineStr">
        <is>
          <t>Вода</t>
        </is>
      </c>
      <c r="L414" t="n">
        <v>1339</v>
      </c>
      <c r="N414" t="n">
        <v>1007</v>
      </c>
      <c r="O414" t="inlineStr">
        <is>
          <t>м3</t>
        </is>
      </c>
      <c r="P414" t="inlineStr">
        <is>
          <t>м3</t>
        </is>
      </c>
      <c r="Q414" t="n">
        <v>1</v>
      </c>
      <c r="W414" t="n">
        <v>0</v>
      </c>
      <c r="X414" t="n">
        <v>619799737</v>
      </c>
      <c r="Y414">
        <f>AT414</f>
        <v/>
      </c>
      <c r="AA414" t="n">
        <v>31.28</v>
      </c>
      <c r="AB414" t="n">
        <v>0</v>
      </c>
      <c r="AC414" t="n">
        <v>0</v>
      </c>
      <c r="AD414" t="n">
        <v>0</v>
      </c>
      <c r="AE414" t="n">
        <v>2.44</v>
      </c>
      <c r="AF414" t="n">
        <v>0</v>
      </c>
      <c r="AG414" t="n">
        <v>0</v>
      </c>
      <c r="AH414" t="n">
        <v>0</v>
      </c>
      <c r="AI414" t="n">
        <v>12.82</v>
      </c>
      <c r="AJ414" t="n">
        <v>1</v>
      </c>
      <c r="AK414" t="n">
        <v>1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7.8</v>
      </c>
      <c r="AU414" t="inlineStr"/>
      <c r="AV414" t="n">
        <v>0</v>
      </c>
      <c r="AW414" t="n">
        <v>2</v>
      </c>
      <c r="AX414" t="n">
        <v>78871264</v>
      </c>
      <c r="AY414" t="n">
        <v>1</v>
      </c>
      <c r="AZ414" t="n">
        <v>0</v>
      </c>
      <c r="BA414" t="n">
        <v>379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 t="n">
        <v>0</v>
      </c>
      <c r="CX414">
        <f>ROUND(Y414*Source!I712,7)</f>
        <v/>
      </c>
      <c r="CY414">
        <f>AA414</f>
        <v/>
      </c>
      <c r="CZ414">
        <f>AE414</f>
        <v/>
      </c>
      <c r="DA414">
        <f>AI414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ROUND(ROUND(AE414*AI414,0)*CX414,0)</f>
        <v/>
      </c>
      <c r="DG414">
        <f>ROUND(ROUND(AF414,0)*CX414,0)</f>
        <v/>
      </c>
      <c r="DH414">
        <f>ROUND(ROUND(AG414,0)*CX414,0)</f>
        <v/>
      </c>
      <c r="DI414">
        <f>ROUND(ROUND(AH414,0)*CX414,0)</f>
        <v/>
      </c>
      <c r="DJ414">
        <f>DF414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ROW(Source!A713)</f>
        <v/>
      </c>
      <c r="B415" t="n">
        <v>78869116</v>
      </c>
      <c r="C415" t="n">
        <v>78871265</v>
      </c>
      <c r="D415" t="n">
        <v>18407150</v>
      </c>
      <c r="E415" t="n">
        <v>1</v>
      </c>
      <c r="F415" t="n">
        <v>1</v>
      </c>
      <c r="G415" t="n">
        <v>1</v>
      </c>
      <c r="H415" t="n">
        <v>1</v>
      </c>
      <c r="I415" t="inlineStr">
        <is>
          <t>1-1030-90</t>
        </is>
      </c>
      <c r="J415" t="inlineStr"/>
      <c r="K415" t="inlineStr">
        <is>
          <t>Рабочий строитель среднего разряда 3</t>
        </is>
      </c>
      <c r="L415" t="n">
        <v>1369</v>
      </c>
      <c r="N415" t="n">
        <v>1013</v>
      </c>
      <c r="O415" t="inlineStr">
        <is>
          <t>чел.-ч</t>
        </is>
      </c>
      <c r="P415" t="inlineStr">
        <is>
          <t>чел.-ч</t>
        </is>
      </c>
      <c r="Q415" t="n">
        <v>1</v>
      </c>
      <c r="W415" t="n">
        <v>0</v>
      </c>
      <c r="X415" t="n">
        <v>-931037793</v>
      </c>
      <c r="Y415">
        <f>AT415</f>
        <v/>
      </c>
      <c r="AA415" t="n">
        <v>0</v>
      </c>
      <c r="AB415" t="n">
        <v>0</v>
      </c>
      <c r="AC415" t="n">
        <v>0</v>
      </c>
      <c r="AD415" t="n">
        <v>8.529999999999999</v>
      </c>
      <c r="AE415" t="n">
        <v>0</v>
      </c>
      <c r="AF415" t="n">
        <v>0</v>
      </c>
      <c r="AG415" t="n">
        <v>0</v>
      </c>
      <c r="AH415" t="n">
        <v>8.529999999999999</v>
      </c>
      <c r="AI415" t="n">
        <v>1</v>
      </c>
      <c r="AJ415" t="n">
        <v>1</v>
      </c>
      <c r="AK415" t="n">
        <v>1</v>
      </c>
      <c r="AL415" t="n">
        <v>1</v>
      </c>
      <c r="AM415" t="n">
        <v>-2</v>
      </c>
      <c r="AN415" t="n">
        <v>0</v>
      </c>
      <c r="AO415" t="n">
        <v>1</v>
      </c>
      <c r="AP415" t="n">
        <v>0</v>
      </c>
      <c r="AQ415" t="n">
        <v>0</v>
      </c>
      <c r="AR415" t="n">
        <v>0</v>
      </c>
      <c r="AS415" t="inlineStr"/>
      <c r="AT415" t="n">
        <v>13.9</v>
      </c>
      <c r="AU415" t="inlineStr"/>
      <c r="AV415" t="n">
        <v>1</v>
      </c>
      <c r="AW415" t="n">
        <v>2</v>
      </c>
      <c r="AX415" t="n">
        <v>78871269</v>
      </c>
      <c r="AY415" t="n">
        <v>1</v>
      </c>
      <c r="AZ415" t="n">
        <v>0</v>
      </c>
      <c r="BA415" t="n">
        <v>380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U415">
        <f>ROUND(AT415*Source!I713*AH415*AL415,0)</f>
        <v/>
      </c>
      <c r="CV415">
        <f>ROUND(Y415*Source!I713,7)</f>
        <v/>
      </c>
      <c r="CW415" t="n">
        <v>0</v>
      </c>
      <c r="CX415">
        <f>ROUND(Y415*Source!I713,7)</f>
        <v/>
      </c>
      <c r="CY415">
        <f>AD415</f>
        <v/>
      </c>
      <c r="CZ415">
        <f>AH415</f>
        <v/>
      </c>
      <c r="DA415">
        <f>AL415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ROUND(ROUND(AF415,0)*CX415,0)</f>
        <v/>
      </c>
      <c r="DH415">
        <f>ROUND(ROUND(AG415,0)*CX415,0)</f>
        <v/>
      </c>
      <c r="DI415">
        <f>ROUND(ROUND(AH415,0)*CX415,0)</f>
        <v/>
      </c>
      <c r="DJ415">
        <f>DI415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ROW(Source!A713)</f>
        <v/>
      </c>
      <c r="B416" t="n">
        <v>78869116</v>
      </c>
      <c r="C416" t="n">
        <v>78871265</v>
      </c>
      <c r="D416" t="n">
        <v>29169821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509-0696</t>
        </is>
      </c>
      <c r="J416" t="inlineStr">
        <is>
          <t>ТССЦ Московской обл., 509-0696, приказ Минстроя России №675/пр от 28.02.2017 № 258/пр</t>
        </is>
      </c>
      <c r="K416" t="inlineStr">
        <is>
          <t>Лампы люминесцентные ртутные низкого давления типа ЛБ, ЛД, ЛДЦ, ЛТВ, ЛБХ 20</t>
        </is>
      </c>
      <c r="L416" t="n">
        <v>1358</v>
      </c>
      <c r="N416" t="n">
        <v>1010</v>
      </c>
      <c r="O416" t="inlineStr">
        <is>
          <t>10 шт.</t>
        </is>
      </c>
      <c r="P416" t="inlineStr">
        <is>
          <t>10 шт.</t>
        </is>
      </c>
      <c r="Q416" t="n">
        <v>10</v>
      </c>
      <c r="W416" t="n">
        <v>0</v>
      </c>
      <c r="X416" t="n">
        <v>-1187244712</v>
      </c>
      <c r="Y416">
        <f>AT416</f>
        <v/>
      </c>
      <c r="AA416" t="n">
        <v>352.73</v>
      </c>
      <c r="AB416" t="n">
        <v>0</v>
      </c>
      <c r="AC416" t="n">
        <v>0</v>
      </c>
      <c r="AD416" t="n">
        <v>0</v>
      </c>
      <c r="AE416" t="n">
        <v>85.2</v>
      </c>
      <c r="AF416" t="n">
        <v>0</v>
      </c>
      <c r="AG416" t="n">
        <v>0</v>
      </c>
      <c r="AH416" t="n">
        <v>0</v>
      </c>
      <c r="AI416" t="n">
        <v>4.14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0</v>
      </c>
      <c r="AQ416" t="n">
        <v>0</v>
      </c>
      <c r="AR416" t="n">
        <v>0</v>
      </c>
      <c r="AS416" t="inlineStr"/>
      <c r="AT416" t="n">
        <v>10</v>
      </c>
      <c r="AU416" t="inlineStr"/>
      <c r="AV416" t="n">
        <v>0</v>
      </c>
      <c r="AW416" t="n">
        <v>2</v>
      </c>
      <c r="AX416" t="n">
        <v>78871270</v>
      </c>
      <c r="AY416" t="n">
        <v>1</v>
      </c>
      <c r="AZ416" t="n">
        <v>0</v>
      </c>
      <c r="BA416" t="n">
        <v>381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ROUND(Y416*Source!I713,7)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ROW(Source!A713)</f>
        <v/>
      </c>
      <c r="B417" t="n">
        <v>78869116</v>
      </c>
      <c r="C417" t="n">
        <v>78871265</v>
      </c>
      <c r="D417" t="n">
        <v>29169828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509-6744</t>
        </is>
      </c>
      <c r="J417" t="inlineStr">
        <is>
          <t>ТССЦ Московской обл., 509-6744, приказ Минстроя России №675/пр от 28.02.2017 № 258/пр</t>
        </is>
      </c>
      <c r="K417" t="inlineStr">
        <is>
          <t>Лампы люминесцентные компактные энергосберегающие с цоколем Е27 мощностью 55 Вт</t>
        </is>
      </c>
      <c r="L417" t="n">
        <v>1354</v>
      </c>
      <c r="N417" t="n">
        <v>1010</v>
      </c>
      <c r="O417" t="inlineStr">
        <is>
          <t>шт.</t>
        </is>
      </c>
      <c r="P417" t="inlineStr">
        <is>
          <t>шт.</t>
        </is>
      </c>
      <c r="Q417" t="n">
        <v>1</v>
      </c>
      <c r="W417" t="n">
        <v>0</v>
      </c>
      <c r="X417" t="n">
        <v>-228955380</v>
      </c>
      <c r="Y417">
        <f>AT417</f>
        <v/>
      </c>
      <c r="AA417" t="n">
        <v>237.77</v>
      </c>
      <c r="AB417" t="n">
        <v>0</v>
      </c>
      <c r="AC417" t="n">
        <v>0</v>
      </c>
      <c r="AD417" t="n">
        <v>0</v>
      </c>
      <c r="AE417" t="n">
        <v>140.69</v>
      </c>
      <c r="AF417" t="n">
        <v>0</v>
      </c>
      <c r="AG417" t="n">
        <v>0</v>
      </c>
      <c r="AH417" t="n">
        <v>0</v>
      </c>
      <c r="AI417" t="n">
        <v>1.69</v>
      </c>
      <c r="AJ417" t="n">
        <v>1</v>
      </c>
      <c r="AK417" t="n">
        <v>1</v>
      </c>
      <c r="AL417" t="n">
        <v>1</v>
      </c>
      <c r="AM417" t="n">
        <v>0</v>
      </c>
      <c r="AN417" t="n">
        <v>0</v>
      </c>
      <c r="AO417" t="n">
        <v>0</v>
      </c>
      <c r="AP417" t="n">
        <v>1</v>
      </c>
      <c r="AQ417" t="n">
        <v>0</v>
      </c>
      <c r="AR417" t="n">
        <v>0</v>
      </c>
      <c r="AS417" t="inlineStr"/>
      <c r="AT417" t="n">
        <v>100</v>
      </c>
      <c r="AU417" t="inlineStr"/>
      <c r="AV417" t="n">
        <v>0</v>
      </c>
      <c r="AW417" t="n">
        <v>1</v>
      </c>
      <c r="AX417" t="n">
        <v>-1</v>
      </c>
      <c r="AY417" t="n">
        <v>0</v>
      </c>
      <c r="AZ417" t="n">
        <v>0</v>
      </c>
      <c r="BA417" t="inlineStr"/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ROUND(Y417*Source!I713,7)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ROW(Source!A715)</f>
        <v/>
      </c>
      <c r="B418" t="n">
        <v>78869116</v>
      </c>
      <c r="C418" t="n">
        <v>78871272</v>
      </c>
      <c r="D418" t="n">
        <v>18442827</v>
      </c>
      <c r="E418" t="n">
        <v>1</v>
      </c>
      <c r="F418" t="n">
        <v>1</v>
      </c>
      <c r="G418" t="n">
        <v>1</v>
      </c>
      <c r="H418" t="n">
        <v>1</v>
      </c>
      <c r="I418" t="inlineStr">
        <is>
          <t>1-1053-90</t>
        </is>
      </c>
      <c r="J418" t="inlineStr"/>
      <c r="K418" t="inlineStr">
        <is>
          <t>Рабочий строитель среднего разряда 5,3</t>
        </is>
      </c>
      <c r="L418" t="n">
        <v>1369</v>
      </c>
      <c r="N418" t="n">
        <v>1013</v>
      </c>
      <c r="O418" t="inlineStr">
        <is>
          <t>чел.-ч</t>
        </is>
      </c>
      <c r="P418" t="inlineStr">
        <is>
          <t>чел.-ч</t>
        </is>
      </c>
      <c r="Q418" t="n">
        <v>1</v>
      </c>
      <c r="W418" t="n">
        <v>0</v>
      </c>
      <c r="X418" t="n">
        <v>717490484</v>
      </c>
      <c r="Y418">
        <f>(AT418*ROUND(4,7))</f>
        <v/>
      </c>
      <c r="AA418" t="n">
        <v>0</v>
      </c>
      <c r="AB418" t="n">
        <v>0</v>
      </c>
      <c r="AC418" t="n">
        <v>0</v>
      </c>
      <c r="AD418" t="n">
        <v>11.64</v>
      </c>
      <c r="AE418" t="n">
        <v>0</v>
      </c>
      <c r="AF418" t="n">
        <v>0</v>
      </c>
      <c r="AG418" t="n">
        <v>0</v>
      </c>
      <c r="AH418" t="n">
        <v>11.64</v>
      </c>
      <c r="AI418" t="n">
        <v>1</v>
      </c>
      <c r="AJ418" t="n">
        <v>1</v>
      </c>
      <c r="AK418" t="n">
        <v>1</v>
      </c>
      <c r="AL418" t="n">
        <v>1</v>
      </c>
      <c r="AM418" t="n">
        <v>-2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5.01</v>
      </c>
      <c r="AU418" t="inlineStr">
        <is>
          <t>)*4</t>
        </is>
      </c>
      <c r="AV418" t="n">
        <v>1</v>
      </c>
      <c r="AW418" t="n">
        <v>2</v>
      </c>
      <c r="AX418" t="n">
        <v>78871279</v>
      </c>
      <c r="AY418" t="n">
        <v>1</v>
      </c>
      <c r="AZ418" t="n">
        <v>0</v>
      </c>
      <c r="BA418" t="n">
        <v>382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U418">
        <f>ROUND(AT418*Source!I715*AH418*AL418,0)</f>
        <v/>
      </c>
      <c r="CV418">
        <f>ROUND(Y418*Source!I715,7)</f>
        <v/>
      </c>
      <c r="CW418" t="n">
        <v>0</v>
      </c>
      <c r="CX418">
        <f>ROUND(Y418*Source!I715,7)</f>
        <v/>
      </c>
      <c r="CY418">
        <f>AD418</f>
        <v/>
      </c>
      <c r="CZ418">
        <f>AH418</f>
        <v/>
      </c>
      <c r="DA418">
        <f>AL418</f>
        <v/>
      </c>
      <c r="DB418">
        <f>ROUND((ROUND(AT418*CZ418,2)*ROUND(4,7)),2)</f>
        <v/>
      </c>
      <c r="DC418">
        <f>ROUND((ROUND(AT418*AG418,2)*ROUND(4,7)),2)</f>
        <v/>
      </c>
      <c r="DD418" t="inlineStr"/>
      <c r="DE418" t="inlineStr"/>
      <c r="DF418">
        <f>ROUND(ROUND(AE418,0)*CX418,0)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DI418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ROW(Source!A715)</f>
        <v/>
      </c>
      <c r="B419" t="n">
        <v>78869116</v>
      </c>
      <c r="C419" t="n">
        <v>78871272</v>
      </c>
      <c r="D419" t="n">
        <v>29172703</v>
      </c>
      <c r="E419" t="n">
        <v>1</v>
      </c>
      <c r="F419" t="n">
        <v>1</v>
      </c>
      <c r="G419" t="n">
        <v>1</v>
      </c>
      <c r="H419" t="n">
        <v>2</v>
      </c>
      <c r="I419" t="inlineStr">
        <is>
          <t>042900</t>
        </is>
      </c>
      <c r="J419" t="inlineStr">
        <is>
          <t>ТСЭМ Московской обл., 042900, приказ Минстроя России №675/пр от 28.02.2017 № 264/пр</t>
        </is>
      </c>
      <c r="K4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19" t="n">
        <v>1368</v>
      </c>
      <c r="N419" t="n">
        <v>1011</v>
      </c>
      <c r="O419" t="inlineStr">
        <is>
          <t>маш.-ч</t>
        </is>
      </c>
      <c r="P419" t="inlineStr">
        <is>
          <t>маш.-ч</t>
        </is>
      </c>
      <c r="Q419" t="n">
        <v>1</v>
      </c>
      <c r="W419" t="n">
        <v>0</v>
      </c>
      <c r="X419" t="n">
        <v>1695838894</v>
      </c>
      <c r="Y419">
        <f>(AT419*ROUND(4,7))</f>
        <v/>
      </c>
      <c r="AA419" t="n">
        <v>0</v>
      </c>
      <c r="AB419" t="n">
        <v>177.13</v>
      </c>
      <c r="AC419" t="n">
        <v>0</v>
      </c>
      <c r="AD419" t="n">
        <v>0</v>
      </c>
      <c r="AE419" t="n">
        <v>0</v>
      </c>
      <c r="AF419" t="n">
        <v>29.67</v>
      </c>
      <c r="AG419" t="n">
        <v>0</v>
      </c>
      <c r="AH419" t="n">
        <v>0</v>
      </c>
      <c r="AI419" t="n">
        <v>1</v>
      </c>
      <c r="AJ419" t="n">
        <v>5.97</v>
      </c>
      <c r="AK419" t="n">
        <v>52.25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1.5</v>
      </c>
      <c r="AU419" t="inlineStr">
        <is>
          <t>)*4</t>
        </is>
      </c>
      <c r="AV419" t="n">
        <v>0</v>
      </c>
      <c r="AW419" t="n">
        <v>2</v>
      </c>
      <c r="AX419" t="n">
        <v>78871280</v>
      </c>
      <c r="AY419" t="n">
        <v>1</v>
      </c>
      <c r="AZ419" t="n">
        <v>0</v>
      </c>
      <c r="BA419" t="n">
        <v>383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>
        <f>ROUND(Y419*Source!I715*DO419,7)</f>
        <v/>
      </c>
      <c r="CX419">
        <f>ROUND(Y419*Source!I715,7)</f>
        <v/>
      </c>
      <c r="CY419">
        <f>AB419</f>
        <v/>
      </c>
      <c r="CZ419">
        <f>AF419</f>
        <v/>
      </c>
      <c r="DA419">
        <f>AJ419</f>
        <v/>
      </c>
      <c r="DB419">
        <f>ROUND((ROUND(AT419*CZ419,2)*ROUND(4,7)),2)</f>
        <v/>
      </c>
      <c r="DC419">
        <f>ROUND((ROUND(AT419*AG419,2)*ROUND(4,7)),2)</f>
        <v/>
      </c>
      <c r="DD419" t="inlineStr"/>
      <c r="DE419" t="inlineStr"/>
      <c r="DF419">
        <f>ROUND(ROUND(AE419,0)*CX419,0)</f>
        <v/>
      </c>
      <c r="DG419">
        <f>ROUND(ROUND(AF419*AJ419,0)*CX419,0)</f>
        <v/>
      </c>
      <c r="DH419">
        <f>ROUND(ROUND(AG419*AK419,0)*CX419,0)</f>
        <v/>
      </c>
      <c r="DI419">
        <f>ROUND(ROUND(AH419,0)*CX419,0)</f>
        <v/>
      </c>
      <c r="DJ419">
        <f>DG419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ROW(Source!A715)</f>
        <v/>
      </c>
      <c r="B420" t="n">
        <v>78869116</v>
      </c>
      <c r="C420" t="n">
        <v>78871272</v>
      </c>
      <c r="D420" t="n">
        <v>29110398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101-0388</t>
        </is>
      </c>
      <c r="J420" t="inlineStr">
        <is>
          <t>ТССЦ Московской обл., 101-0388, приказ Минстроя России №675/пр от 28.02.2017 № 254/пр</t>
        </is>
      </c>
      <c r="K420" t="inlineStr">
        <is>
          <t>Краски масляные земляные марки МА-0115 мумия, сурик железный</t>
        </is>
      </c>
      <c r="L420" t="n">
        <v>1348</v>
      </c>
      <c r="N420" t="n">
        <v>1009</v>
      </c>
      <c r="O420" t="inlineStr">
        <is>
          <t>т</t>
        </is>
      </c>
      <c r="P420" t="inlineStr">
        <is>
          <t>т</t>
        </is>
      </c>
      <c r="Q420" t="n">
        <v>1000</v>
      </c>
      <c r="W420" t="n">
        <v>0</v>
      </c>
      <c r="X420" t="n">
        <v>1625292450</v>
      </c>
      <c r="Y420">
        <f>AT420</f>
        <v/>
      </c>
      <c r="AA420" t="n">
        <v>76804.47</v>
      </c>
      <c r="AB420" t="n">
        <v>0</v>
      </c>
      <c r="AC420" t="n">
        <v>0</v>
      </c>
      <c r="AD420" t="n">
        <v>0</v>
      </c>
      <c r="AE420" t="n">
        <v>15118.99</v>
      </c>
      <c r="AF420" t="n">
        <v>0</v>
      </c>
      <c r="AG420" t="n">
        <v>0</v>
      </c>
      <c r="AH420" t="n">
        <v>0</v>
      </c>
      <c r="AI420" t="n">
        <v>5.08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0</v>
      </c>
      <c r="AQ420" t="n">
        <v>0</v>
      </c>
      <c r="AR420" t="n">
        <v>0</v>
      </c>
      <c r="AS420" t="inlineStr"/>
      <c r="AT420" t="n">
        <v>5e-05</v>
      </c>
      <c r="AU420" t="inlineStr"/>
      <c r="AV420" t="n">
        <v>0</v>
      </c>
      <c r="AW420" t="n">
        <v>2</v>
      </c>
      <c r="AX420" t="n">
        <v>78871281</v>
      </c>
      <c r="AY420" t="n">
        <v>1</v>
      </c>
      <c r="AZ420" t="n">
        <v>0</v>
      </c>
      <c r="BA420" t="n">
        <v>384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ROUND(Y420*Source!I715,7)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ROW(Source!A715)</f>
        <v/>
      </c>
      <c r="B421" t="n">
        <v>78869116</v>
      </c>
      <c r="C421" t="n">
        <v>78871272</v>
      </c>
      <c r="D421" t="n">
        <v>29110573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101-0628</t>
        </is>
      </c>
      <c r="J421" t="inlineStr">
        <is>
          <t>ТССЦ Московской обл., 101-0628, приказ Минстроя России №675/пр от 28.02.2017 № 254/пр</t>
        </is>
      </c>
      <c r="K421" t="inlineStr">
        <is>
          <t>Олифа комбинированная, марки К-3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W421" t="n">
        <v>0</v>
      </c>
      <c r="X421" t="n">
        <v>24062879</v>
      </c>
      <c r="Y421">
        <f>AT421</f>
        <v/>
      </c>
      <c r="AA421" t="n">
        <v>87631.5</v>
      </c>
      <c r="AB421" t="n">
        <v>0</v>
      </c>
      <c r="AC421" t="n">
        <v>0</v>
      </c>
      <c r="AD421" t="n">
        <v>0</v>
      </c>
      <c r="AE421" t="n">
        <v>16950</v>
      </c>
      <c r="AF421" t="n">
        <v>0</v>
      </c>
      <c r="AG421" t="n">
        <v>0</v>
      </c>
      <c r="AH421" t="n">
        <v>0</v>
      </c>
      <c r="AI421" t="n">
        <v>5.17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0</v>
      </c>
      <c r="AQ421" t="n">
        <v>0</v>
      </c>
      <c r="AR421" t="n">
        <v>0</v>
      </c>
      <c r="AS421" t="inlineStr"/>
      <c r="AT421" t="n">
        <v>2e-05</v>
      </c>
      <c r="AU421" t="inlineStr"/>
      <c r="AV421" t="n">
        <v>0</v>
      </c>
      <c r="AW421" t="n">
        <v>2</v>
      </c>
      <c r="AX421" t="n">
        <v>78871282</v>
      </c>
      <c r="AY421" t="n">
        <v>1</v>
      </c>
      <c r="AZ421" t="n">
        <v>0</v>
      </c>
      <c r="BA421" t="n">
        <v>385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ROUND(Y421*Source!I715,7)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ROW(Source!A715)</f>
        <v/>
      </c>
      <c r="B422" t="n">
        <v>78869116</v>
      </c>
      <c r="C422" t="n">
        <v>78871272</v>
      </c>
      <c r="D422" t="n">
        <v>29107963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101-1669</t>
        </is>
      </c>
      <c r="J422" t="inlineStr">
        <is>
          <t>ТССЦ Московской обл., 101-1669, приказ Минстроя России №675/пр от 28.02.2017 № 254/пр</t>
        </is>
      </c>
      <c r="K422" t="inlineStr">
        <is>
          <t>Очес льняной</t>
        </is>
      </c>
      <c r="L422" t="n">
        <v>1346</v>
      </c>
      <c r="N422" t="n">
        <v>1009</v>
      </c>
      <c r="O422" t="inlineStr">
        <is>
          <t>кг</t>
        </is>
      </c>
      <c r="P422" t="inlineStr">
        <is>
          <t>кг</t>
        </is>
      </c>
      <c r="Q422" t="n">
        <v>1</v>
      </c>
      <c r="W422" t="n">
        <v>0</v>
      </c>
      <c r="X422" t="n">
        <v>-2113933962</v>
      </c>
      <c r="Y422">
        <f>AT422</f>
        <v/>
      </c>
      <c r="AA422" t="n">
        <v>590.67</v>
      </c>
      <c r="AB422" t="n">
        <v>0</v>
      </c>
      <c r="AC422" t="n">
        <v>0</v>
      </c>
      <c r="AD422" t="n">
        <v>0</v>
      </c>
      <c r="AE422" t="n">
        <v>37.29</v>
      </c>
      <c r="AF422" t="n">
        <v>0</v>
      </c>
      <c r="AG422" t="n">
        <v>0</v>
      </c>
      <c r="AH422" t="n">
        <v>0</v>
      </c>
      <c r="AI422" t="n">
        <v>15.84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0</v>
      </c>
      <c r="AQ422" t="n">
        <v>0</v>
      </c>
      <c r="AR422" t="n">
        <v>0</v>
      </c>
      <c r="AS422" t="inlineStr"/>
      <c r="AT422" t="n">
        <v>0.02</v>
      </c>
      <c r="AU422" t="inlineStr"/>
      <c r="AV422" t="n">
        <v>0</v>
      </c>
      <c r="AW422" t="n">
        <v>2</v>
      </c>
      <c r="AX422" t="n">
        <v>78871283</v>
      </c>
      <c r="AY422" t="n">
        <v>1</v>
      </c>
      <c r="AZ422" t="n">
        <v>0</v>
      </c>
      <c r="BA422" t="n">
        <v>386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ROUND(Y422*Source!I715,7)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ROW(Source!A715)</f>
        <v/>
      </c>
      <c r="B423" t="n">
        <v>78869116</v>
      </c>
      <c r="C423" t="n">
        <v>78871272</v>
      </c>
      <c r="D423" t="n">
        <v>29150040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411-0001</t>
        </is>
      </c>
      <c r="J423" t="inlineStr">
        <is>
          <t>ТССЦ Московской обл., 411-0001, приказ Минстроя России №675/пр от 28.02.2017 № 257/пр</t>
        </is>
      </c>
      <c r="K423" t="inlineStr">
        <is>
          <t>Вода</t>
        </is>
      </c>
      <c r="L423" t="n">
        <v>1339</v>
      </c>
      <c r="N423" t="n">
        <v>1007</v>
      </c>
      <c r="O423" t="inlineStr">
        <is>
          <t>м3</t>
        </is>
      </c>
      <c r="P423" t="inlineStr">
        <is>
          <t>м3</t>
        </is>
      </c>
      <c r="Q423" t="n">
        <v>1</v>
      </c>
      <c r="W423" t="n">
        <v>0</v>
      </c>
      <c r="X423" t="n">
        <v>619799737</v>
      </c>
      <c r="Y423">
        <f>AT423</f>
        <v/>
      </c>
      <c r="AA423" t="n">
        <v>31.28</v>
      </c>
      <c r="AB423" t="n">
        <v>0</v>
      </c>
      <c r="AC423" t="n">
        <v>0</v>
      </c>
      <c r="AD423" t="n">
        <v>0</v>
      </c>
      <c r="AE423" t="n">
        <v>2.44</v>
      </c>
      <c r="AF423" t="n">
        <v>0</v>
      </c>
      <c r="AG423" t="n">
        <v>0</v>
      </c>
      <c r="AH423" t="n">
        <v>0</v>
      </c>
      <c r="AI423" t="n">
        <v>12.82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0</v>
      </c>
      <c r="AQ423" t="n">
        <v>0</v>
      </c>
      <c r="AR423" t="n">
        <v>0</v>
      </c>
      <c r="AS423" t="inlineStr"/>
      <c r="AT423" t="n">
        <v>1</v>
      </c>
      <c r="AU423" t="inlineStr"/>
      <c r="AV423" t="n">
        <v>0</v>
      </c>
      <c r="AW423" t="n">
        <v>2</v>
      </c>
      <c r="AX423" t="n">
        <v>78871284</v>
      </c>
      <c r="AY423" t="n">
        <v>1</v>
      </c>
      <c r="AZ423" t="n">
        <v>0</v>
      </c>
      <c r="BA423" t="n">
        <v>387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ROUND(Y423*Source!I715,7)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ROW(Source!A754)</f>
        <v/>
      </c>
      <c r="B424" t="n">
        <v>78869116</v>
      </c>
      <c r="C424" t="n">
        <v>78871348</v>
      </c>
      <c r="D424" t="n">
        <v>18408291</v>
      </c>
      <c r="E424" t="n">
        <v>1</v>
      </c>
      <c r="F424" t="n">
        <v>1</v>
      </c>
      <c r="G424" t="n">
        <v>1</v>
      </c>
      <c r="H424" t="n">
        <v>1</v>
      </c>
      <c r="I424" t="inlineStr">
        <is>
          <t>1-1025-90</t>
        </is>
      </c>
      <c r="J424" t="inlineStr"/>
      <c r="K424" t="inlineStr">
        <is>
          <t>Рабочий строитель среднего разряда 2,5</t>
        </is>
      </c>
      <c r="L424" t="n">
        <v>1369</v>
      </c>
      <c r="N424" t="n">
        <v>1013</v>
      </c>
      <c r="O424" t="inlineStr">
        <is>
          <t>чел.-ч</t>
        </is>
      </c>
      <c r="P424" t="inlineStr">
        <is>
          <t>чел.-ч</t>
        </is>
      </c>
      <c r="Q424" t="n">
        <v>1</v>
      </c>
      <c r="W424" t="n">
        <v>0</v>
      </c>
      <c r="X424" t="n">
        <v>1933892413</v>
      </c>
      <c r="Y424">
        <f>AT424</f>
        <v/>
      </c>
      <c r="AA424" t="n">
        <v>0</v>
      </c>
      <c r="AB424" t="n">
        <v>0</v>
      </c>
      <c r="AC424" t="n">
        <v>0</v>
      </c>
      <c r="AD424" t="n">
        <v>8.17</v>
      </c>
      <c r="AE424" t="n">
        <v>0</v>
      </c>
      <c r="AF424" t="n">
        <v>0</v>
      </c>
      <c r="AG424" t="n">
        <v>0</v>
      </c>
      <c r="AH424" t="n">
        <v>8.17</v>
      </c>
      <c r="AI424" t="n">
        <v>1</v>
      </c>
      <c r="AJ424" t="n">
        <v>1</v>
      </c>
      <c r="AK424" t="n">
        <v>1</v>
      </c>
      <c r="AL424" t="n">
        <v>1</v>
      </c>
      <c r="AM424" t="n">
        <v>-2</v>
      </c>
      <c r="AN424" t="n">
        <v>0</v>
      </c>
      <c r="AO424" t="n">
        <v>1</v>
      </c>
      <c r="AP424" t="n">
        <v>1</v>
      </c>
      <c r="AQ424" t="n">
        <v>0</v>
      </c>
      <c r="AR424" t="n">
        <v>0</v>
      </c>
      <c r="AS424" t="inlineStr"/>
      <c r="AT424" t="n">
        <v>32.2</v>
      </c>
      <c r="AU424" t="inlineStr"/>
      <c r="AV424" t="n">
        <v>1</v>
      </c>
      <c r="AW424" t="n">
        <v>2</v>
      </c>
      <c r="AX424" t="n">
        <v>78871354</v>
      </c>
      <c r="AY424" t="n">
        <v>1</v>
      </c>
      <c r="AZ424" t="n">
        <v>0</v>
      </c>
      <c r="BA424" t="n">
        <v>388</v>
      </c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U424">
        <f>ROUND(AT424*Source!I754*AH424*AL424,0)</f>
        <v/>
      </c>
      <c r="CV424">
        <f>ROUND(Y424*Source!I754,7)</f>
        <v/>
      </c>
      <c r="CW424" t="n">
        <v>0</v>
      </c>
      <c r="CX424">
        <f>ROUND(Y424*Source!I754,7)</f>
        <v/>
      </c>
      <c r="CY424">
        <f>AD424</f>
        <v/>
      </c>
      <c r="CZ424">
        <f>AH424</f>
        <v/>
      </c>
      <c r="DA424">
        <f>AL424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DI424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ROW(Source!A754)</f>
        <v/>
      </c>
      <c r="B425" t="n">
        <v>78869116</v>
      </c>
      <c r="C425" t="n">
        <v>78871348</v>
      </c>
      <c r="D425" t="n">
        <v>29174913</v>
      </c>
      <c r="E425" t="n">
        <v>1</v>
      </c>
      <c r="F425" t="n">
        <v>1</v>
      </c>
      <c r="G425" t="n">
        <v>1</v>
      </c>
      <c r="H425" t="n">
        <v>2</v>
      </c>
      <c r="I425" t="inlineStr">
        <is>
          <t>400001</t>
        </is>
      </c>
      <c r="J425" t="inlineStr">
        <is>
          <t>ТСЭМ Московской обл., 400001, приказ Минстроя России №675/пр от 28.02.2017 № 264/пр</t>
        </is>
      </c>
      <c r="K425" t="inlineStr">
        <is>
          <t>Автомобили бортовые, грузоподъемность до 5 т</t>
        </is>
      </c>
      <c r="L425" t="n">
        <v>1368</v>
      </c>
      <c r="N425" t="n">
        <v>1011</v>
      </c>
      <c r="O425" t="inlineStr">
        <is>
          <t>маш.-ч</t>
        </is>
      </c>
      <c r="P425" t="inlineStr">
        <is>
          <t>маш.-ч</t>
        </is>
      </c>
      <c r="Q425" t="n">
        <v>1</v>
      </c>
      <c r="W425" t="n">
        <v>0</v>
      </c>
      <c r="X425" t="n">
        <v>1230759911</v>
      </c>
      <c r="Y425">
        <f>AT425</f>
        <v/>
      </c>
      <c r="AA425" t="n">
        <v>0</v>
      </c>
      <c r="AB425" t="n">
        <v>2177.51</v>
      </c>
      <c r="AC425" t="n">
        <v>606.1</v>
      </c>
      <c r="AD425" t="n">
        <v>0</v>
      </c>
      <c r="AE425" t="n">
        <v>0</v>
      </c>
      <c r="AF425" t="n">
        <v>87.17</v>
      </c>
      <c r="AG425" t="n">
        <v>11.6</v>
      </c>
      <c r="AH425" t="n">
        <v>0</v>
      </c>
      <c r="AI425" t="n">
        <v>1</v>
      </c>
      <c r="AJ425" t="n">
        <v>24.98</v>
      </c>
      <c r="AK425" t="n">
        <v>52.25</v>
      </c>
      <c r="AL425" t="n">
        <v>1</v>
      </c>
      <c r="AM425" t="n">
        <v>2</v>
      </c>
      <c r="AN425" t="n">
        <v>0</v>
      </c>
      <c r="AO425" t="n">
        <v>1</v>
      </c>
      <c r="AP425" t="n">
        <v>1</v>
      </c>
      <c r="AQ425" t="n">
        <v>0</v>
      </c>
      <c r="AR425" t="n">
        <v>0</v>
      </c>
      <c r="AS425" t="inlineStr"/>
      <c r="AT425" t="n">
        <v>0.01</v>
      </c>
      <c r="AU425" t="inlineStr"/>
      <c r="AV425" t="n">
        <v>0</v>
      </c>
      <c r="AW425" t="n">
        <v>2</v>
      </c>
      <c r="AX425" t="n">
        <v>78871355</v>
      </c>
      <c r="AY425" t="n">
        <v>1</v>
      </c>
      <c r="AZ425" t="n">
        <v>0</v>
      </c>
      <c r="BA425" t="n">
        <v>389</v>
      </c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>
        <f>ROUND(Y425*Source!I754*DO425,7)</f>
        <v/>
      </c>
      <c r="CX425">
        <f>ROUND(Y425*Source!I754,7)</f>
        <v/>
      </c>
      <c r="CY425">
        <f>AB425</f>
        <v/>
      </c>
      <c r="CZ425">
        <f>AF425</f>
        <v/>
      </c>
      <c r="DA425">
        <f>AJ425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ROUND(ROUND(AE425,0)*CX425,0)</f>
        <v/>
      </c>
      <c r="DG425">
        <f>ROUND(ROUND(AF425*AJ425,0)*CX425,0)</f>
        <v/>
      </c>
      <c r="DH425">
        <f>ROUND(ROUND(AG425*AK425,0)*CX425,0)</f>
        <v/>
      </c>
      <c r="DI425">
        <f>ROUND(ROUND(AH425,0)*CX425,0)</f>
        <v/>
      </c>
      <c r="DJ425">
        <f>DG425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ROW(Source!A754)</f>
        <v/>
      </c>
      <c r="B426" t="n">
        <v>78869116</v>
      </c>
      <c r="C426" t="n">
        <v>78871348</v>
      </c>
      <c r="D426" t="n">
        <v>29110139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101-1703</t>
        </is>
      </c>
      <c r="J426" t="inlineStr">
        <is>
          <t>ТССЦ Московской обл., 101-1703, приказ Минстроя России №675/пр от 28.02.2017 № 254/пр</t>
        </is>
      </c>
      <c r="K426" t="inlineStr">
        <is>
          <t>Прокладки резиновые (пластина техническая прессованная)</t>
        </is>
      </c>
      <c r="L426" t="n">
        <v>1346</v>
      </c>
      <c r="N426" t="n">
        <v>1009</v>
      </c>
      <c r="O426" t="inlineStr">
        <is>
          <t>кг</t>
        </is>
      </c>
      <c r="P426" t="inlineStr">
        <is>
          <t>кг</t>
        </is>
      </c>
      <c r="Q426" t="n">
        <v>1</v>
      </c>
      <c r="W426" t="n">
        <v>0</v>
      </c>
      <c r="X426" t="n">
        <v>-1947909329</v>
      </c>
      <c r="Y426">
        <f>AT426</f>
        <v/>
      </c>
      <c r="AA426" t="n">
        <v>341.04</v>
      </c>
      <c r="AB426" t="n">
        <v>0</v>
      </c>
      <c r="AC426" t="n">
        <v>0</v>
      </c>
      <c r="AD426" t="n">
        <v>0</v>
      </c>
      <c r="AE426" t="n">
        <v>23.09</v>
      </c>
      <c r="AF426" t="n">
        <v>0</v>
      </c>
      <c r="AG426" t="n">
        <v>0</v>
      </c>
      <c r="AH426" t="n">
        <v>0</v>
      </c>
      <c r="AI426" t="n">
        <v>14.77</v>
      </c>
      <c r="AJ426" t="n">
        <v>1</v>
      </c>
      <c r="AK426" t="n">
        <v>1</v>
      </c>
      <c r="AL426" t="n">
        <v>1</v>
      </c>
      <c r="AM426" t="n">
        <v>2</v>
      </c>
      <c r="AN426" t="n">
        <v>0</v>
      </c>
      <c r="AO426" t="n">
        <v>1</v>
      </c>
      <c r="AP426" t="n">
        <v>1</v>
      </c>
      <c r="AQ426" t="n">
        <v>0</v>
      </c>
      <c r="AR426" t="n">
        <v>0</v>
      </c>
      <c r="AS426" t="inlineStr"/>
      <c r="AT426" t="n">
        <v>2</v>
      </c>
      <c r="AU426" t="inlineStr"/>
      <c r="AV426" t="n">
        <v>0</v>
      </c>
      <c r="AW426" t="n">
        <v>2</v>
      </c>
      <c r="AX426" t="n">
        <v>78871356</v>
      </c>
      <c r="AY426" t="n">
        <v>1</v>
      </c>
      <c r="AZ426" t="n">
        <v>0</v>
      </c>
      <c r="BA426" t="n">
        <v>390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V426" t="n">
        <v>0</v>
      </c>
      <c r="CW426" t="n">
        <v>0</v>
      </c>
      <c r="CX426">
        <f>ROUND(Y426*Source!I754,7)</f>
        <v/>
      </c>
      <c r="CY426">
        <f>AA426</f>
        <v/>
      </c>
      <c r="CZ426">
        <f>AE426</f>
        <v/>
      </c>
      <c r="DA426">
        <f>AI426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ROUND(ROUND(AE426*AI426,0)*CX426,0)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DF426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ROW(Source!A754)</f>
        <v/>
      </c>
      <c r="B427" t="n">
        <v>78869116</v>
      </c>
      <c r="C427" t="n">
        <v>78871348</v>
      </c>
      <c r="D427" t="n">
        <v>29114240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101-2576</t>
        </is>
      </c>
      <c r="J427" t="inlineStr">
        <is>
          <t>ТССЦ Московской обл., 101-2576, приказ Минстроя России №675/пр от 28.02.2017 № 254/пр</t>
        </is>
      </c>
      <c r="K427" t="inlineStr">
        <is>
          <t>Болты с гайками и шайбами для санитарно-технических работ диаметром 16 мм</t>
        </is>
      </c>
      <c r="L427" t="n">
        <v>1348</v>
      </c>
      <c r="N427" t="n">
        <v>1009</v>
      </c>
      <c r="O427" t="inlineStr">
        <is>
          <t>т</t>
        </is>
      </c>
      <c r="P427" t="inlineStr">
        <is>
          <t>т</t>
        </is>
      </c>
      <c r="Q427" t="n">
        <v>1000</v>
      </c>
      <c r="W427" t="n">
        <v>0</v>
      </c>
      <c r="X427" t="n">
        <v>-1701539228</v>
      </c>
      <c r="Y427">
        <f>AT427</f>
        <v/>
      </c>
      <c r="AA427" t="n">
        <v>145037.4</v>
      </c>
      <c r="AB427" t="n">
        <v>0</v>
      </c>
      <c r="AC427" t="n">
        <v>0</v>
      </c>
      <c r="AD427" t="n">
        <v>0</v>
      </c>
      <c r="AE427" t="n">
        <v>14830</v>
      </c>
      <c r="AF427" t="n">
        <v>0</v>
      </c>
      <c r="AG427" t="n">
        <v>0</v>
      </c>
      <c r="AH427" t="n">
        <v>0</v>
      </c>
      <c r="AI427" t="n">
        <v>9.779999999999999</v>
      </c>
      <c r="AJ427" t="n">
        <v>1</v>
      </c>
      <c r="AK427" t="n">
        <v>1</v>
      </c>
      <c r="AL427" t="n">
        <v>1</v>
      </c>
      <c r="AM427" t="n">
        <v>2</v>
      </c>
      <c r="AN427" t="n">
        <v>0</v>
      </c>
      <c r="AO427" t="n">
        <v>1</v>
      </c>
      <c r="AP427" t="n">
        <v>1</v>
      </c>
      <c r="AQ427" t="n">
        <v>0</v>
      </c>
      <c r="AR427" t="n">
        <v>0</v>
      </c>
      <c r="AS427" t="inlineStr"/>
      <c r="AT427" t="n">
        <v>0.005</v>
      </c>
      <c r="AU427" t="inlineStr"/>
      <c r="AV427" t="n">
        <v>0</v>
      </c>
      <c r="AW427" t="n">
        <v>2</v>
      </c>
      <c r="AX427" t="n">
        <v>78871357</v>
      </c>
      <c r="AY427" t="n">
        <v>1</v>
      </c>
      <c r="AZ427" t="n">
        <v>0</v>
      </c>
      <c r="BA427" t="n">
        <v>391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ROUND(Y427*Source!I754,7)</f>
        <v/>
      </c>
      <c r="CY427">
        <f>AA427</f>
        <v/>
      </c>
      <c r="CZ427">
        <f>AE427</f>
        <v/>
      </c>
      <c r="DA427">
        <f>AI427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ROUND(ROUND(AE427*AI427,0)*CX427,0)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DF427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ROW(Source!A754)</f>
        <v/>
      </c>
      <c r="B428" t="n">
        <v>78869116</v>
      </c>
      <c r="C428" t="n">
        <v>78871348</v>
      </c>
      <c r="D428" t="n">
        <v>29150040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411-0001</t>
        </is>
      </c>
      <c r="J428" t="inlineStr">
        <is>
          <t>ТССЦ Московской обл., 411-0001, приказ Минстроя России №675/пр от 28.02.2017 № 257/пр</t>
        </is>
      </c>
      <c r="K428" t="inlineStr">
        <is>
          <t>Вода</t>
        </is>
      </c>
      <c r="L428" t="n">
        <v>1339</v>
      </c>
      <c r="N428" t="n">
        <v>1007</v>
      </c>
      <c r="O428" t="inlineStr">
        <is>
          <t>м3</t>
        </is>
      </c>
      <c r="P428" t="inlineStr">
        <is>
          <t>м3</t>
        </is>
      </c>
      <c r="Q428" t="n">
        <v>1</v>
      </c>
      <c r="W428" t="n">
        <v>0</v>
      </c>
      <c r="X428" t="n">
        <v>619799737</v>
      </c>
      <c r="Y428">
        <f>AT428</f>
        <v/>
      </c>
      <c r="AA428" t="n">
        <v>31.28</v>
      </c>
      <c r="AB428" t="n">
        <v>0</v>
      </c>
      <c r="AC428" t="n">
        <v>0</v>
      </c>
      <c r="AD428" t="n">
        <v>0</v>
      </c>
      <c r="AE428" t="n">
        <v>2.44</v>
      </c>
      <c r="AF428" t="n">
        <v>0</v>
      </c>
      <c r="AG428" t="n">
        <v>0</v>
      </c>
      <c r="AH428" t="n">
        <v>0</v>
      </c>
      <c r="AI428" t="n">
        <v>12.82</v>
      </c>
      <c r="AJ428" t="n">
        <v>1</v>
      </c>
      <c r="AK428" t="n">
        <v>1</v>
      </c>
      <c r="AL428" t="n">
        <v>1</v>
      </c>
      <c r="AM428" t="n">
        <v>2</v>
      </c>
      <c r="AN428" t="n">
        <v>0</v>
      </c>
      <c r="AO428" t="n">
        <v>1</v>
      </c>
      <c r="AP428" t="n">
        <v>1</v>
      </c>
      <c r="AQ428" t="n">
        <v>0</v>
      </c>
      <c r="AR428" t="n">
        <v>0</v>
      </c>
      <c r="AS428" t="inlineStr"/>
      <c r="AT428" t="n">
        <v>7.8</v>
      </c>
      <c r="AU428" t="inlineStr"/>
      <c r="AV428" t="n">
        <v>0</v>
      </c>
      <c r="AW428" t="n">
        <v>2</v>
      </c>
      <c r="AX428" t="n">
        <v>78871358</v>
      </c>
      <c r="AY428" t="n">
        <v>1</v>
      </c>
      <c r="AZ428" t="n">
        <v>0</v>
      </c>
      <c r="BA428" t="n">
        <v>392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 t="n">
        <v>0</v>
      </c>
      <c r="CX428">
        <f>ROUND(Y428*Source!I754,7)</f>
        <v/>
      </c>
      <c r="CY428">
        <f>AA428</f>
        <v/>
      </c>
      <c r="CZ428">
        <f>AE428</f>
        <v/>
      </c>
      <c r="DA428">
        <f>AI428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ROUND(ROUND(AE428*AI428,0)*CX428,0)</f>
        <v/>
      </c>
      <c r="DG428">
        <f>ROUND(ROUND(AF428,0)*CX428,0)</f>
        <v/>
      </c>
      <c r="DH428">
        <f>ROUND(ROUND(AG428,0)*CX428,0)</f>
        <v/>
      </c>
      <c r="DI428">
        <f>ROUND(ROUND(AH428,0)*CX428,0)</f>
        <v/>
      </c>
      <c r="DJ428">
        <f>DF428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ROW(Source!A755)</f>
        <v/>
      </c>
      <c r="B429" t="n">
        <v>78869116</v>
      </c>
      <c r="C429" t="n">
        <v>78871359</v>
      </c>
      <c r="D429" t="n">
        <v>18442827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1-1053-90</t>
        </is>
      </c>
      <c r="J429" t="inlineStr"/>
      <c r="K429" t="inlineStr">
        <is>
          <t>Рабочий строитель среднего разряда 5,3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W429" t="n">
        <v>0</v>
      </c>
      <c r="X429" t="n">
        <v>717490484</v>
      </c>
      <c r="Y429">
        <f>(AT429*ROUND(9,7))</f>
        <v/>
      </c>
      <c r="AA429" t="n">
        <v>0</v>
      </c>
      <c r="AB429" t="n">
        <v>0</v>
      </c>
      <c r="AC429" t="n">
        <v>0</v>
      </c>
      <c r="AD429" t="n">
        <v>11.64</v>
      </c>
      <c r="AE429" t="n">
        <v>0</v>
      </c>
      <c r="AF429" t="n">
        <v>0</v>
      </c>
      <c r="AG429" t="n">
        <v>0</v>
      </c>
      <c r="AH429" t="n">
        <v>11.64</v>
      </c>
      <c r="AI429" t="n">
        <v>1</v>
      </c>
      <c r="AJ429" t="n">
        <v>1</v>
      </c>
      <c r="AK429" t="n">
        <v>1</v>
      </c>
      <c r="AL429" t="n">
        <v>1</v>
      </c>
      <c r="AM429" t="n">
        <v>-2</v>
      </c>
      <c r="AN429" t="n">
        <v>0</v>
      </c>
      <c r="AO429" t="n">
        <v>1</v>
      </c>
      <c r="AP429" t="n">
        <v>1</v>
      </c>
      <c r="AQ429" t="n">
        <v>0</v>
      </c>
      <c r="AR429" t="n">
        <v>0</v>
      </c>
      <c r="AS429" t="inlineStr"/>
      <c r="AT429" t="n">
        <v>5.01</v>
      </c>
      <c r="AU429" t="inlineStr">
        <is>
          <t>)*9</t>
        </is>
      </c>
      <c r="AV429" t="n">
        <v>1</v>
      </c>
      <c r="AW429" t="n">
        <v>2</v>
      </c>
      <c r="AX429" t="n">
        <v>78871366</v>
      </c>
      <c r="AY429" t="n">
        <v>1</v>
      </c>
      <c r="AZ429" t="n">
        <v>2048</v>
      </c>
      <c r="BA429" t="n">
        <v>393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U429">
        <f>ROUND(AT429*Source!I755*AH429*AL429,0)</f>
        <v/>
      </c>
      <c r="CV429">
        <f>ROUND(Y429*Source!I755,7)</f>
        <v/>
      </c>
      <c r="CW429" t="n">
        <v>0</v>
      </c>
      <c r="CX429">
        <f>ROUND(Y429*Source!I755,7)</f>
        <v/>
      </c>
      <c r="CY429">
        <f>AD429</f>
        <v/>
      </c>
      <c r="CZ429">
        <f>AH429</f>
        <v/>
      </c>
      <c r="DA429">
        <f>AL429</f>
        <v/>
      </c>
      <c r="DB429">
        <f>ROUND((ROUND(AT429*CZ429,2)*ROUND(9,7)),2)</f>
        <v/>
      </c>
      <c r="DC429">
        <f>ROUND((ROUND(AT429*AG429,2)*ROUND(9,7)),2)</f>
        <v/>
      </c>
      <c r="DD429" t="inlineStr"/>
      <c r="DE429" t="inlineStr"/>
      <c r="DF429">
        <f>ROUND(ROUND(AE429,0)*CX429,0)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DI429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ROW(Source!A755)</f>
        <v/>
      </c>
      <c r="B430" t="n">
        <v>78869116</v>
      </c>
      <c r="C430" t="n">
        <v>78871359</v>
      </c>
      <c r="D430" t="n">
        <v>29172703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042900</t>
        </is>
      </c>
      <c r="J430" t="inlineStr">
        <is>
          <t>ТСЭМ Московской обл., 042900, приказ Минстроя России №675/пр от 28.02.2017 № 264/пр</t>
        </is>
      </c>
      <c r="K4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W430" t="n">
        <v>0</v>
      </c>
      <c r="X430" t="n">
        <v>1695838894</v>
      </c>
      <c r="Y430">
        <f>(AT430*ROUND(9,7))</f>
        <v/>
      </c>
      <c r="AA430" t="n">
        <v>0</v>
      </c>
      <c r="AB430" t="n">
        <v>177.13</v>
      </c>
      <c r="AC430" t="n">
        <v>0</v>
      </c>
      <c r="AD430" t="n">
        <v>0</v>
      </c>
      <c r="AE430" t="n">
        <v>0</v>
      </c>
      <c r="AF430" t="n">
        <v>29.67</v>
      </c>
      <c r="AG430" t="n">
        <v>0</v>
      </c>
      <c r="AH430" t="n">
        <v>0</v>
      </c>
      <c r="AI430" t="n">
        <v>1</v>
      </c>
      <c r="AJ430" t="n">
        <v>5.97</v>
      </c>
      <c r="AK430" t="n">
        <v>52.25</v>
      </c>
      <c r="AL430" t="n">
        <v>1</v>
      </c>
      <c r="AM430" t="n">
        <v>2</v>
      </c>
      <c r="AN430" t="n">
        <v>0</v>
      </c>
      <c r="AO430" t="n">
        <v>1</v>
      </c>
      <c r="AP430" t="n">
        <v>1</v>
      </c>
      <c r="AQ430" t="n">
        <v>0</v>
      </c>
      <c r="AR430" t="n">
        <v>0</v>
      </c>
      <c r="AS430" t="inlineStr"/>
      <c r="AT430" t="n">
        <v>1.5</v>
      </c>
      <c r="AU430" t="inlineStr">
        <is>
          <t>)*9</t>
        </is>
      </c>
      <c r="AV430" t="n">
        <v>0</v>
      </c>
      <c r="AW430" t="n">
        <v>2</v>
      </c>
      <c r="AX430" t="n">
        <v>78871367</v>
      </c>
      <c r="AY430" t="n">
        <v>1</v>
      </c>
      <c r="AZ430" t="n">
        <v>0</v>
      </c>
      <c r="BA430" t="n">
        <v>394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>
        <f>ROUND(Y430*Source!I755*DO430,7)</f>
        <v/>
      </c>
      <c r="CX430">
        <f>ROUND(Y430*Source!I755,7)</f>
        <v/>
      </c>
      <c r="CY430">
        <f>AB430</f>
        <v/>
      </c>
      <c r="CZ430">
        <f>AF430</f>
        <v/>
      </c>
      <c r="DA430">
        <f>AJ430</f>
        <v/>
      </c>
      <c r="DB430">
        <f>ROUND((ROUND(AT430*CZ430,2)*ROUND(9,7)),2)</f>
        <v/>
      </c>
      <c r="DC430">
        <f>ROUND((ROUND(AT430*AG430,2)*ROUND(9,7)),2)</f>
        <v/>
      </c>
      <c r="DD430" t="inlineStr"/>
      <c r="DE430" t="inlineStr"/>
      <c r="DF430">
        <f>ROUND(ROUND(AE430,0)*CX430,0)</f>
        <v/>
      </c>
      <c r="DG430">
        <f>ROUND(ROUND(AF430*AJ430,0)*CX430,0)</f>
        <v/>
      </c>
      <c r="DH430">
        <f>ROUND(ROUND(AG430*AK430,0)*CX430,0)</f>
        <v/>
      </c>
      <c r="DI430">
        <f>ROUND(ROUND(AH430,0)*CX430,0)</f>
        <v/>
      </c>
      <c r="DJ430">
        <f>DG430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ROW(Source!A755)</f>
        <v/>
      </c>
      <c r="B431" t="n">
        <v>78869116</v>
      </c>
      <c r="C431" t="n">
        <v>78871359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W431" t="n">
        <v>0</v>
      </c>
      <c r="X431" t="n">
        <v>1625292450</v>
      </c>
      <c r="Y431">
        <f>(AT431*ROUND(9,7))</f>
        <v/>
      </c>
      <c r="AA431" t="n">
        <v>76804.47</v>
      </c>
      <c r="AB431" t="n">
        <v>0</v>
      </c>
      <c r="AC431" t="n">
        <v>0</v>
      </c>
      <c r="AD431" t="n">
        <v>0</v>
      </c>
      <c r="AE431" t="n">
        <v>15118.99</v>
      </c>
      <c r="AF431" t="n">
        <v>0</v>
      </c>
      <c r="AG431" t="n">
        <v>0</v>
      </c>
      <c r="AH431" t="n">
        <v>0</v>
      </c>
      <c r="AI431" t="n">
        <v>5.08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1</v>
      </c>
      <c r="AQ431" t="n">
        <v>0</v>
      </c>
      <c r="AR431" t="n">
        <v>0</v>
      </c>
      <c r="AS431" t="inlineStr"/>
      <c r="AT431" t="n">
        <v>5e-05</v>
      </c>
      <c r="AU431" t="inlineStr">
        <is>
          <t>)*9</t>
        </is>
      </c>
      <c r="AV431" t="n">
        <v>0</v>
      </c>
      <c r="AW431" t="n">
        <v>2</v>
      </c>
      <c r="AX431" t="n">
        <v>78871368</v>
      </c>
      <c r="AY431" t="n">
        <v>1</v>
      </c>
      <c r="AZ431" t="n">
        <v>2048</v>
      </c>
      <c r="BA431" t="n">
        <v>395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ROUND(Y431*Source!I755,7)</f>
        <v/>
      </c>
      <c r="CY431">
        <f>AA431</f>
        <v/>
      </c>
      <c r="CZ431">
        <f>AE431</f>
        <v/>
      </c>
      <c r="DA431">
        <f>AI431</f>
        <v/>
      </c>
      <c r="DB431">
        <f>ROUND((ROUND(AT431*CZ431,2)*ROUND(9,7)),2)</f>
        <v/>
      </c>
      <c r="DC431">
        <f>ROUND((ROUND(AT431*AG431,2)*ROUND(9,7)),2)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ROW(Source!A755)</f>
        <v/>
      </c>
      <c r="B432" t="n">
        <v>78869116</v>
      </c>
      <c r="C432" t="n">
        <v>78871359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W432" t="n">
        <v>0</v>
      </c>
      <c r="X432" t="n">
        <v>24062879</v>
      </c>
      <c r="Y432">
        <f>(AT432*ROUND(9,7))</f>
        <v/>
      </c>
      <c r="AA432" t="n">
        <v>87631.5</v>
      </c>
      <c r="AB432" t="n">
        <v>0</v>
      </c>
      <c r="AC432" t="n">
        <v>0</v>
      </c>
      <c r="AD432" t="n">
        <v>0</v>
      </c>
      <c r="AE432" t="n">
        <v>16950</v>
      </c>
      <c r="AF432" t="n">
        <v>0</v>
      </c>
      <c r="AG432" t="n">
        <v>0</v>
      </c>
      <c r="AH432" t="n">
        <v>0</v>
      </c>
      <c r="AI432" t="n">
        <v>5.17</v>
      </c>
      <c r="AJ432" t="n">
        <v>1</v>
      </c>
      <c r="AK432" t="n">
        <v>1</v>
      </c>
      <c r="AL432" t="n">
        <v>1</v>
      </c>
      <c r="AM432" t="n">
        <v>2</v>
      </c>
      <c r="AN432" t="n">
        <v>0</v>
      </c>
      <c r="AO432" t="n">
        <v>1</v>
      </c>
      <c r="AP432" t="n">
        <v>1</v>
      </c>
      <c r="AQ432" t="n">
        <v>0</v>
      </c>
      <c r="AR432" t="n">
        <v>0</v>
      </c>
      <c r="AS432" t="inlineStr"/>
      <c r="AT432" t="n">
        <v>2e-05</v>
      </c>
      <c r="AU432" t="inlineStr">
        <is>
          <t>)*9</t>
        </is>
      </c>
      <c r="AV432" t="n">
        <v>0</v>
      </c>
      <c r="AW432" t="n">
        <v>2</v>
      </c>
      <c r="AX432" t="n">
        <v>78871369</v>
      </c>
      <c r="AY432" t="n">
        <v>1</v>
      </c>
      <c r="AZ432" t="n">
        <v>0</v>
      </c>
      <c r="BA432" t="n">
        <v>396</v>
      </c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ROUND(Y432*Source!I755,7)</f>
        <v/>
      </c>
      <c r="CY432">
        <f>AA432</f>
        <v/>
      </c>
      <c r="CZ432">
        <f>AE432</f>
        <v/>
      </c>
      <c r="DA432">
        <f>AI432</f>
        <v/>
      </c>
      <c r="DB432">
        <f>ROUND((ROUND(AT432*CZ432,2)*ROUND(9,7)),2)</f>
        <v/>
      </c>
      <c r="DC432">
        <f>ROUND((ROUND(AT432*AG432,2)*ROUND(9,7)),2)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ROW(Source!A755)</f>
        <v/>
      </c>
      <c r="B433" t="n">
        <v>78869116</v>
      </c>
      <c r="C433" t="n">
        <v>78871359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W433" t="n">
        <v>0</v>
      </c>
      <c r="X433" t="n">
        <v>-2113933962</v>
      </c>
      <c r="Y433">
        <f>(AT433*ROUND(9,7))</f>
        <v/>
      </c>
      <c r="AA433" t="n">
        <v>590.67</v>
      </c>
      <c r="AB433" t="n">
        <v>0</v>
      </c>
      <c r="AC433" t="n">
        <v>0</v>
      </c>
      <c r="AD433" t="n">
        <v>0</v>
      </c>
      <c r="AE433" t="n">
        <v>37.29</v>
      </c>
      <c r="AF433" t="n">
        <v>0</v>
      </c>
      <c r="AG433" t="n">
        <v>0</v>
      </c>
      <c r="AH433" t="n">
        <v>0</v>
      </c>
      <c r="AI433" t="n">
        <v>15.84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1</v>
      </c>
      <c r="AQ433" t="n">
        <v>0</v>
      </c>
      <c r="AR433" t="n">
        <v>0</v>
      </c>
      <c r="AS433" t="inlineStr"/>
      <c r="AT433" t="n">
        <v>0.02</v>
      </c>
      <c r="AU433" t="inlineStr">
        <is>
          <t>)*9</t>
        </is>
      </c>
      <c r="AV433" t="n">
        <v>0</v>
      </c>
      <c r="AW433" t="n">
        <v>2</v>
      </c>
      <c r="AX433" t="n">
        <v>78871370</v>
      </c>
      <c r="AY433" t="n">
        <v>1</v>
      </c>
      <c r="AZ433" t="n">
        <v>0</v>
      </c>
      <c r="BA433" t="n">
        <v>397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ROUND(Y433*Source!I755,7)</f>
        <v/>
      </c>
      <c r="CY433">
        <f>AA433</f>
        <v/>
      </c>
      <c r="CZ433">
        <f>AE433</f>
        <v/>
      </c>
      <c r="DA433">
        <f>AI433</f>
        <v/>
      </c>
      <c r="DB433">
        <f>ROUND((ROUND(AT433*CZ433,2)*ROUND(9,7)),2)</f>
        <v/>
      </c>
      <c r="DC433">
        <f>ROUND((ROUND(AT433*AG433,2)*ROUND(9,7)),2)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ROW(Source!A755)</f>
        <v/>
      </c>
      <c r="B434" t="n">
        <v>78869116</v>
      </c>
      <c r="C434" t="n">
        <v>78871359</v>
      </c>
      <c r="D434" t="n">
        <v>29150040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411-0001</t>
        </is>
      </c>
      <c r="J434" t="inlineStr">
        <is>
          <t>ТССЦ Московской обл., 411-0001, приказ Минстроя России №675/пр от 28.02.2017 № 257/пр</t>
        </is>
      </c>
      <c r="K434" t="inlineStr">
        <is>
          <t>Вода</t>
        </is>
      </c>
      <c r="L434" t="n">
        <v>1339</v>
      </c>
      <c r="N434" t="n">
        <v>1007</v>
      </c>
      <c r="O434" t="inlineStr">
        <is>
          <t>м3</t>
        </is>
      </c>
      <c r="P434" t="inlineStr">
        <is>
          <t>м3</t>
        </is>
      </c>
      <c r="Q434" t="n">
        <v>1</v>
      </c>
      <c r="W434" t="n">
        <v>0</v>
      </c>
      <c r="X434" t="n">
        <v>619799737</v>
      </c>
      <c r="Y434">
        <f>(AT434*ROUND(9,7))</f>
        <v/>
      </c>
      <c r="AA434" t="n">
        <v>31.28</v>
      </c>
      <c r="AB434" t="n">
        <v>0</v>
      </c>
      <c r="AC434" t="n">
        <v>0</v>
      </c>
      <c r="AD434" t="n">
        <v>0</v>
      </c>
      <c r="AE434" t="n">
        <v>2.44</v>
      </c>
      <c r="AF434" t="n">
        <v>0</v>
      </c>
      <c r="AG434" t="n">
        <v>0</v>
      </c>
      <c r="AH434" t="n">
        <v>0</v>
      </c>
      <c r="AI434" t="n">
        <v>12.82</v>
      </c>
      <c r="AJ434" t="n">
        <v>1</v>
      </c>
      <c r="AK434" t="n">
        <v>1</v>
      </c>
      <c r="AL434" t="n">
        <v>1</v>
      </c>
      <c r="AM434" t="n">
        <v>2</v>
      </c>
      <c r="AN434" t="n">
        <v>0</v>
      </c>
      <c r="AO434" t="n">
        <v>1</v>
      </c>
      <c r="AP434" t="n">
        <v>1</v>
      </c>
      <c r="AQ434" t="n">
        <v>0</v>
      </c>
      <c r="AR434" t="n">
        <v>0</v>
      </c>
      <c r="AS434" t="inlineStr"/>
      <c r="AT434" t="n">
        <v>1</v>
      </c>
      <c r="AU434" t="inlineStr">
        <is>
          <t>)*9</t>
        </is>
      </c>
      <c r="AV434" t="n">
        <v>0</v>
      </c>
      <c r="AW434" t="n">
        <v>2</v>
      </c>
      <c r="AX434" t="n">
        <v>78871371</v>
      </c>
      <c r="AY434" t="n">
        <v>1</v>
      </c>
      <c r="AZ434" t="n">
        <v>0</v>
      </c>
      <c r="BA434" t="n">
        <v>398</v>
      </c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ROUND(Y434*Source!I755,7)</f>
        <v/>
      </c>
      <c r="CY434">
        <f>AA434</f>
        <v/>
      </c>
      <c r="CZ434">
        <f>AE434</f>
        <v/>
      </c>
      <c r="DA434">
        <f>AI434</f>
        <v/>
      </c>
      <c r="DB434">
        <f>ROUND((ROUND(AT434*CZ434,2)*ROUND(9,7)),2)</f>
        <v/>
      </c>
      <c r="DC434">
        <f>ROUND((ROUND(AT434*AG434,2)*ROUND(9,7)),2)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ROW(Source!A756)</f>
        <v/>
      </c>
      <c r="B435" t="n">
        <v>78869116</v>
      </c>
      <c r="C435" t="n">
        <v>78871372</v>
      </c>
      <c r="D435" t="n">
        <v>18409850</v>
      </c>
      <c r="E435" t="n">
        <v>1</v>
      </c>
      <c r="F435" t="n">
        <v>1</v>
      </c>
      <c r="G435" t="n">
        <v>1</v>
      </c>
      <c r="H435" t="n">
        <v>1</v>
      </c>
      <c r="I435" t="inlineStr">
        <is>
          <t>1-1035-90</t>
        </is>
      </c>
      <c r="J435" t="inlineStr"/>
      <c r="K435" t="inlineStr">
        <is>
          <t>Рабочий строитель среднего разряда 3,5</t>
        </is>
      </c>
      <c r="L435" t="n">
        <v>1369</v>
      </c>
      <c r="N435" t="n">
        <v>1013</v>
      </c>
      <c r="O435" t="inlineStr">
        <is>
          <t>чел.-ч</t>
        </is>
      </c>
      <c r="P435" t="inlineStr">
        <is>
          <t>чел.-ч</t>
        </is>
      </c>
      <c r="Q435" t="n">
        <v>1</v>
      </c>
      <c r="W435" t="n">
        <v>0</v>
      </c>
      <c r="X435" t="n">
        <v>855544366</v>
      </c>
      <c r="Y435">
        <f>AT435</f>
        <v/>
      </c>
      <c r="AA435" t="n">
        <v>0</v>
      </c>
      <c r="AB435" t="n">
        <v>0</v>
      </c>
      <c r="AC435" t="n">
        <v>0</v>
      </c>
      <c r="AD435" t="n">
        <v>9.07</v>
      </c>
      <c r="AE435" t="n">
        <v>0</v>
      </c>
      <c r="AF435" t="n">
        <v>0</v>
      </c>
      <c r="AG435" t="n">
        <v>0</v>
      </c>
      <c r="AH435" t="n">
        <v>9.07</v>
      </c>
      <c r="AI435" t="n">
        <v>1</v>
      </c>
      <c r="AJ435" t="n">
        <v>1</v>
      </c>
      <c r="AK435" t="n">
        <v>1</v>
      </c>
      <c r="AL435" t="n">
        <v>1</v>
      </c>
      <c r="AM435" t="n">
        <v>-2</v>
      </c>
      <c r="AN435" t="n">
        <v>0</v>
      </c>
      <c r="AO435" t="n">
        <v>1</v>
      </c>
      <c r="AP435" t="n">
        <v>1</v>
      </c>
      <c r="AQ435" t="n">
        <v>0</v>
      </c>
      <c r="AR435" t="n">
        <v>0</v>
      </c>
      <c r="AS435" t="inlineStr"/>
      <c r="AT435" t="n">
        <v>81</v>
      </c>
      <c r="AU435" t="inlineStr"/>
      <c r="AV435" t="n">
        <v>1</v>
      </c>
      <c r="AW435" t="n">
        <v>2</v>
      </c>
      <c r="AX435" t="n">
        <v>78871373</v>
      </c>
      <c r="AY435" t="n">
        <v>1</v>
      </c>
      <c r="AZ435" t="n">
        <v>0</v>
      </c>
      <c r="BA435" t="n">
        <v>399</v>
      </c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U435">
        <f>ROUND(AT435*Source!I756*AH435*AL435,0)</f>
        <v/>
      </c>
      <c r="CV435">
        <f>ROUND(Y435*Source!I756,7)</f>
        <v/>
      </c>
      <c r="CW435" t="n">
        <v>0</v>
      </c>
      <c r="CX435">
        <f>ROUND(Y435*Source!I756,7)</f>
        <v/>
      </c>
      <c r="CY435">
        <f>AD435</f>
        <v/>
      </c>
      <c r="CZ435">
        <f>AH435</f>
        <v/>
      </c>
      <c r="DA435">
        <f>AL435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DI435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ROW(Source!A756)</f>
        <v/>
      </c>
      <c r="B436" t="n">
        <v>78869116</v>
      </c>
      <c r="C436" t="n">
        <v>78871372</v>
      </c>
      <c r="D436" t="n">
        <v>29174913</v>
      </c>
      <c r="E436" t="n">
        <v>1</v>
      </c>
      <c r="F436" t="n">
        <v>1</v>
      </c>
      <c r="G436" t="n">
        <v>1</v>
      </c>
      <c r="H436" t="n">
        <v>2</v>
      </c>
      <c r="I436" t="inlineStr">
        <is>
          <t>400001</t>
        </is>
      </c>
      <c r="J436" t="inlineStr">
        <is>
          <t>ТСЭМ Московской обл., 400001, приказ Минстроя России №675/пр от 28.02.2017 № 264/пр</t>
        </is>
      </c>
      <c r="K436" t="inlineStr">
        <is>
          <t>Автомобили бортовые, грузоподъемность до 5 т</t>
        </is>
      </c>
      <c r="L436" t="n">
        <v>1368</v>
      </c>
      <c r="N436" t="n">
        <v>1011</v>
      </c>
      <c r="O436" t="inlineStr">
        <is>
          <t>маш.-ч</t>
        </is>
      </c>
      <c r="P436" t="inlineStr">
        <is>
          <t>маш.-ч</t>
        </is>
      </c>
      <c r="Q436" t="n">
        <v>1</v>
      </c>
      <c r="W436" t="n">
        <v>0</v>
      </c>
      <c r="X436" t="n">
        <v>1230759911</v>
      </c>
      <c r="Y436">
        <f>AT436</f>
        <v/>
      </c>
      <c r="AA436" t="n">
        <v>0</v>
      </c>
      <c r="AB436" t="n">
        <v>2177.51</v>
      </c>
      <c r="AC436" t="n">
        <v>606.1</v>
      </c>
      <c r="AD436" t="n">
        <v>0</v>
      </c>
      <c r="AE436" t="n">
        <v>0</v>
      </c>
      <c r="AF436" t="n">
        <v>87.17</v>
      </c>
      <c r="AG436" t="n">
        <v>11.6</v>
      </c>
      <c r="AH436" t="n">
        <v>0</v>
      </c>
      <c r="AI436" t="n">
        <v>1</v>
      </c>
      <c r="AJ436" t="n">
        <v>24.98</v>
      </c>
      <c r="AK436" t="n">
        <v>52.25</v>
      </c>
      <c r="AL436" t="n">
        <v>1</v>
      </c>
      <c r="AM436" t="n">
        <v>2</v>
      </c>
      <c r="AN436" t="n">
        <v>0</v>
      </c>
      <c r="AO436" t="n">
        <v>1</v>
      </c>
      <c r="AP436" t="n">
        <v>1</v>
      </c>
      <c r="AQ436" t="n">
        <v>0</v>
      </c>
      <c r="AR436" t="n">
        <v>0</v>
      </c>
      <c r="AS436" t="inlineStr"/>
      <c r="AT436" t="n">
        <v>0.05</v>
      </c>
      <c r="AU436" t="inlineStr"/>
      <c r="AV436" t="n">
        <v>0</v>
      </c>
      <c r="AW436" t="n">
        <v>2</v>
      </c>
      <c r="AX436" t="n">
        <v>78871374</v>
      </c>
      <c r="AY436" t="n">
        <v>1</v>
      </c>
      <c r="AZ436" t="n">
        <v>0</v>
      </c>
      <c r="BA436" t="n">
        <v>400</v>
      </c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>
        <f>ROUND(Y436*Source!I756*DO436,7)</f>
        <v/>
      </c>
      <c r="CX436">
        <f>ROUND(Y436*Source!I756,7)</f>
        <v/>
      </c>
      <c r="CY436">
        <f>AB436</f>
        <v/>
      </c>
      <c r="CZ436">
        <f>AF436</f>
        <v/>
      </c>
      <c r="DA436">
        <f>AJ436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ROUND(ROUND(AE436,0)*CX436,0)</f>
        <v/>
      </c>
      <c r="DG436">
        <f>ROUND(ROUND(AF436*AJ436,0)*CX436,0)</f>
        <v/>
      </c>
      <c r="DH436">
        <f>ROUND(ROUND(AG436*AK436,0)*CX436,0)</f>
        <v/>
      </c>
      <c r="DI436">
        <f>ROUND(ROUND(AH436,0)*CX436,0)</f>
        <v/>
      </c>
      <c r="DJ436">
        <f>DG436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ROW(Source!A756)</f>
        <v/>
      </c>
      <c r="B437" t="n">
        <v>78869116</v>
      </c>
      <c r="C437" t="n">
        <v>78871372</v>
      </c>
      <c r="D437" t="n">
        <v>29110398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101-0388</t>
        </is>
      </c>
      <c r="J437" t="inlineStr">
        <is>
          <t>ТССЦ Московской обл., 101-0388, приказ Минстроя России №675/пр от 28.02.2017 № 254/пр</t>
        </is>
      </c>
      <c r="K437" t="inlineStr">
        <is>
          <t>Краски масляные земляные марки МА-0115 мумия, сурик железный</t>
        </is>
      </c>
      <c r="L437" t="n">
        <v>1348</v>
      </c>
      <c r="N437" t="n">
        <v>1009</v>
      </c>
      <c r="O437" t="inlineStr">
        <is>
          <t>т</t>
        </is>
      </c>
      <c r="P437" t="inlineStr">
        <is>
          <t>т</t>
        </is>
      </c>
      <c r="Q437" t="n">
        <v>1000</v>
      </c>
      <c r="W437" t="n">
        <v>0</v>
      </c>
      <c r="X437" t="n">
        <v>1625292450</v>
      </c>
      <c r="Y437">
        <f>AT437</f>
        <v/>
      </c>
      <c r="AA437" t="n">
        <v>76804.47</v>
      </c>
      <c r="AB437" t="n">
        <v>0</v>
      </c>
      <c r="AC437" t="n">
        <v>0</v>
      </c>
      <c r="AD437" t="n">
        <v>0</v>
      </c>
      <c r="AE437" t="n">
        <v>15118.99</v>
      </c>
      <c r="AF437" t="n">
        <v>0</v>
      </c>
      <c r="AG437" t="n">
        <v>0</v>
      </c>
      <c r="AH437" t="n">
        <v>0</v>
      </c>
      <c r="AI437" t="n">
        <v>5.08</v>
      </c>
      <c r="AJ437" t="n">
        <v>1</v>
      </c>
      <c r="AK437" t="n">
        <v>1</v>
      </c>
      <c r="AL437" t="n">
        <v>1</v>
      </c>
      <c r="AM437" t="n">
        <v>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0.0014</v>
      </c>
      <c r="AU437" t="inlineStr"/>
      <c r="AV437" t="n">
        <v>0</v>
      </c>
      <c r="AW437" t="n">
        <v>2</v>
      </c>
      <c r="AX437" t="n">
        <v>78871375</v>
      </c>
      <c r="AY437" t="n">
        <v>1</v>
      </c>
      <c r="AZ437" t="n">
        <v>0</v>
      </c>
      <c r="BA437" t="n">
        <v>401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V437" t="n">
        <v>0</v>
      </c>
      <c r="CW437" t="n">
        <v>0</v>
      </c>
      <c r="CX437">
        <f>ROUND(Y437*Source!I756,7)</f>
        <v/>
      </c>
      <c r="CY437">
        <f>AA437</f>
        <v/>
      </c>
      <c r="CZ437">
        <f>AE437</f>
        <v/>
      </c>
      <c r="DA437">
        <f>AI437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ROUND(ROUND(AE437*AI437,0)*CX437,0)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DF437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ROW(Source!A756)</f>
        <v/>
      </c>
      <c r="B438" t="n">
        <v>78869116</v>
      </c>
      <c r="C438" t="n">
        <v>78871372</v>
      </c>
      <c r="D438" t="n">
        <v>29110573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101-0628</t>
        </is>
      </c>
      <c r="J438" t="inlineStr">
        <is>
          <t>ТССЦ Московской обл., 101-0628, приказ Минстроя России №675/пр от 28.02.2017 № 254/пр</t>
        </is>
      </c>
      <c r="K438" t="inlineStr">
        <is>
          <t>Олифа комбинированная, марки К-3</t>
        </is>
      </c>
      <c r="L438" t="n">
        <v>1348</v>
      </c>
      <c r="N438" t="n">
        <v>1009</v>
      </c>
      <c r="O438" t="inlineStr">
        <is>
          <t>т</t>
        </is>
      </c>
      <c r="P438" t="inlineStr">
        <is>
          <t>т</t>
        </is>
      </c>
      <c r="Q438" t="n">
        <v>1000</v>
      </c>
      <c r="W438" t="n">
        <v>0</v>
      </c>
      <c r="X438" t="n">
        <v>24062879</v>
      </c>
      <c r="Y438">
        <f>AT438</f>
        <v/>
      </c>
      <c r="AA438" t="n">
        <v>87631.5</v>
      </c>
      <c r="AB438" t="n">
        <v>0</v>
      </c>
      <c r="AC438" t="n">
        <v>0</v>
      </c>
      <c r="AD438" t="n">
        <v>0</v>
      </c>
      <c r="AE438" t="n">
        <v>16950</v>
      </c>
      <c r="AF438" t="n">
        <v>0</v>
      </c>
      <c r="AG438" t="n">
        <v>0</v>
      </c>
      <c r="AH438" t="n">
        <v>0</v>
      </c>
      <c r="AI438" t="n">
        <v>5.17</v>
      </c>
      <c r="AJ438" t="n">
        <v>1</v>
      </c>
      <c r="AK438" t="n">
        <v>1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0.0007</v>
      </c>
      <c r="AU438" t="inlineStr"/>
      <c r="AV438" t="n">
        <v>0</v>
      </c>
      <c r="AW438" t="n">
        <v>2</v>
      </c>
      <c r="AX438" t="n">
        <v>78871376</v>
      </c>
      <c r="AY438" t="n">
        <v>1</v>
      </c>
      <c r="AZ438" t="n">
        <v>0</v>
      </c>
      <c r="BA438" t="n">
        <v>402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 t="n">
        <v>0</v>
      </c>
      <c r="CX438">
        <f>ROUND(Y438*Source!I756,7)</f>
        <v/>
      </c>
      <c r="CY438">
        <f>AA438</f>
        <v/>
      </c>
      <c r="CZ438">
        <f>AE438</f>
        <v/>
      </c>
      <c r="DA438">
        <f>AI438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ROUND(ROUND(AE438*AI438,0)*CX438,0)</f>
        <v/>
      </c>
      <c r="DG438">
        <f>ROUND(ROUND(AF438,0)*CX438,0)</f>
        <v/>
      </c>
      <c r="DH438">
        <f>ROUND(ROUND(AG438,0)*CX438,0)</f>
        <v/>
      </c>
      <c r="DI438">
        <f>ROUND(ROUND(AH438,0)*CX438,0)</f>
        <v/>
      </c>
      <c r="DJ438">
        <f>DF438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ROW(Source!A756)</f>
        <v/>
      </c>
      <c r="B439" t="n">
        <v>78869116</v>
      </c>
      <c r="C439" t="n">
        <v>78871372</v>
      </c>
      <c r="D439" t="n">
        <v>29107963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101-1669</t>
        </is>
      </c>
      <c r="J439" t="inlineStr">
        <is>
          <t>ТССЦ Московской обл., 101-1669, приказ Минстроя России №675/пр от 28.02.2017 № 254/пр</t>
        </is>
      </c>
      <c r="K439" t="inlineStr">
        <is>
          <t>Очес льняной</t>
        </is>
      </c>
      <c r="L439" t="n">
        <v>1346</v>
      </c>
      <c r="N439" t="n">
        <v>1009</v>
      </c>
      <c r="O439" t="inlineStr">
        <is>
          <t>кг</t>
        </is>
      </c>
      <c r="P439" t="inlineStr">
        <is>
          <t>кг</t>
        </is>
      </c>
      <c r="Q439" t="n">
        <v>1</v>
      </c>
      <c r="W439" t="n">
        <v>0</v>
      </c>
      <c r="X439" t="n">
        <v>-2113933962</v>
      </c>
      <c r="Y439">
        <f>AT439</f>
        <v/>
      </c>
      <c r="AA439" t="n">
        <v>590.67</v>
      </c>
      <c r="AB439" t="n">
        <v>0</v>
      </c>
      <c r="AC439" t="n">
        <v>0</v>
      </c>
      <c r="AD439" t="n">
        <v>0</v>
      </c>
      <c r="AE439" t="n">
        <v>37.29</v>
      </c>
      <c r="AF439" t="n">
        <v>0</v>
      </c>
      <c r="AG439" t="n">
        <v>0</v>
      </c>
      <c r="AH439" t="n">
        <v>0</v>
      </c>
      <c r="AI439" t="n">
        <v>15.84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0.7</v>
      </c>
      <c r="AU439" t="inlineStr"/>
      <c r="AV439" t="n">
        <v>0</v>
      </c>
      <c r="AW439" t="n">
        <v>2</v>
      </c>
      <c r="AX439" t="n">
        <v>78871377</v>
      </c>
      <c r="AY439" t="n">
        <v>1</v>
      </c>
      <c r="AZ439" t="n">
        <v>0</v>
      </c>
      <c r="BA439" t="n">
        <v>403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ROUND(Y439*Source!I756,7)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ROW(Source!A756)</f>
        <v/>
      </c>
      <c r="B440" t="n">
        <v>78869116</v>
      </c>
      <c r="C440" t="n">
        <v>78871372</v>
      </c>
      <c r="D440" t="n">
        <v>29143380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302-0064</t>
        </is>
      </c>
      <c r="J440" t="inlineStr">
        <is>
          <t>ТССЦ Московской обл., 302-0064, приказ Минстроя России №675/пр от 28.02.2017 № 256/пр</t>
        </is>
      </c>
      <c r="K440" t="inlineStr">
        <is>
          <t>Кран шаровый 1/2</t>
        </is>
      </c>
      <c r="L440" t="n">
        <v>1354</v>
      </c>
      <c r="N440" t="n">
        <v>1010</v>
      </c>
      <c r="O440" t="inlineStr">
        <is>
          <t>шт.</t>
        </is>
      </c>
      <c r="P440" t="inlineStr">
        <is>
          <t>шт.</t>
        </is>
      </c>
      <c r="Q440" t="n">
        <v>1</v>
      </c>
      <c r="W440" t="n">
        <v>0</v>
      </c>
      <c r="X440" t="n">
        <v>-127342135</v>
      </c>
      <c r="Y440">
        <f>AT440</f>
        <v/>
      </c>
      <c r="AA440" t="n">
        <v>949.99</v>
      </c>
      <c r="AB440" t="n">
        <v>0</v>
      </c>
      <c r="AC440" t="n">
        <v>0</v>
      </c>
      <c r="AD440" t="n">
        <v>0</v>
      </c>
      <c r="AE440" t="n">
        <v>67.09</v>
      </c>
      <c r="AF440" t="n">
        <v>0</v>
      </c>
      <c r="AG440" t="n">
        <v>0</v>
      </c>
      <c r="AH440" t="n">
        <v>0</v>
      </c>
      <c r="AI440" t="n">
        <v>14.16</v>
      </c>
      <c r="AJ440" t="n">
        <v>1</v>
      </c>
      <c r="AK440" t="n">
        <v>1</v>
      </c>
      <c r="AL440" t="n">
        <v>1</v>
      </c>
      <c r="AM440" t="n">
        <v>0</v>
      </c>
      <c r="AN440" t="n">
        <v>0</v>
      </c>
      <c r="AO440" t="n">
        <v>0</v>
      </c>
      <c r="AP440" t="n">
        <v>1</v>
      </c>
      <c r="AQ440" t="n">
        <v>0</v>
      </c>
      <c r="AR440" t="n">
        <v>0</v>
      </c>
      <c r="AS440" t="inlineStr"/>
      <c r="AT440" t="n">
        <v>100</v>
      </c>
      <c r="AU440" t="inlineStr"/>
      <c r="AV440" t="n">
        <v>0</v>
      </c>
      <c r="AW440" t="n">
        <v>1</v>
      </c>
      <c r="AX440" t="n">
        <v>-1</v>
      </c>
      <c r="AY440" t="n">
        <v>0</v>
      </c>
      <c r="AZ440" t="n">
        <v>0</v>
      </c>
      <c r="BA440" t="inlineStr"/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ROUND(Y440*Source!I756,7)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ROW(Source!A756)</f>
        <v/>
      </c>
      <c r="B441" t="n">
        <v>78869116</v>
      </c>
      <c r="C441" t="n">
        <v>78871372</v>
      </c>
      <c r="D441" t="n">
        <v>29142465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302-1342</t>
        </is>
      </c>
      <c r="J441" t="inlineStr">
        <is>
          <t>ТССЦ Московской обл., 302-1342, приказ Минстроя России №675/пр от 28.02.2017 № 256/пр</t>
        </is>
      </c>
      <c r="K441" t="inlineStr">
        <is>
          <t>Вентили проходные муфтовые 15кч18п для воды давлением 1,6 МПа (16 кгс/см2), диаметром 20 мм</t>
        </is>
      </c>
      <c r="L441" t="n">
        <v>1354</v>
      </c>
      <c r="N441" t="n">
        <v>1010</v>
      </c>
      <c r="O441" t="inlineStr">
        <is>
          <t>шт.</t>
        </is>
      </c>
      <c r="P441" t="inlineStr">
        <is>
          <t>шт.</t>
        </is>
      </c>
      <c r="Q441" t="n">
        <v>1</v>
      </c>
      <c r="W441" t="n">
        <v>0</v>
      </c>
      <c r="X441" t="n">
        <v>-852705161</v>
      </c>
      <c r="Y441">
        <f>AT441</f>
        <v/>
      </c>
      <c r="AA441" t="n">
        <v>221.81</v>
      </c>
      <c r="AB441" t="n">
        <v>0</v>
      </c>
      <c r="AC441" t="n">
        <v>0</v>
      </c>
      <c r="AD441" t="n">
        <v>0</v>
      </c>
      <c r="AE441" t="n">
        <v>21.81</v>
      </c>
      <c r="AF441" t="n">
        <v>0</v>
      </c>
      <c r="AG441" t="n">
        <v>0</v>
      </c>
      <c r="AH441" t="n">
        <v>0</v>
      </c>
      <c r="AI441" t="n">
        <v>10.17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100</v>
      </c>
      <c r="AU441" t="inlineStr"/>
      <c r="AV441" t="n">
        <v>0</v>
      </c>
      <c r="AW441" t="n">
        <v>2</v>
      </c>
      <c r="AX441" t="n">
        <v>78871378</v>
      </c>
      <c r="AY441" t="n">
        <v>1</v>
      </c>
      <c r="AZ441" t="n">
        <v>0</v>
      </c>
      <c r="BA441" t="n">
        <v>404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ROUND(Y441*Source!I756,7)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ROW(Source!A756)</f>
        <v/>
      </c>
      <c r="B442" t="n">
        <v>78869116</v>
      </c>
      <c r="C442" t="n">
        <v>78871372</v>
      </c>
      <c r="D442" t="n">
        <v>29164350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509-9899</t>
        </is>
      </c>
      <c r="J442" t="inlineStr">
        <is>
          <t>ТССЦ Московской обл., 509-9899, приказ Минстроя России №675/пр от 28.02.2017 № 258/пр</t>
        </is>
      </c>
      <c r="K442" t="inlineStr">
        <is>
          <t>Строительный мусор и масса возвратных материалов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W442" t="n">
        <v>0</v>
      </c>
      <c r="X442" t="n">
        <v>1839160745</v>
      </c>
      <c r="Y442">
        <f>AT442</f>
        <v/>
      </c>
      <c r="AA442" t="n">
        <v>0</v>
      </c>
      <c r="AB442" t="n">
        <v>0</v>
      </c>
      <c r="AC442" t="n">
        <v>0</v>
      </c>
      <c r="AD442" t="n">
        <v>0</v>
      </c>
      <c r="AE442" t="n">
        <v>0</v>
      </c>
      <c r="AF442" t="n">
        <v>0</v>
      </c>
      <c r="AG442" t="n">
        <v>0</v>
      </c>
      <c r="AH442" t="n">
        <v>0</v>
      </c>
      <c r="AI442" t="n">
        <v>1</v>
      </c>
      <c r="AJ442" t="n">
        <v>1</v>
      </c>
      <c r="AK442" t="n">
        <v>1</v>
      </c>
      <c r="AL442" t="n">
        <v>1</v>
      </c>
      <c r="AM442" t="n">
        <v>0</v>
      </c>
      <c r="AN442" t="n">
        <v>0</v>
      </c>
      <c r="AO442" t="n">
        <v>0</v>
      </c>
      <c r="AP442" t="n">
        <v>1</v>
      </c>
      <c r="AQ442" t="n">
        <v>0</v>
      </c>
      <c r="AR442" t="n">
        <v>0</v>
      </c>
      <c r="AS442" t="inlineStr"/>
      <c r="AT442" t="n">
        <v>0.04</v>
      </c>
      <c r="AU442" t="inlineStr"/>
      <c r="AV442" t="n">
        <v>0</v>
      </c>
      <c r="AW442" t="n">
        <v>2</v>
      </c>
      <c r="AX442" t="n">
        <v>78871379</v>
      </c>
      <c r="AY442" t="n">
        <v>1</v>
      </c>
      <c r="AZ442" t="n">
        <v>0</v>
      </c>
      <c r="BA442" t="n">
        <v>405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ROUND(Y442*Source!I756,7)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ROW(Source!A797)</f>
        <v/>
      </c>
      <c r="B443" t="n">
        <v>78869116</v>
      </c>
      <c r="C443" t="n">
        <v>78871481</v>
      </c>
      <c r="D443" t="n">
        <v>18407150</v>
      </c>
      <c r="E443" t="n">
        <v>1</v>
      </c>
      <c r="F443" t="n">
        <v>1</v>
      </c>
      <c r="G443" t="n">
        <v>1</v>
      </c>
      <c r="H443" t="n">
        <v>1</v>
      </c>
      <c r="I443" t="inlineStr">
        <is>
          <t>1-1030-90</t>
        </is>
      </c>
      <c r="J443" t="inlineStr"/>
      <c r="K443" t="inlineStr">
        <is>
          <t>Рабочий строитель среднего разряда 3</t>
        </is>
      </c>
      <c r="L443" t="n">
        <v>1369</v>
      </c>
      <c r="N443" t="n">
        <v>1013</v>
      </c>
      <c r="O443" t="inlineStr">
        <is>
          <t>чел.-ч</t>
        </is>
      </c>
      <c r="P443" t="inlineStr">
        <is>
          <t>чел.-ч</t>
        </is>
      </c>
      <c r="Q443" t="n">
        <v>1</v>
      </c>
      <c r="W443" t="n">
        <v>0</v>
      </c>
      <c r="X443" t="n">
        <v>-931037793</v>
      </c>
      <c r="Y443">
        <f>AT443</f>
        <v/>
      </c>
      <c r="AA443" t="n">
        <v>0</v>
      </c>
      <c r="AB443" t="n">
        <v>0</v>
      </c>
      <c r="AC443" t="n">
        <v>0</v>
      </c>
      <c r="AD443" t="n">
        <v>8.529999999999999</v>
      </c>
      <c r="AE443" t="n">
        <v>0</v>
      </c>
      <c r="AF443" t="n">
        <v>0</v>
      </c>
      <c r="AG443" t="n">
        <v>0</v>
      </c>
      <c r="AH443" t="n">
        <v>8.529999999999999</v>
      </c>
      <c r="AI443" t="n">
        <v>1</v>
      </c>
      <c r="AJ443" t="n">
        <v>1</v>
      </c>
      <c r="AK443" t="n">
        <v>1</v>
      </c>
      <c r="AL443" t="n">
        <v>1</v>
      </c>
      <c r="AM443" t="n">
        <v>-2</v>
      </c>
      <c r="AN443" t="n">
        <v>0</v>
      </c>
      <c r="AO443" t="n">
        <v>1</v>
      </c>
      <c r="AP443" t="n">
        <v>0</v>
      </c>
      <c r="AQ443" t="n">
        <v>0</v>
      </c>
      <c r="AR443" t="n">
        <v>0</v>
      </c>
      <c r="AS443" t="inlineStr"/>
      <c r="AT443" t="n">
        <v>13.9</v>
      </c>
      <c r="AU443" t="inlineStr"/>
      <c r="AV443" t="n">
        <v>1</v>
      </c>
      <c r="AW443" t="n">
        <v>2</v>
      </c>
      <c r="AX443" t="n">
        <v>78871485</v>
      </c>
      <c r="AY443" t="n">
        <v>1</v>
      </c>
      <c r="AZ443" t="n">
        <v>0</v>
      </c>
      <c r="BA443" t="n">
        <v>406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U443">
        <f>ROUND(AT443*Source!I797*AH443*AL443,0)</f>
        <v/>
      </c>
      <c r="CV443">
        <f>ROUND(Y443*Source!I797,7)</f>
        <v/>
      </c>
      <c r="CW443" t="n">
        <v>0</v>
      </c>
      <c r="CX443">
        <f>ROUND(Y443*Source!I797,7)</f>
        <v/>
      </c>
      <c r="CY443">
        <f>AD443</f>
        <v/>
      </c>
      <c r="CZ443">
        <f>AH443</f>
        <v/>
      </c>
      <c r="DA443">
        <f>AL443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DI443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ROW(Source!A797)</f>
        <v/>
      </c>
      <c r="B444" t="n">
        <v>78869116</v>
      </c>
      <c r="C444" t="n">
        <v>78871481</v>
      </c>
      <c r="D444" t="n">
        <v>29169821</v>
      </c>
      <c r="E444" t="n">
        <v>1</v>
      </c>
      <c r="F444" t="n">
        <v>1</v>
      </c>
      <c r="G444" t="n">
        <v>1</v>
      </c>
      <c r="H444" t="n">
        <v>3</v>
      </c>
      <c r="I444" t="inlineStr">
        <is>
          <t>509-0696</t>
        </is>
      </c>
      <c r="J444" t="inlineStr">
        <is>
          <t>ТССЦ Московской обл., 509-0696, приказ Минстроя России №675/пр от 28.02.2017 № 258/пр</t>
        </is>
      </c>
      <c r="K444" t="inlineStr">
        <is>
          <t>Лампы люминесцентные ртутные низкого давления типа ЛБ, ЛД, ЛДЦ, ЛТВ, ЛБХ 20</t>
        </is>
      </c>
      <c r="L444" t="n">
        <v>1358</v>
      </c>
      <c r="N444" t="n">
        <v>1010</v>
      </c>
      <c r="O444" t="inlineStr">
        <is>
          <t>10 шт.</t>
        </is>
      </c>
      <c r="P444" t="inlineStr">
        <is>
          <t>10 шт.</t>
        </is>
      </c>
      <c r="Q444" t="n">
        <v>10</v>
      </c>
      <c r="W444" t="n">
        <v>0</v>
      </c>
      <c r="X444" t="n">
        <v>-1187244712</v>
      </c>
      <c r="Y444">
        <f>AT444</f>
        <v/>
      </c>
      <c r="AA444" t="n">
        <v>352.73</v>
      </c>
      <c r="AB444" t="n">
        <v>0</v>
      </c>
      <c r="AC444" t="n">
        <v>0</v>
      </c>
      <c r="AD444" t="n">
        <v>0</v>
      </c>
      <c r="AE444" t="n">
        <v>85.2</v>
      </c>
      <c r="AF444" t="n">
        <v>0</v>
      </c>
      <c r="AG444" t="n">
        <v>0</v>
      </c>
      <c r="AH444" t="n">
        <v>0</v>
      </c>
      <c r="AI444" t="n">
        <v>4.14</v>
      </c>
      <c r="AJ444" t="n">
        <v>1</v>
      </c>
      <c r="AK444" t="n">
        <v>1</v>
      </c>
      <c r="AL444" t="n">
        <v>1</v>
      </c>
      <c r="AM444" t="n">
        <v>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10</v>
      </c>
      <c r="AU444" t="inlineStr"/>
      <c r="AV444" t="n">
        <v>0</v>
      </c>
      <c r="AW444" t="n">
        <v>2</v>
      </c>
      <c r="AX444" t="n">
        <v>78871486</v>
      </c>
      <c r="AY444" t="n">
        <v>1</v>
      </c>
      <c r="AZ444" t="n">
        <v>0</v>
      </c>
      <c r="BA444" t="n">
        <v>407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V444" t="n">
        <v>0</v>
      </c>
      <c r="CW444" t="n">
        <v>0</v>
      </c>
      <c r="CX444">
        <f>ROUND(Y444*Source!I797,7)</f>
        <v/>
      </c>
      <c r="CY444">
        <f>AA444</f>
        <v/>
      </c>
      <c r="CZ444">
        <f>AE444</f>
        <v/>
      </c>
      <c r="DA444">
        <f>AI444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ROUND(ROUND(AE444*AI444,0)*CX444,0)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DF444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ROW(Source!A797)</f>
        <v/>
      </c>
      <c r="B445" t="n">
        <v>78869116</v>
      </c>
      <c r="C445" t="n">
        <v>78871481</v>
      </c>
      <c r="D445" t="n">
        <v>29169828</v>
      </c>
      <c r="E445" t="n">
        <v>1</v>
      </c>
      <c r="F445" t="n">
        <v>1</v>
      </c>
      <c r="G445" t="n">
        <v>1</v>
      </c>
      <c r="H445" t="n">
        <v>3</v>
      </c>
      <c r="I445" t="inlineStr">
        <is>
          <t>509-6744</t>
        </is>
      </c>
      <c r="J445" t="inlineStr">
        <is>
          <t>ТССЦ Московской обл., 509-6744, приказ Минстроя России №675/пр от 28.02.2017 № 258/пр</t>
        </is>
      </c>
      <c r="K445" t="inlineStr">
        <is>
          <t>Лампы люминесцентные компактные энергосберегающие с цоколем Е27 мощностью 55 Вт</t>
        </is>
      </c>
      <c r="L445" t="n">
        <v>1354</v>
      </c>
      <c r="N445" t="n">
        <v>1010</v>
      </c>
      <c r="O445" t="inlineStr">
        <is>
          <t>шт.</t>
        </is>
      </c>
      <c r="P445" t="inlineStr">
        <is>
          <t>шт.</t>
        </is>
      </c>
      <c r="Q445" t="n">
        <v>1</v>
      </c>
      <c r="W445" t="n">
        <v>0</v>
      </c>
      <c r="X445" t="n">
        <v>-228955380</v>
      </c>
      <c r="Y445">
        <f>AT445</f>
        <v/>
      </c>
      <c r="AA445" t="n">
        <v>237.77</v>
      </c>
      <c r="AB445" t="n">
        <v>0</v>
      </c>
      <c r="AC445" t="n">
        <v>0</v>
      </c>
      <c r="AD445" t="n">
        <v>0</v>
      </c>
      <c r="AE445" t="n">
        <v>140.69</v>
      </c>
      <c r="AF445" t="n">
        <v>0</v>
      </c>
      <c r="AG445" t="n">
        <v>0</v>
      </c>
      <c r="AH445" t="n">
        <v>0</v>
      </c>
      <c r="AI445" t="n">
        <v>1.69</v>
      </c>
      <c r="AJ445" t="n">
        <v>1</v>
      </c>
      <c r="AK445" t="n">
        <v>1</v>
      </c>
      <c r="AL445" t="n">
        <v>1</v>
      </c>
      <c r="AM445" t="n">
        <v>0</v>
      </c>
      <c r="AN445" t="n">
        <v>0</v>
      </c>
      <c r="AO445" t="n">
        <v>0</v>
      </c>
      <c r="AP445" t="n">
        <v>1</v>
      </c>
      <c r="AQ445" t="n">
        <v>0</v>
      </c>
      <c r="AR445" t="n">
        <v>0</v>
      </c>
      <c r="AS445" t="inlineStr"/>
      <c r="AT445" t="n">
        <v>100</v>
      </c>
      <c r="AU445" t="inlineStr"/>
      <c r="AV445" t="n">
        <v>0</v>
      </c>
      <c r="AW445" t="n">
        <v>1</v>
      </c>
      <c r="AX445" t="n">
        <v>-1</v>
      </c>
      <c r="AY445" t="n">
        <v>0</v>
      </c>
      <c r="AZ445" t="n">
        <v>0</v>
      </c>
      <c r="BA445" t="inlineStr"/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 t="n">
        <v>0</v>
      </c>
      <c r="CX445">
        <f>ROUND(Y445*Source!I797,7)</f>
        <v/>
      </c>
      <c r="CY445">
        <f>AA445</f>
        <v/>
      </c>
      <c r="CZ445">
        <f>AE445</f>
        <v/>
      </c>
      <c r="DA445">
        <f>AI445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ROUND(ROUND(AE445*AI445,0)*CX445,0)</f>
        <v/>
      </c>
      <c r="DG445">
        <f>ROUND(ROUND(AF445,0)*CX445,0)</f>
        <v/>
      </c>
      <c r="DH445">
        <f>ROUND(ROUND(AG445,0)*CX445,0)</f>
        <v/>
      </c>
      <c r="DI445">
        <f>ROUND(ROUND(AH445,0)*CX445,0)</f>
        <v/>
      </c>
      <c r="DJ445">
        <f>DF445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ROW(Source!A799)</f>
        <v/>
      </c>
      <c r="B446" t="n">
        <v>78869116</v>
      </c>
      <c r="C446" t="n">
        <v>78871488</v>
      </c>
      <c r="D446" t="n">
        <v>18442827</v>
      </c>
      <c r="E446" t="n">
        <v>1</v>
      </c>
      <c r="F446" t="n">
        <v>1</v>
      </c>
      <c r="G446" t="n">
        <v>1</v>
      </c>
      <c r="H446" t="n">
        <v>1</v>
      </c>
      <c r="I446" t="inlineStr">
        <is>
          <t>1-1053-90</t>
        </is>
      </c>
      <c r="J446" t="inlineStr"/>
      <c r="K446" t="inlineStr">
        <is>
          <t>Рабочий строитель среднего разряда 5,3</t>
        </is>
      </c>
      <c r="L446" t="n">
        <v>1369</v>
      </c>
      <c r="N446" t="n">
        <v>1013</v>
      </c>
      <c r="O446" t="inlineStr">
        <is>
          <t>чел.-ч</t>
        </is>
      </c>
      <c r="P446" t="inlineStr">
        <is>
          <t>чел.-ч</t>
        </is>
      </c>
      <c r="Q446" t="n">
        <v>1</v>
      </c>
      <c r="W446" t="n">
        <v>0</v>
      </c>
      <c r="X446" t="n">
        <v>717490484</v>
      </c>
      <c r="Y446">
        <f>(AT446*ROUND(5,7))</f>
        <v/>
      </c>
      <c r="AA446" t="n">
        <v>0</v>
      </c>
      <c r="AB446" t="n">
        <v>0</v>
      </c>
      <c r="AC446" t="n">
        <v>0</v>
      </c>
      <c r="AD446" t="n">
        <v>11.64</v>
      </c>
      <c r="AE446" t="n">
        <v>0</v>
      </c>
      <c r="AF446" t="n">
        <v>0</v>
      </c>
      <c r="AG446" t="n">
        <v>0</v>
      </c>
      <c r="AH446" t="n">
        <v>11.64</v>
      </c>
      <c r="AI446" t="n">
        <v>1</v>
      </c>
      <c r="AJ446" t="n">
        <v>1</v>
      </c>
      <c r="AK446" t="n">
        <v>1</v>
      </c>
      <c r="AL446" t="n">
        <v>1</v>
      </c>
      <c r="AM446" t="n">
        <v>-2</v>
      </c>
      <c r="AN446" t="n">
        <v>0</v>
      </c>
      <c r="AO446" t="n">
        <v>1</v>
      </c>
      <c r="AP446" t="n">
        <v>1</v>
      </c>
      <c r="AQ446" t="n">
        <v>0</v>
      </c>
      <c r="AR446" t="n">
        <v>0</v>
      </c>
      <c r="AS446" t="inlineStr"/>
      <c r="AT446" t="n">
        <v>5.01</v>
      </c>
      <c r="AU446" t="inlineStr">
        <is>
          <t>)*5</t>
        </is>
      </c>
      <c r="AV446" t="n">
        <v>1</v>
      </c>
      <c r="AW446" t="n">
        <v>2</v>
      </c>
      <c r="AX446" t="n">
        <v>78871495</v>
      </c>
      <c r="AY446" t="n">
        <v>1</v>
      </c>
      <c r="AZ446" t="n">
        <v>2048</v>
      </c>
      <c r="BA446" t="n">
        <v>408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U446">
        <f>ROUND(AT446*Source!I799*AH446*AL446,0)</f>
        <v/>
      </c>
      <c r="CV446">
        <f>ROUND(Y446*Source!I799,7)</f>
        <v/>
      </c>
      <c r="CW446" t="n">
        <v>0</v>
      </c>
      <c r="CX446">
        <f>ROUND(Y446*Source!I799,7)</f>
        <v/>
      </c>
      <c r="CY446">
        <f>AD446</f>
        <v/>
      </c>
      <c r="CZ446">
        <f>AH446</f>
        <v/>
      </c>
      <c r="DA446">
        <f>AL446</f>
        <v/>
      </c>
      <c r="DB446">
        <f>ROUND((ROUND(AT446*CZ446,2)*ROUND(5,7)),2)</f>
        <v/>
      </c>
      <c r="DC446">
        <f>ROUND((ROUND(AT446*AG446,2)*ROUND(5,7)),2)</f>
        <v/>
      </c>
      <c r="DD446" t="inlineStr"/>
      <c r="DE446" t="inlineStr"/>
      <c r="DF446">
        <f>ROUND(ROUND(AE446,0)*CX446,0)</f>
        <v/>
      </c>
      <c r="DG446">
        <f>ROUND(ROUND(AF446,0)*CX446,0)</f>
        <v/>
      </c>
      <c r="DH446">
        <f>ROUND(ROUND(AG446,0)*CX446,0)</f>
        <v/>
      </c>
      <c r="DI446">
        <f>ROUND(ROUND(AH446,0)*CX446,0)</f>
        <v/>
      </c>
      <c r="DJ446">
        <f>DI446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ROW(Source!A799)</f>
        <v/>
      </c>
      <c r="B447" t="n">
        <v>78869116</v>
      </c>
      <c r="C447" t="n">
        <v>78871488</v>
      </c>
      <c r="D447" t="n">
        <v>29172703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042900</t>
        </is>
      </c>
      <c r="J447" t="inlineStr">
        <is>
          <t>ТСЭМ Московской обл., 042900, приказ Минстроя России №675/пр от 28.02.2017 № 264/пр</t>
        </is>
      </c>
      <c r="K44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1695838894</v>
      </c>
      <c r="Y447">
        <f>(AT447*ROUND(5,7))</f>
        <v/>
      </c>
      <c r="AA447" t="n">
        <v>0</v>
      </c>
      <c r="AB447" t="n">
        <v>177.13</v>
      </c>
      <c r="AC447" t="n">
        <v>0</v>
      </c>
      <c r="AD447" t="n">
        <v>0</v>
      </c>
      <c r="AE447" t="n">
        <v>0</v>
      </c>
      <c r="AF447" t="n">
        <v>29.67</v>
      </c>
      <c r="AG447" t="n">
        <v>0</v>
      </c>
      <c r="AH447" t="n">
        <v>0</v>
      </c>
      <c r="AI447" t="n">
        <v>1</v>
      </c>
      <c r="AJ447" t="n">
        <v>5.97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1</v>
      </c>
      <c r="AQ447" t="n">
        <v>0</v>
      </c>
      <c r="AR447" t="n">
        <v>0</v>
      </c>
      <c r="AS447" t="inlineStr"/>
      <c r="AT447" t="n">
        <v>1.5</v>
      </c>
      <c r="AU447" t="inlineStr">
        <is>
          <t>)*5</t>
        </is>
      </c>
      <c r="AV447" t="n">
        <v>0</v>
      </c>
      <c r="AW447" t="n">
        <v>2</v>
      </c>
      <c r="AX447" t="n">
        <v>78871496</v>
      </c>
      <c r="AY447" t="n">
        <v>1</v>
      </c>
      <c r="AZ447" t="n">
        <v>0</v>
      </c>
      <c r="BA447" t="n">
        <v>409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ROUND(Y447*Source!I799*DO447,7)</f>
        <v/>
      </c>
      <c r="CX447">
        <f>ROUND(Y447*Source!I799,7)</f>
        <v/>
      </c>
      <c r="CY447">
        <f>AB447</f>
        <v/>
      </c>
      <c r="CZ447">
        <f>AF447</f>
        <v/>
      </c>
      <c r="DA447">
        <f>AJ447</f>
        <v/>
      </c>
      <c r="DB447">
        <f>ROUND((ROUND(AT447*CZ447,2)*ROUND(5,7)),2)</f>
        <v/>
      </c>
      <c r="DC447">
        <f>ROUND((ROUND(AT447*AG447,2)*ROUND(5,7)),2)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ROW(Source!A799)</f>
        <v/>
      </c>
      <c r="B448" t="n">
        <v>78869116</v>
      </c>
      <c r="C448" t="n">
        <v>78871488</v>
      </c>
      <c r="D448" t="n">
        <v>29110398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101-0388</t>
        </is>
      </c>
      <c r="J448" t="inlineStr">
        <is>
          <t>ТССЦ Московской обл., 101-0388, приказ Минстроя России №675/пр от 28.02.2017 № 254/пр</t>
        </is>
      </c>
      <c r="K448" t="inlineStr">
        <is>
          <t>Краски масляные земляные марки МА-0115 мумия, сурик железный</t>
        </is>
      </c>
      <c r="L448" t="n">
        <v>1348</v>
      </c>
      <c r="N448" t="n">
        <v>1009</v>
      </c>
      <c r="O448" t="inlineStr">
        <is>
          <t>т</t>
        </is>
      </c>
      <c r="P448" t="inlineStr">
        <is>
          <t>т</t>
        </is>
      </c>
      <c r="Q448" t="n">
        <v>1000</v>
      </c>
      <c r="W448" t="n">
        <v>0</v>
      </c>
      <c r="X448" t="n">
        <v>1625292450</v>
      </c>
      <c r="Y448">
        <f>(AT448*ROUND(5,7))</f>
        <v/>
      </c>
      <c r="AA448" t="n">
        <v>76804.47</v>
      </c>
      <c r="AB448" t="n">
        <v>0</v>
      </c>
      <c r="AC448" t="n">
        <v>0</v>
      </c>
      <c r="AD448" t="n">
        <v>0</v>
      </c>
      <c r="AE448" t="n">
        <v>15118.99</v>
      </c>
      <c r="AF448" t="n">
        <v>0</v>
      </c>
      <c r="AG448" t="n">
        <v>0</v>
      </c>
      <c r="AH448" t="n">
        <v>0</v>
      </c>
      <c r="AI448" t="n">
        <v>5.08</v>
      </c>
      <c r="AJ448" t="n">
        <v>1</v>
      </c>
      <c r="AK448" t="n">
        <v>1</v>
      </c>
      <c r="AL448" t="n">
        <v>1</v>
      </c>
      <c r="AM448" t="n">
        <v>2</v>
      </c>
      <c r="AN448" t="n">
        <v>0</v>
      </c>
      <c r="AO448" t="n">
        <v>1</v>
      </c>
      <c r="AP448" t="n">
        <v>1</v>
      </c>
      <c r="AQ448" t="n">
        <v>0</v>
      </c>
      <c r="AR448" t="n">
        <v>0</v>
      </c>
      <c r="AS448" t="inlineStr"/>
      <c r="AT448" t="n">
        <v>5e-05</v>
      </c>
      <c r="AU448" t="inlineStr">
        <is>
          <t>)*5</t>
        </is>
      </c>
      <c r="AV448" t="n">
        <v>0</v>
      </c>
      <c r="AW448" t="n">
        <v>2</v>
      </c>
      <c r="AX448" t="n">
        <v>78871497</v>
      </c>
      <c r="AY448" t="n">
        <v>1</v>
      </c>
      <c r="AZ448" t="n">
        <v>0</v>
      </c>
      <c r="BA448" t="n">
        <v>410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 t="n">
        <v>0</v>
      </c>
      <c r="CX448">
        <f>ROUND(Y448*Source!I799,7)</f>
        <v/>
      </c>
      <c r="CY448">
        <f>AA448</f>
        <v/>
      </c>
      <c r="CZ448">
        <f>AE448</f>
        <v/>
      </c>
      <c r="DA448">
        <f>AI448</f>
        <v/>
      </c>
      <c r="DB448">
        <f>ROUND((ROUND(AT448*CZ448,2)*ROUND(5,7)),2)</f>
        <v/>
      </c>
      <c r="DC448">
        <f>ROUND((ROUND(AT448*AG448,2)*ROUND(5,7)),2)</f>
        <v/>
      </c>
      <c r="DD448" t="inlineStr"/>
      <c r="DE448" t="inlineStr"/>
      <c r="DF448">
        <f>ROUND(ROUND(AE448*AI448,0)*CX448,0)</f>
        <v/>
      </c>
      <c r="DG448">
        <f>ROUND(ROUND(AF448,0)*CX448,0)</f>
        <v/>
      </c>
      <c r="DH448">
        <f>ROUND(ROUND(AG448,0)*CX448,0)</f>
        <v/>
      </c>
      <c r="DI448">
        <f>ROUND(ROUND(AH448,0)*CX448,0)</f>
        <v/>
      </c>
      <c r="DJ448">
        <f>DF448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ROW(Source!A799)</f>
        <v/>
      </c>
      <c r="B449" t="n">
        <v>78869116</v>
      </c>
      <c r="C449" t="n">
        <v>78871488</v>
      </c>
      <c r="D449" t="n">
        <v>29110573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101-0628</t>
        </is>
      </c>
      <c r="J449" t="inlineStr">
        <is>
          <t>ТССЦ Московской обл., 101-0628, приказ Минстроя России №675/пр от 28.02.2017 № 254/пр</t>
        </is>
      </c>
      <c r="K449" t="inlineStr">
        <is>
          <t>Олифа комбинированная, марки К-3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24062879</v>
      </c>
      <c r="Y449">
        <f>(AT449*ROUND(5,7))</f>
        <v/>
      </c>
      <c r="AA449" t="n">
        <v>87631.5</v>
      </c>
      <c r="AB449" t="n">
        <v>0</v>
      </c>
      <c r="AC449" t="n">
        <v>0</v>
      </c>
      <c r="AD449" t="n">
        <v>0</v>
      </c>
      <c r="AE449" t="n">
        <v>16950</v>
      </c>
      <c r="AF449" t="n">
        <v>0</v>
      </c>
      <c r="AG449" t="n">
        <v>0</v>
      </c>
      <c r="AH449" t="n">
        <v>0</v>
      </c>
      <c r="AI449" t="n">
        <v>5.17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1</v>
      </c>
      <c r="AQ449" t="n">
        <v>0</v>
      </c>
      <c r="AR449" t="n">
        <v>0</v>
      </c>
      <c r="AS449" t="inlineStr"/>
      <c r="AT449" t="n">
        <v>2e-05</v>
      </c>
      <c r="AU449" t="inlineStr">
        <is>
          <t>)*5</t>
        </is>
      </c>
      <c r="AV449" t="n">
        <v>0</v>
      </c>
      <c r="AW449" t="n">
        <v>2</v>
      </c>
      <c r="AX449" t="n">
        <v>78871498</v>
      </c>
      <c r="AY449" t="n">
        <v>1</v>
      </c>
      <c r="AZ449" t="n">
        <v>0</v>
      </c>
      <c r="BA449" t="n">
        <v>411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ROUND(Y449*Source!I799,7)</f>
        <v/>
      </c>
      <c r="CY449">
        <f>AA449</f>
        <v/>
      </c>
      <c r="CZ449">
        <f>AE449</f>
        <v/>
      </c>
      <c r="DA449">
        <f>AI449</f>
        <v/>
      </c>
      <c r="DB449">
        <f>ROUND((ROUND(AT449*CZ449,2)*ROUND(5,7)),2)</f>
        <v/>
      </c>
      <c r="DC449">
        <f>ROUND((ROUND(AT449*AG449,2)*ROUND(5,7)),2)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ROW(Source!A799)</f>
        <v/>
      </c>
      <c r="B450" t="n">
        <v>78869116</v>
      </c>
      <c r="C450" t="n">
        <v>78871488</v>
      </c>
      <c r="D450" t="n">
        <v>29107963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101-1669</t>
        </is>
      </c>
      <c r="J450" t="inlineStr">
        <is>
          <t>ТССЦ Московской обл., 101-1669, приказ Минстроя России №675/пр от 28.02.2017 № 254/пр</t>
        </is>
      </c>
      <c r="K450" t="inlineStr">
        <is>
          <t>Очес льняной</t>
        </is>
      </c>
      <c r="L450" t="n">
        <v>1346</v>
      </c>
      <c r="N450" t="n">
        <v>1009</v>
      </c>
      <c r="O450" t="inlineStr">
        <is>
          <t>кг</t>
        </is>
      </c>
      <c r="P450" t="inlineStr">
        <is>
          <t>кг</t>
        </is>
      </c>
      <c r="Q450" t="n">
        <v>1</v>
      </c>
      <c r="W450" t="n">
        <v>0</v>
      </c>
      <c r="X450" t="n">
        <v>-2113933962</v>
      </c>
      <c r="Y450">
        <f>(AT450*ROUND(5,7))</f>
        <v/>
      </c>
      <c r="AA450" t="n">
        <v>590.67</v>
      </c>
      <c r="AB450" t="n">
        <v>0</v>
      </c>
      <c r="AC450" t="n">
        <v>0</v>
      </c>
      <c r="AD450" t="n">
        <v>0</v>
      </c>
      <c r="AE450" t="n">
        <v>37.29</v>
      </c>
      <c r="AF450" t="n">
        <v>0</v>
      </c>
      <c r="AG450" t="n">
        <v>0</v>
      </c>
      <c r="AH450" t="n">
        <v>0</v>
      </c>
      <c r="AI450" t="n">
        <v>15.84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1</v>
      </c>
      <c r="AQ450" t="n">
        <v>0</v>
      </c>
      <c r="AR450" t="n">
        <v>0</v>
      </c>
      <c r="AS450" t="inlineStr"/>
      <c r="AT450" t="n">
        <v>0.02</v>
      </c>
      <c r="AU450" t="inlineStr">
        <is>
          <t>)*5</t>
        </is>
      </c>
      <c r="AV450" t="n">
        <v>0</v>
      </c>
      <c r="AW450" t="n">
        <v>2</v>
      </c>
      <c r="AX450" t="n">
        <v>78871499</v>
      </c>
      <c r="AY450" t="n">
        <v>1</v>
      </c>
      <c r="AZ450" t="n">
        <v>0</v>
      </c>
      <c r="BA450" t="n">
        <v>412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ROUND(Y450*Source!I799,7)</f>
        <v/>
      </c>
      <c r="CY450">
        <f>AA450</f>
        <v/>
      </c>
      <c r="CZ450">
        <f>AE450</f>
        <v/>
      </c>
      <c r="DA450">
        <f>AI450</f>
        <v/>
      </c>
      <c r="DB450">
        <f>ROUND((ROUND(AT450*CZ450,2)*ROUND(5,7)),2)</f>
        <v/>
      </c>
      <c r="DC450">
        <f>ROUND((ROUND(AT450*AG450,2)*ROUND(5,7)),2)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ROW(Source!A799)</f>
        <v/>
      </c>
      <c r="B451" t="n">
        <v>78869116</v>
      </c>
      <c r="C451" t="n">
        <v>78871488</v>
      </c>
      <c r="D451" t="n">
        <v>29150040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411-0001</t>
        </is>
      </c>
      <c r="J451" t="inlineStr">
        <is>
          <t>ТССЦ Московской обл., 411-0001, приказ Минстроя России №675/пр от 28.02.2017 № 257/пр</t>
        </is>
      </c>
      <c r="K451" t="inlineStr">
        <is>
          <t>Вода</t>
        </is>
      </c>
      <c r="L451" t="n">
        <v>1339</v>
      </c>
      <c r="N451" t="n">
        <v>1007</v>
      </c>
      <c r="O451" t="inlineStr">
        <is>
          <t>м3</t>
        </is>
      </c>
      <c r="P451" t="inlineStr">
        <is>
          <t>м3</t>
        </is>
      </c>
      <c r="Q451" t="n">
        <v>1</v>
      </c>
      <c r="W451" t="n">
        <v>0</v>
      </c>
      <c r="X451" t="n">
        <v>619799737</v>
      </c>
      <c r="Y451">
        <f>(AT451*ROUND(5,7))</f>
        <v/>
      </c>
      <c r="AA451" t="n">
        <v>31.28</v>
      </c>
      <c r="AB451" t="n">
        <v>0</v>
      </c>
      <c r="AC451" t="n">
        <v>0</v>
      </c>
      <c r="AD451" t="n">
        <v>0</v>
      </c>
      <c r="AE451" t="n">
        <v>2.44</v>
      </c>
      <c r="AF451" t="n">
        <v>0</v>
      </c>
      <c r="AG451" t="n">
        <v>0</v>
      </c>
      <c r="AH451" t="n">
        <v>0</v>
      </c>
      <c r="AI451" t="n">
        <v>12.82</v>
      </c>
      <c r="AJ451" t="n">
        <v>1</v>
      </c>
      <c r="AK451" t="n">
        <v>1</v>
      </c>
      <c r="AL451" t="n">
        <v>1</v>
      </c>
      <c r="AM451" t="n">
        <v>2</v>
      </c>
      <c r="AN451" t="n">
        <v>0</v>
      </c>
      <c r="AO451" t="n">
        <v>1</v>
      </c>
      <c r="AP451" t="n">
        <v>1</v>
      </c>
      <c r="AQ451" t="n">
        <v>0</v>
      </c>
      <c r="AR451" t="n">
        <v>0</v>
      </c>
      <c r="AS451" t="inlineStr"/>
      <c r="AT451" t="n">
        <v>1</v>
      </c>
      <c r="AU451" t="inlineStr">
        <is>
          <t>)*5</t>
        </is>
      </c>
      <c r="AV451" t="n">
        <v>0</v>
      </c>
      <c r="AW451" t="n">
        <v>2</v>
      </c>
      <c r="AX451" t="n">
        <v>78871500</v>
      </c>
      <c r="AY451" t="n">
        <v>1</v>
      </c>
      <c r="AZ451" t="n">
        <v>0</v>
      </c>
      <c r="BA451" t="n">
        <v>413</v>
      </c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ROUND(Y451*Source!I799,7)</f>
        <v/>
      </c>
      <c r="CY451">
        <f>AA451</f>
        <v/>
      </c>
      <c r="CZ451">
        <f>AE451</f>
        <v/>
      </c>
      <c r="DA451">
        <f>AI451</f>
        <v/>
      </c>
      <c r="DB451">
        <f>ROUND((ROUND(AT451*CZ451,2)*ROUND(5,7)),2)</f>
        <v/>
      </c>
      <c r="DC451">
        <f>ROUND((ROUND(AT451*AG451,2)*ROUND(5,7)),2)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ROW(Source!A838)</f>
        <v/>
      </c>
      <c r="B452" t="n">
        <v>78869116</v>
      </c>
      <c r="C452" t="n">
        <v>78871564</v>
      </c>
      <c r="D452" t="n">
        <v>18408291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1-1025-90</t>
        </is>
      </c>
      <c r="J452" t="inlineStr"/>
      <c r="K452" t="inlineStr">
        <is>
          <t>Рабочий строитель среднего разряда 2,5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1933892413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8.17</v>
      </c>
      <c r="AE452" t="n">
        <v>0</v>
      </c>
      <c r="AF452" t="n">
        <v>0</v>
      </c>
      <c r="AG452" t="n">
        <v>0</v>
      </c>
      <c r="AH452" t="n">
        <v>8.17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32.2</v>
      </c>
      <c r="AU452" t="inlineStr"/>
      <c r="AV452" t="n">
        <v>1</v>
      </c>
      <c r="AW452" t="n">
        <v>2</v>
      </c>
      <c r="AX452" t="n">
        <v>78871570</v>
      </c>
      <c r="AY452" t="n">
        <v>1</v>
      </c>
      <c r="AZ452" t="n">
        <v>0</v>
      </c>
      <c r="BA452" t="n">
        <v>414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ROUND(AT452*Source!I838*AH452*AL452,0)</f>
        <v/>
      </c>
      <c r="CV452">
        <f>ROUND(Y452*Source!I838,7)</f>
        <v/>
      </c>
      <c r="CW452" t="n">
        <v>0</v>
      </c>
      <c r="CX452">
        <f>ROUND(Y452*Source!I838,7)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ROW(Source!A838)</f>
        <v/>
      </c>
      <c r="B453" t="n">
        <v>78869116</v>
      </c>
      <c r="C453" t="n">
        <v>78871564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W453" t="n">
        <v>0</v>
      </c>
      <c r="X453" t="n">
        <v>1230759911</v>
      </c>
      <c r="Y453">
        <f>AT453</f>
        <v/>
      </c>
      <c r="AA453" t="n">
        <v>0</v>
      </c>
      <c r="AB453" t="n">
        <v>2177.51</v>
      </c>
      <c r="AC453" t="n">
        <v>606.1</v>
      </c>
      <c r="AD453" t="n">
        <v>0</v>
      </c>
      <c r="AE453" t="n">
        <v>0</v>
      </c>
      <c r="AF453" t="n">
        <v>87.17</v>
      </c>
      <c r="AG453" t="n">
        <v>11.6</v>
      </c>
      <c r="AH453" t="n">
        <v>0</v>
      </c>
      <c r="AI453" t="n">
        <v>1</v>
      </c>
      <c r="AJ453" t="n">
        <v>24.98</v>
      </c>
      <c r="AK453" t="n">
        <v>52.25</v>
      </c>
      <c r="AL453" t="n">
        <v>1</v>
      </c>
      <c r="AM453" t="n">
        <v>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0.01</v>
      </c>
      <c r="AU453" t="inlineStr"/>
      <c r="AV453" t="n">
        <v>0</v>
      </c>
      <c r="AW453" t="n">
        <v>2</v>
      </c>
      <c r="AX453" t="n">
        <v>78871571</v>
      </c>
      <c r="AY453" t="n">
        <v>1</v>
      </c>
      <c r="AZ453" t="n">
        <v>0</v>
      </c>
      <c r="BA453" t="n">
        <v>415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>
        <f>ROUND(Y453*Source!I838*DO453,7)</f>
        <v/>
      </c>
      <c r="CX453">
        <f>ROUND(Y453*Source!I838,7)</f>
        <v/>
      </c>
      <c r="CY453">
        <f>AB453</f>
        <v/>
      </c>
      <c r="CZ453">
        <f>AF453</f>
        <v/>
      </c>
      <c r="DA453">
        <f>AJ453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ROUND(ROUND(AF453*AJ453,0)*CX453,0)</f>
        <v/>
      </c>
      <c r="DH453">
        <f>ROUND(ROUND(AG453*AK453,0)*CX453,0)</f>
        <v/>
      </c>
      <c r="DI453">
        <f>ROUND(ROUND(AH453,0)*CX453,0)</f>
        <v/>
      </c>
      <c r="DJ453">
        <f>DG453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ROW(Source!A838)</f>
        <v/>
      </c>
      <c r="B454" t="n">
        <v>78869116</v>
      </c>
      <c r="C454" t="n">
        <v>78871564</v>
      </c>
      <c r="D454" t="n">
        <v>29110139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101-1703</t>
        </is>
      </c>
      <c r="J454" t="inlineStr">
        <is>
          <t>ТССЦ Московской обл., 101-1703, приказ Минстроя России №675/пр от 28.02.2017 № 254/пр</t>
        </is>
      </c>
      <c r="K454" t="inlineStr">
        <is>
          <t>Прокладки резиновые (пластина техническая прессованная)</t>
        </is>
      </c>
      <c r="L454" t="n">
        <v>1346</v>
      </c>
      <c r="N454" t="n">
        <v>1009</v>
      </c>
      <c r="O454" t="inlineStr">
        <is>
          <t>кг</t>
        </is>
      </c>
      <c r="P454" t="inlineStr">
        <is>
          <t>кг</t>
        </is>
      </c>
      <c r="Q454" t="n">
        <v>1</v>
      </c>
      <c r="W454" t="n">
        <v>0</v>
      </c>
      <c r="X454" t="n">
        <v>-1947909329</v>
      </c>
      <c r="Y454">
        <f>AT454</f>
        <v/>
      </c>
      <c r="AA454" t="n">
        <v>341.04</v>
      </c>
      <c r="AB454" t="n">
        <v>0</v>
      </c>
      <c r="AC454" t="n">
        <v>0</v>
      </c>
      <c r="AD454" t="n">
        <v>0</v>
      </c>
      <c r="AE454" t="n">
        <v>23.09</v>
      </c>
      <c r="AF454" t="n">
        <v>0</v>
      </c>
      <c r="AG454" t="n">
        <v>0</v>
      </c>
      <c r="AH454" t="n">
        <v>0</v>
      </c>
      <c r="AI454" t="n">
        <v>14.77</v>
      </c>
      <c r="AJ454" t="n">
        <v>1</v>
      </c>
      <c r="AK454" t="n">
        <v>1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2</v>
      </c>
      <c r="AU454" t="inlineStr"/>
      <c r="AV454" t="n">
        <v>0</v>
      </c>
      <c r="AW454" t="n">
        <v>2</v>
      </c>
      <c r="AX454" t="n">
        <v>78871572</v>
      </c>
      <c r="AY454" t="n">
        <v>1</v>
      </c>
      <c r="AZ454" t="n">
        <v>0</v>
      </c>
      <c r="BA454" t="n">
        <v>416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 t="n">
        <v>0</v>
      </c>
      <c r="CX454">
        <f>ROUND(Y454*Source!I838,7)</f>
        <v/>
      </c>
      <c r="CY454">
        <f>AA454</f>
        <v/>
      </c>
      <c r="CZ454">
        <f>AE454</f>
        <v/>
      </c>
      <c r="DA454">
        <f>AI454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ROUND(ROUND(AE454*AI454,0)*CX454,0)</f>
        <v/>
      </c>
      <c r="DG454">
        <f>ROUND(ROUND(AF454,0)*CX454,0)</f>
        <v/>
      </c>
      <c r="DH454">
        <f>ROUND(ROUND(AG454,0)*CX454,0)</f>
        <v/>
      </c>
      <c r="DI454">
        <f>ROUND(ROUND(AH454,0)*CX454,0)</f>
        <v/>
      </c>
      <c r="DJ454">
        <f>DF454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ROW(Source!A838)</f>
        <v/>
      </c>
      <c r="B455" t="n">
        <v>78869116</v>
      </c>
      <c r="C455" t="n">
        <v>78871564</v>
      </c>
      <c r="D455" t="n">
        <v>29114240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101-2576</t>
        </is>
      </c>
      <c r="J455" t="inlineStr">
        <is>
          <t>ТССЦ Московской обл., 101-2576, приказ Минстроя России №675/пр от 28.02.2017 № 254/пр</t>
        </is>
      </c>
      <c r="K455" t="inlineStr">
        <is>
          <t>Болты с гайками и шайбами для санитарно-технических работ диаметром 16 мм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-1701539228</v>
      </c>
      <c r="Y455">
        <f>AT455</f>
        <v/>
      </c>
      <c r="AA455" t="n">
        <v>145037.4</v>
      </c>
      <c r="AB455" t="n">
        <v>0</v>
      </c>
      <c r="AC455" t="n">
        <v>0</v>
      </c>
      <c r="AD455" t="n">
        <v>0</v>
      </c>
      <c r="AE455" t="n">
        <v>14830</v>
      </c>
      <c r="AF455" t="n">
        <v>0</v>
      </c>
      <c r="AG455" t="n">
        <v>0</v>
      </c>
      <c r="AH455" t="n">
        <v>0</v>
      </c>
      <c r="AI455" t="n">
        <v>9.779999999999999</v>
      </c>
      <c r="AJ455" t="n">
        <v>1</v>
      </c>
      <c r="AK455" t="n">
        <v>1</v>
      </c>
      <c r="AL455" t="n">
        <v>1</v>
      </c>
      <c r="AM455" t="n">
        <v>2</v>
      </c>
      <c r="AN455" t="n">
        <v>0</v>
      </c>
      <c r="AO455" t="n">
        <v>1</v>
      </c>
      <c r="AP455" t="n">
        <v>1</v>
      </c>
      <c r="AQ455" t="n">
        <v>0</v>
      </c>
      <c r="AR455" t="n">
        <v>0</v>
      </c>
      <c r="AS455" t="inlineStr"/>
      <c r="AT455" t="n">
        <v>0.005</v>
      </c>
      <c r="AU455" t="inlineStr"/>
      <c r="AV455" t="n">
        <v>0</v>
      </c>
      <c r="AW455" t="n">
        <v>2</v>
      </c>
      <c r="AX455" t="n">
        <v>78871573</v>
      </c>
      <c r="AY455" t="n">
        <v>1</v>
      </c>
      <c r="AZ455" t="n">
        <v>0</v>
      </c>
      <c r="BA455" t="n">
        <v>417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ROUND(Y455*Source!I838,7)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ROUND(ROUND(AE455*AI455,0)*CX455,0)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ROW(Source!A838)</f>
        <v/>
      </c>
      <c r="B456" t="n">
        <v>78869116</v>
      </c>
      <c r="C456" t="n">
        <v>78871564</v>
      </c>
      <c r="D456" t="n">
        <v>29150040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411-0001</t>
        </is>
      </c>
      <c r="J456" t="inlineStr">
        <is>
          <t>ТССЦ Московской обл., 411-0001, приказ Минстроя России №675/пр от 28.02.2017 № 257/пр</t>
        </is>
      </c>
      <c r="K456" t="inlineStr">
        <is>
          <t>Вода</t>
        </is>
      </c>
      <c r="L456" t="n">
        <v>1339</v>
      </c>
      <c r="N456" t="n">
        <v>1007</v>
      </c>
      <c r="O456" t="inlineStr">
        <is>
          <t>м3</t>
        </is>
      </c>
      <c r="P456" t="inlineStr">
        <is>
          <t>м3</t>
        </is>
      </c>
      <c r="Q456" t="n">
        <v>1</v>
      </c>
      <c r="W456" t="n">
        <v>0</v>
      </c>
      <c r="X456" t="n">
        <v>619799737</v>
      </c>
      <c r="Y456">
        <f>AT456</f>
        <v/>
      </c>
      <c r="AA456" t="n">
        <v>31.28</v>
      </c>
      <c r="AB456" t="n">
        <v>0</v>
      </c>
      <c r="AC456" t="n">
        <v>0</v>
      </c>
      <c r="AD456" t="n">
        <v>0</v>
      </c>
      <c r="AE456" t="n">
        <v>2.44</v>
      </c>
      <c r="AF456" t="n">
        <v>0</v>
      </c>
      <c r="AG456" t="n">
        <v>0</v>
      </c>
      <c r="AH456" t="n">
        <v>0</v>
      </c>
      <c r="AI456" t="n">
        <v>12.82</v>
      </c>
      <c r="AJ456" t="n">
        <v>1</v>
      </c>
      <c r="AK456" t="n">
        <v>1</v>
      </c>
      <c r="AL456" t="n">
        <v>1</v>
      </c>
      <c r="AM456" t="n">
        <v>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7.8</v>
      </c>
      <c r="AU456" t="inlineStr"/>
      <c r="AV456" t="n">
        <v>0</v>
      </c>
      <c r="AW456" t="n">
        <v>2</v>
      </c>
      <c r="AX456" t="n">
        <v>78871574</v>
      </c>
      <c r="AY456" t="n">
        <v>1</v>
      </c>
      <c r="AZ456" t="n">
        <v>0</v>
      </c>
      <c r="BA456" t="n">
        <v>418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V456" t="n">
        <v>0</v>
      </c>
      <c r="CW456" t="n">
        <v>0</v>
      </c>
      <c r="CX456">
        <f>ROUND(Y456*Source!I838,7)</f>
        <v/>
      </c>
      <c r="CY456">
        <f>AA456</f>
        <v/>
      </c>
      <c r="CZ456">
        <f>AE456</f>
        <v/>
      </c>
      <c r="DA456">
        <f>AI456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ROUND(ROUND(AE456*AI456,0)*CX456,0)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DF456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ROW(Source!A839)</f>
        <v/>
      </c>
      <c r="B457" t="n">
        <v>78869116</v>
      </c>
      <c r="C457" t="n">
        <v>78871575</v>
      </c>
      <c r="D457" t="n">
        <v>18409850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1-1035-90</t>
        </is>
      </c>
      <c r="J457" t="inlineStr"/>
      <c r="K457" t="inlineStr">
        <is>
          <t>Рабочий строитель среднего разряда 3,5</t>
        </is>
      </c>
      <c r="L457" t="n">
        <v>1369</v>
      </c>
      <c r="N457" t="n">
        <v>1013</v>
      </c>
      <c r="O457" t="inlineStr">
        <is>
          <t>чел.-ч</t>
        </is>
      </c>
      <c r="P457" t="inlineStr">
        <is>
          <t>чел.-ч</t>
        </is>
      </c>
      <c r="Q457" t="n">
        <v>1</v>
      </c>
      <c r="W457" t="n">
        <v>0</v>
      </c>
      <c r="X457" t="n">
        <v>855544366</v>
      </c>
      <c r="Y457">
        <f>AT457</f>
        <v/>
      </c>
      <c r="AA457" t="n">
        <v>0</v>
      </c>
      <c r="AB457" t="n">
        <v>0</v>
      </c>
      <c r="AC457" t="n">
        <v>0</v>
      </c>
      <c r="AD457" t="n">
        <v>9.07</v>
      </c>
      <c r="AE457" t="n">
        <v>0</v>
      </c>
      <c r="AF457" t="n">
        <v>0</v>
      </c>
      <c r="AG457" t="n">
        <v>0</v>
      </c>
      <c r="AH457" t="n">
        <v>9.07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81</v>
      </c>
      <c r="AU457" t="inlineStr"/>
      <c r="AV457" t="n">
        <v>1</v>
      </c>
      <c r="AW457" t="n">
        <v>2</v>
      </c>
      <c r="AX457" t="n">
        <v>78871584</v>
      </c>
      <c r="AY457" t="n">
        <v>1</v>
      </c>
      <c r="AZ457" t="n">
        <v>0</v>
      </c>
      <c r="BA457" t="n">
        <v>419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U457">
        <f>ROUND(AT457*Source!I839*AH457*AL457,0)</f>
        <v/>
      </c>
      <c r="CV457">
        <f>ROUND(Y457*Source!I839,7)</f>
        <v/>
      </c>
      <c r="CW457" t="n">
        <v>0</v>
      </c>
      <c r="CX457">
        <f>ROUND(Y457*Source!I839,7)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ROW(Source!A839)</f>
        <v/>
      </c>
      <c r="B458" t="n">
        <v>78869116</v>
      </c>
      <c r="C458" t="n">
        <v>78871575</v>
      </c>
      <c r="D458" t="n">
        <v>29174913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400001</t>
        </is>
      </c>
      <c r="J458" t="inlineStr">
        <is>
          <t>ТСЭМ Московской обл., 400001, приказ Минстроя России №675/пр от 28.02.2017 № 264/пр</t>
        </is>
      </c>
      <c r="K458" t="inlineStr">
        <is>
          <t>Автомобили бортовые, грузоподъемность до 5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1230759911</v>
      </c>
      <c r="Y458">
        <f>AT458</f>
        <v/>
      </c>
      <c r="AA458" t="n">
        <v>0</v>
      </c>
      <c r="AB458" t="n">
        <v>2177.51</v>
      </c>
      <c r="AC458" t="n">
        <v>606.1</v>
      </c>
      <c r="AD458" t="n">
        <v>0</v>
      </c>
      <c r="AE458" t="n">
        <v>0</v>
      </c>
      <c r="AF458" t="n">
        <v>87.17</v>
      </c>
      <c r="AG458" t="n">
        <v>11.6</v>
      </c>
      <c r="AH458" t="n">
        <v>0</v>
      </c>
      <c r="AI458" t="n">
        <v>1</v>
      </c>
      <c r="AJ458" t="n">
        <v>24.98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0.05</v>
      </c>
      <c r="AU458" t="inlineStr"/>
      <c r="AV458" t="n">
        <v>0</v>
      </c>
      <c r="AW458" t="n">
        <v>2</v>
      </c>
      <c r="AX458" t="n">
        <v>78871585</v>
      </c>
      <c r="AY458" t="n">
        <v>1</v>
      </c>
      <c r="AZ458" t="n">
        <v>0</v>
      </c>
      <c r="BA458" t="n">
        <v>420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ROUND(Y458*Source!I839*DO458,7)</f>
        <v/>
      </c>
      <c r="CX458">
        <f>ROUND(Y458*Source!I839,7)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ROW(Source!A839)</f>
        <v/>
      </c>
      <c r="B459" t="n">
        <v>78869116</v>
      </c>
      <c r="C459" t="n">
        <v>78871575</v>
      </c>
      <c r="D459" t="n">
        <v>29110398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101-0388</t>
        </is>
      </c>
      <c r="J459" t="inlineStr">
        <is>
          <t>ТССЦ Московской обл., 101-0388, приказ Минстроя России №675/пр от 28.02.2017 № 254/пр</t>
        </is>
      </c>
      <c r="K459" t="inlineStr">
        <is>
          <t>Краски масляные земляные марки МА-0115 мумия, сурик железный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W459" t="n">
        <v>0</v>
      </c>
      <c r="X459" t="n">
        <v>1625292450</v>
      </c>
      <c r="Y459">
        <f>AT459</f>
        <v/>
      </c>
      <c r="AA459" t="n">
        <v>76804.47</v>
      </c>
      <c r="AB459" t="n">
        <v>0</v>
      </c>
      <c r="AC459" t="n">
        <v>0</v>
      </c>
      <c r="AD459" t="n">
        <v>0</v>
      </c>
      <c r="AE459" t="n">
        <v>15118.99</v>
      </c>
      <c r="AF459" t="n">
        <v>0</v>
      </c>
      <c r="AG459" t="n">
        <v>0</v>
      </c>
      <c r="AH459" t="n">
        <v>0</v>
      </c>
      <c r="AI459" t="n">
        <v>5.08</v>
      </c>
      <c r="AJ459" t="n">
        <v>1</v>
      </c>
      <c r="AK459" t="n">
        <v>1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0.0014</v>
      </c>
      <c r="AU459" t="inlineStr"/>
      <c r="AV459" t="n">
        <v>0</v>
      </c>
      <c r="AW459" t="n">
        <v>2</v>
      </c>
      <c r="AX459" t="n">
        <v>78871586</v>
      </c>
      <c r="AY459" t="n">
        <v>1</v>
      </c>
      <c r="AZ459" t="n">
        <v>0</v>
      </c>
      <c r="BA459" t="n">
        <v>421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 t="n">
        <v>0</v>
      </c>
      <c r="CX459">
        <f>ROUND(Y459*Source!I839,7)</f>
        <v/>
      </c>
      <c r="CY459">
        <f>AA459</f>
        <v/>
      </c>
      <c r="CZ459">
        <f>AE459</f>
        <v/>
      </c>
      <c r="DA459">
        <f>AI459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ROUND(ROUND(AE459*AI459,0)*CX459,0)</f>
        <v/>
      </c>
      <c r="DG459">
        <f>ROUND(ROUND(AF459,0)*CX459,0)</f>
        <v/>
      </c>
      <c r="DH459">
        <f>ROUND(ROUND(AG459,0)*CX459,0)</f>
        <v/>
      </c>
      <c r="DI459">
        <f>ROUND(ROUND(AH459,0)*CX459,0)</f>
        <v/>
      </c>
      <c r="DJ459">
        <f>DF459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ROW(Source!A839)</f>
        <v/>
      </c>
      <c r="B460" t="n">
        <v>78869116</v>
      </c>
      <c r="C460" t="n">
        <v>78871575</v>
      </c>
      <c r="D460" t="n">
        <v>29110573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101-0628</t>
        </is>
      </c>
      <c r="J460" t="inlineStr">
        <is>
          <t>ТССЦ Московской обл., 101-0628, приказ Минстроя России №675/пр от 28.02.2017 № 254/пр</t>
        </is>
      </c>
      <c r="K460" t="inlineStr">
        <is>
          <t>Олифа комбинированная, марки К-3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W460" t="n">
        <v>0</v>
      </c>
      <c r="X460" t="n">
        <v>24062879</v>
      </c>
      <c r="Y460">
        <f>AT460</f>
        <v/>
      </c>
      <c r="AA460" t="n">
        <v>87631.5</v>
      </c>
      <c r="AB460" t="n">
        <v>0</v>
      </c>
      <c r="AC460" t="n">
        <v>0</v>
      </c>
      <c r="AD460" t="n">
        <v>0</v>
      </c>
      <c r="AE460" t="n">
        <v>16950</v>
      </c>
      <c r="AF460" t="n">
        <v>0</v>
      </c>
      <c r="AG460" t="n">
        <v>0</v>
      </c>
      <c r="AH460" t="n">
        <v>0</v>
      </c>
      <c r="AI460" t="n">
        <v>5.17</v>
      </c>
      <c r="AJ460" t="n">
        <v>1</v>
      </c>
      <c r="AK460" t="n">
        <v>1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0.0007</v>
      </c>
      <c r="AU460" t="inlineStr"/>
      <c r="AV460" t="n">
        <v>0</v>
      </c>
      <c r="AW460" t="n">
        <v>2</v>
      </c>
      <c r="AX460" t="n">
        <v>78871587</v>
      </c>
      <c r="AY460" t="n">
        <v>1</v>
      </c>
      <c r="AZ460" t="n">
        <v>0</v>
      </c>
      <c r="BA460" t="n">
        <v>422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 t="n">
        <v>0</v>
      </c>
      <c r="CX460">
        <f>ROUND(Y460*Source!I839,7)</f>
        <v/>
      </c>
      <c r="CY460">
        <f>AA460</f>
        <v/>
      </c>
      <c r="CZ460">
        <f>AE460</f>
        <v/>
      </c>
      <c r="DA460">
        <f>AI460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ROUND(ROUND(AE460*AI460,0)*CX460,0)</f>
        <v/>
      </c>
      <c r="DG460">
        <f>ROUND(ROUND(AF460,0)*CX460,0)</f>
        <v/>
      </c>
      <c r="DH460">
        <f>ROUND(ROUND(AG460,0)*CX460,0)</f>
        <v/>
      </c>
      <c r="DI460">
        <f>ROUND(ROUND(AH460,0)*CX460,0)</f>
        <v/>
      </c>
      <c r="DJ460">
        <f>DF460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ROW(Source!A839)</f>
        <v/>
      </c>
      <c r="B461" t="n">
        <v>78869116</v>
      </c>
      <c r="C461" t="n">
        <v>78871575</v>
      </c>
      <c r="D461" t="n">
        <v>29107963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101-1669</t>
        </is>
      </c>
      <c r="J461" t="inlineStr">
        <is>
          <t>ТССЦ Московской обл., 101-1669, приказ Минстроя России №675/пр от 28.02.2017 № 254/пр</t>
        </is>
      </c>
      <c r="K461" t="inlineStr">
        <is>
          <t>Очес льняной</t>
        </is>
      </c>
      <c r="L461" t="n">
        <v>1346</v>
      </c>
      <c r="N461" t="n">
        <v>1009</v>
      </c>
      <c r="O461" t="inlineStr">
        <is>
          <t>кг</t>
        </is>
      </c>
      <c r="P461" t="inlineStr">
        <is>
          <t>кг</t>
        </is>
      </c>
      <c r="Q461" t="n">
        <v>1</v>
      </c>
      <c r="W461" t="n">
        <v>0</v>
      </c>
      <c r="X461" t="n">
        <v>-2113933962</v>
      </c>
      <c r="Y461">
        <f>AT461</f>
        <v/>
      </c>
      <c r="AA461" t="n">
        <v>590.67</v>
      </c>
      <c r="AB461" t="n">
        <v>0</v>
      </c>
      <c r="AC461" t="n">
        <v>0</v>
      </c>
      <c r="AD461" t="n">
        <v>0</v>
      </c>
      <c r="AE461" t="n">
        <v>37.29</v>
      </c>
      <c r="AF461" t="n">
        <v>0</v>
      </c>
      <c r="AG461" t="n">
        <v>0</v>
      </c>
      <c r="AH461" t="n">
        <v>0</v>
      </c>
      <c r="AI461" t="n">
        <v>15.84</v>
      </c>
      <c r="AJ461" t="n">
        <v>1</v>
      </c>
      <c r="AK461" t="n">
        <v>1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0.7</v>
      </c>
      <c r="AU461" t="inlineStr"/>
      <c r="AV461" t="n">
        <v>0</v>
      </c>
      <c r="AW461" t="n">
        <v>2</v>
      </c>
      <c r="AX461" t="n">
        <v>78871588</v>
      </c>
      <c r="AY461" t="n">
        <v>1</v>
      </c>
      <c r="AZ461" t="n">
        <v>0</v>
      </c>
      <c r="BA461" t="n">
        <v>423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 t="n">
        <v>0</v>
      </c>
      <c r="CX461">
        <f>ROUND(Y461*Source!I839,7)</f>
        <v/>
      </c>
      <c r="CY461">
        <f>AA461</f>
        <v/>
      </c>
      <c r="CZ461">
        <f>AE461</f>
        <v/>
      </c>
      <c r="DA461">
        <f>AI461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ROUND(ROUND(AE461*AI461,0)*CX461,0)</f>
        <v/>
      </c>
      <c r="DG461">
        <f>ROUND(ROUND(AF461,0)*CX461,0)</f>
        <v/>
      </c>
      <c r="DH461">
        <f>ROUND(ROUND(AG461,0)*CX461,0)</f>
        <v/>
      </c>
      <c r="DI461">
        <f>ROUND(ROUND(AH461,0)*CX461,0)</f>
        <v/>
      </c>
      <c r="DJ461">
        <f>DF461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ROW(Source!A839)</f>
        <v/>
      </c>
      <c r="B462" t="n">
        <v>78869116</v>
      </c>
      <c r="C462" t="n">
        <v>78871575</v>
      </c>
      <c r="D462" t="n">
        <v>29143378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302-0062</t>
        </is>
      </c>
      <c r="J462" t="inlineStr">
        <is>
          <t>ТССЦ Московской обл., 302-0062, приказ Минстроя России №675/пр от 28.02.2017 № 256/пр</t>
        </is>
      </c>
      <c r="K462" t="inlineStr">
        <is>
          <t>Кран шаровый муфтовый Valtec для воды диаметром 15 мм, тип в/в</t>
        </is>
      </c>
      <c r="L462" t="n">
        <v>1354</v>
      </c>
      <c r="N462" t="n">
        <v>1010</v>
      </c>
      <c r="O462" t="inlineStr">
        <is>
          <t>шт.</t>
        </is>
      </c>
      <c r="P462" t="inlineStr">
        <is>
          <t>шт.</t>
        </is>
      </c>
      <c r="Q462" t="n">
        <v>1</v>
      </c>
      <c r="W462" t="n">
        <v>0</v>
      </c>
      <c r="X462" t="n">
        <v>-1687406522</v>
      </c>
      <c r="Y462">
        <f>AT462</f>
        <v/>
      </c>
      <c r="AA462" t="n">
        <v>384.3</v>
      </c>
      <c r="AB462" t="n">
        <v>0</v>
      </c>
      <c r="AC462" t="n">
        <v>0</v>
      </c>
      <c r="AD462" t="n">
        <v>0</v>
      </c>
      <c r="AE462" t="n">
        <v>28.53</v>
      </c>
      <c r="AF462" t="n">
        <v>0</v>
      </c>
      <c r="AG462" t="n">
        <v>0</v>
      </c>
      <c r="AH462" t="n">
        <v>0</v>
      </c>
      <c r="AI462" t="n">
        <v>13.47</v>
      </c>
      <c r="AJ462" t="n">
        <v>1</v>
      </c>
      <c r="AK462" t="n">
        <v>1</v>
      </c>
      <c r="AL462" t="n">
        <v>1</v>
      </c>
      <c r="AM462" t="n">
        <v>0</v>
      </c>
      <c r="AN462" t="n">
        <v>0</v>
      </c>
      <c r="AO462" t="n">
        <v>0</v>
      </c>
      <c r="AP462" t="n">
        <v>1</v>
      </c>
      <c r="AQ462" t="n">
        <v>0</v>
      </c>
      <c r="AR462" t="n">
        <v>0</v>
      </c>
      <c r="AS462" t="inlineStr"/>
      <c r="AT462" t="n">
        <v>50</v>
      </c>
      <c r="AU462" t="inlineStr"/>
      <c r="AV462" t="n">
        <v>0</v>
      </c>
      <c r="AW462" t="n">
        <v>1</v>
      </c>
      <c r="AX462" t="n">
        <v>-1</v>
      </c>
      <c r="AY462" t="n">
        <v>0</v>
      </c>
      <c r="AZ462" t="n">
        <v>0</v>
      </c>
      <c r="BA462" t="inlineStr"/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ROUND(Y462*Source!I839,7)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ROW(Source!A839)</f>
        <v/>
      </c>
      <c r="B463" t="n">
        <v>78869116</v>
      </c>
      <c r="C463" t="n">
        <v>78871575</v>
      </c>
      <c r="D463" t="n">
        <v>29143379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302-0063</t>
        </is>
      </c>
      <c r="J463" t="inlineStr">
        <is>
          <t>ТССЦ Московской обл., 302-0063, приказ Минстроя России №675/пр от 28.02.2017 № 256/пр</t>
        </is>
      </c>
      <c r="K463" t="inlineStr">
        <is>
          <t>Кран шаровый муфтовый Valtec для воды диаметром 20 мм, тип в/в</t>
        </is>
      </c>
      <c r="L463" t="n">
        <v>1354</v>
      </c>
      <c r="N463" t="n">
        <v>1010</v>
      </c>
      <c r="O463" t="inlineStr">
        <is>
          <t>шт.</t>
        </is>
      </c>
      <c r="P463" t="inlineStr">
        <is>
          <t>шт.</t>
        </is>
      </c>
      <c r="Q463" t="n">
        <v>1</v>
      </c>
      <c r="W463" t="n">
        <v>0</v>
      </c>
      <c r="X463" t="n">
        <v>1037232740</v>
      </c>
      <c r="Y463">
        <f>AT463</f>
        <v/>
      </c>
      <c r="AA463" t="n">
        <v>585.1</v>
      </c>
      <c r="AB463" t="n">
        <v>0</v>
      </c>
      <c r="AC463" t="n">
        <v>0</v>
      </c>
      <c r="AD463" t="n">
        <v>0</v>
      </c>
      <c r="AE463" t="n">
        <v>42.46</v>
      </c>
      <c r="AF463" t="n">
        <v>0</v>
      </c>
      <c r="AG463" t="n">
        <v>0</v>
      </c>
      <c r="AH463" t="n">
        <v>0</v>
      </c>
      <c r="AI463" t="n">
        <v>13.78</v>
      </c>
      <c r="AJ463" t="n">
        <v>1</v>
      </c>
      <c r="AK463" t="n">
        <v>1</v>
      </c>
      <c r="AL463" t="n">
        <v>1</v>
      </c>
      <c r="AM463" t="n">
        <v>0</v>
      </c>
      <c r="AN463" t="n">
        <v>0</v>
      </c>
      <c r="AO463" t="n">
        <v>0</v>
      </c>
      <c r="AP463" t="n">
        <v>1</v>
      </c>
      <c r="AQ463" t="n">
        <v>0</v>
      </c>
      <c r="AR463" t="n">
        <v>0</v>
      </c>
      <c r="AS463" t="inlineStr"/>
      <c r="AT463" t="n">
        <v>100</v>
      </c>
      <c r="AU463" t="inlineStr"/>
      <c r="AV463" t="n">
        <v>0</v>
      </c>
      <c r="AW463" t="n">
        <v>1</v>
      </c>
      <c r="AX463" t="n">
        <v>-1</v>
      </c>
      <c r="AY463" t="n">
        <v>0</v>
      </c>
      <c r="AZ463" t="n">
        <v>0</v>
      </c>
      <c r="BA463" t="inlineStr"/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ROUND(Y463*Source!I839,7)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ROW(Source!A839)</f>
        <v/>
      </c>
      <c r="B464" t="n">
        <v>78869116</v>
      </c>
      <c r="C464" t="n">
        <v>78871575</v>
      </c>
      <c r="D464" t="n">
        <v>29143380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302-0064</t>
        </is>
      </c>
      <c r="J464" t="inlineStr">
        <is>
          <t>ТССЦ Московской обл., 302-0064, приказ Минстроя России №675/пр от 28.02.2017 № 256/пр</t>
        </is>
      </c>
      <c r="K464" t="inlineStr">
        <is>
          <t>Кран шаровый муфтовый Valtec для воды диаметром 25 мм, тип в/в</t>
        </is>
      </c>
      <c r="L464" t="n">
        <v>1354</v>
      </c>
      <c r="N464" t="n">
        <v>1010</v>
      </c>
      <c r="O464" t="inlineStr">
        <is>
          <t>шт.</t>
        </is>
      </c>
      <c r="P464" t="inlineStr">
        <is>
          <t>шт.</t>
        </is>
      </c>
      <c r="Q464" t="n">
        <v>1</v>
      </c>
      <c r="W464" t="n">
        <v>0</v>
      </c>
      <c r="X464" t="n">
        <v>1163367142</v>
      </c>
      <c r="Y464">
        <f>AT464</f>
        <v/>
      </c>
      <c r="AA464" t="n">
        <v>949.99</v>
      </c>
      <c r="AB464" t="n">
        <v>0</v>
      </c>
      <c r="AC464" t="n">
        <v>0</v>
      </c>
      <c r="AD464" t="n">
        <v>0</v>
      </c>
      <c r="AE464" t="n">
        <v>67.09</v>
      </c>
      <c r="AF464" t="n">
        <v>0</v>
      </c>
      <c r="AG464" t="n">
        <v>0</v>
      </c>
      <c r="AH464" t="n">
        <v>0</v>
      </c>
      <c r="AI464" t="n">
        <v>14.16</v>
      </c>
      <c r="AJ464" t="n">
        <v>1</v>
      </c>
      <c r="AK464" t="n">
        <v>1</v>
      </c>
      <c r="AL464" t="n">
        <v>1</v>
      </c>
      <c r="AM464" t="n">
        <v>0</v>
      </c>
      <c r="AN464" t="n">
        <v>0</v>
      </c>
      <c r="AO464" t="n">
        <v>0</v>
      </c>
      <c r="AP464" t="n">
        <v>1</v>
      </c>
      <c r="AQ464" t="n">
        <v>0</v>
      </c>
      <c r="AR464" t="n">
        <v>0</v>
      </c>
      <c r="AS464" t="inlineStr"/>
      <c r="AT464" t="n">
        <v>50</v>
      </c>
      <c r="AU464" t="inlineStr"/>
      <c r="AV464" t="n">
        <v>0</v>
      </c>
      <c r="AW464" t="n">
        <v>1</v>
      </c>
      <c r="AX464" t="n">
        <v>-1</v>
      </c>
      <c r="AY464" t="n">
        <v>0</v>
      </c>
      <c r="AZ464" t="n">
        <v>0</v>
      </c>
      <c r="BA464" t="inlineStr"/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ROUND(Y464*Source!I839,7)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ROW(Source!A839)</f>
        <v/>
      </c>
      <c r="B465" t="n">
        <v>78869116</v>
      </c>
      <c r="C465" t="n">
        <v>78871575</v>
      </c>
      <c r="D465" t="n">
        <v>29142465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302-1342</t>
        </is>
      </c>
      <c r="J465" t="inlineStr">
        <is>
          <t>ТССЦ Московской обл., 302-1342, приказ Минстроя России №675/пр от 28.02.2017 № 256/пр</t>
        </is>
      </c>
      <c r="K465" t="inlineStr">
        <is>
          <t>Вентили проходные муфтовые 15кч18п для воды давлением 1,6 МПа (16 кгс/см2), диаметром 20 мм</t>
        </is>
      </c>
      <c r="L465" t="n">
        <v>1354</v>
      </c>
      <c r="N465" t="n">
        <v>1010</v>
      </c>
      <c r="O465" t="inlineStr">
        <is>
          <t>шт.</t>
        </is>
      </c>
      <c r="P465" t="inlineStr">
        <is>
          <t>шт.</t>
        </is>
      </c>
      <c r="Q465" t="n">
        <v>1</v>
      </c>
      <c r="W465" t="n">
        <v>0</v>
      </c>
      <c r="X465" t="n">
        <v>-852705161</v>
      </c>
      <c r="Y465">
        <f>AT465</f>
        <v/>
      </c>
      <c r="AA465" t="n">
        <v>221.81</v>
      </c>
      <c r="AB465" t="n">
        <v>0</v>
      </c>
      <c r="AC465" t="n">
        <v>0</v>
      </c>
      <c r="AD465" t="n">
        <v>0</v>
      </c>
      <c r="AE465" t="n">
        <v>21.81</v>
      </c>
      <c r="AF465" t="n">
        <v>0</v>
      </c>
      <c r="AG465" t="n">
        <v>0</v>
      </c>
      <c r="AH465" t="n">
        <v>0</v>
      </c>
      <c r="AI465" t="n">
        <v>10.17</v>
      </c>
      <c r="AJ465" t="n">
        <v>1</v>
      </c>
      <c r="AK465" t="n">
        <v>1</v>
      </c>
      <c r="AL465" t="n">
        <v>1</v>
      </c>
      <c r="AM465" t="n">
        <v>2</v>
      </c>
      <c r="AN465" t="n">
        <v>0</v>
      </c>
      <c r="AO465" t="n">
        <v>1</v>
      </c>
      <c r="AP465" t="n">
        <v>1</v>
      </c>
      <c r="AQ465" t="n">
        <v>0</v>
      </c>
      <c r="AR465" t="n">
        <v>0</v>
      </c>
      <c r="AS465" t="inlineStr"/>
      <c r="AT465" t="n">
        <v>100</v>
      </c>
      <c r="AU465" t="inlineStr"/>
      <c r="AV465" t="n">
        <v>0</v>
      </c>
      <c r="AW465" t="n">
        <v>2</v>
      </c>
      <c r="AX465" t="n">
        <v>78871589</v>
      </c>
      <c r="AY465" t="n">
        <v>1</v>
      </c>
      <c r="AZ465" t="n">
        <v>0</v>
      </c>
      <c r="BA465" t="n">
        <v>424</v>
      </c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ROUND(Y465*Source!I839,7)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ROW(Source!A839)</f>
        <v/>
      </c>
      <c r="B466" t="n">
        <v>78869116</v>
      </c>
      <c r="C466" t="n">
        <v>78871575</v>
      </c>
      <c r="D466" t="n">
        <v>29159167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507-5007</t>
        </is>
      </c>
      <c r="J466" t="inlineStr">
        <is>
          <t>ТССЦ Московской обл., 507-5007, приказ Минстроя России №675/пр от 28.02.2017 № 258/пр</t>
        </is>
      </c>
      <c r="K466" t="inlineStr">
        <is>
          <t>Муфта полипропиленовая соединительная диаметром 20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-793832491</v>
      </c>
      <c r="Y466">
        <f>AT466</f>
        <v/>
      </c>
      <c r="AA466" t="n">
        <v>42.7</v>
      </c>
      <c r="AB466" t="n">
        <v>0</v>
      </c>
      <c r="AC466" t="n">
        <v>0</v>
      </c>
      <c r="AD466" t="n">
        <v>0</v>
      </c>
      <c r="AE466" t="n">
        <v>7</v>
      </c>
      <c r="AF466" t="n">
        <v>0</v>
      </c>
      <c r="AG466" t="n">
        <v>0</v>
      </c>
      <c r="AH466" t="n">
        <v>0</v>
      </c>
      <c r="AI466" t="n">
        <v>6.1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10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ROUND(Y466*Source!I839,7)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ROW(Source!A839)</f>
        <v/>
      </c>
      <c r="B467" t="n">
        <v>78869116</v>
      </c>
      <c r="C467" t="n">
        <v>78871575</v>
      </c>
      <c r="D467" t="n">
        <v>29164350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509-9899</t>
        </is>
      </c>
      <c r="J467" t="inlineStr">
        <is>
          <t>ТССЦ Московской обл., 509-9899, приказ Минстроя России №675/пр от 28.02.2017 № 258/пр</t>
        </is>
      </c>
      <c r="K467" t="inlineStr">
        <is>
          <t>Строительный мусор и масса возвратных материалов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W467" t="n">
        <v>0</v>
      </c>
      <c r="X467" t="n">
        <v>1839160745</v>
      </c>
      <c r="Y467">
        <f>AT467</f>
        <v/>
      </c>
      <c r="AA467" t="n">
        <v>0</v>
      </c>
      <c r="AB467" t="n">
        <v>0</v>
      </c>
      <c r="AC467" t="n">
        <v>0</v>
      </c>
      <c r="AD467" t="n">
        <v>0</v>
      </c>
      <c r="AE467" t="n">
        <v>0</v>
      </c>
      <c r="AF467" t="n">
        <v>0</v>
      </c>
      <c r="AG467" t="n">
        <v>0</v>
      </c>
      <c r="AH467" t="n">
        <v>0</v>
      </c>
      <c r="AI467" t="n">
        <v>1</v>
      </c>
      <c r="AJ467" t="n">
        <v>1</v>
      </c>
      <c r="AK467" t="n">
        <v>1</v>
      </c>
      <c r="AL467" t="n">
        <v>1</v>
      </c>
      <c r="AM467" t="n">
        <v>0</v>
      </c>
      <c r="AN467" t="n">
        <v>0</v>
      </c>
      <c r="AO467" t="n">
        <v>0</v>
      </c>
      <c r="AP467" t="n">
        <v>1</v>
      </c>
      <c r="AQ467" t="n">
        <v>0</v>
      </c>
      <c r="AR467" t="n">
        <v>0</v>
      </c>
      <c r="AS467" t="inlineStr"/>
      <c r="AT467" t="n">
        <v>0.04</v>
      </c>
      <c r="AU467" t="inlineStr"/>
      <c r="AV467" t="n">
        <v>0</v>
      </c>
      <c r="AW467" t="n">
        <v>2</v>
      </c>
      <c r="AX467" t="n">
        <v>78871590</v>
      </c>
      <c r="AY467" t="n">
        <v>1</v>
      </c>
      <c r="AZ467" t="n">
        <v>0</v>
      </c>
      <c r="BA467" t="n">
        <v>425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V467" t="n">
        <v>0</v>
      </c>
      <c r="CW467" t="n">
        <v>0</v>
      </c>
      <c r="CX467">
        <f>ROUND(Y467*Source!I839,7)</f>
        <v/>
      </c>
      <c r="CY467">
        <f>AA467</f>
        <v/>
      </c>
      <c r="CZ467">
        <f>AE467</f>
        <v/>
      </c>
      <c r="DA467">
        <f>AI467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DF467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ROW(Source!A845)</f>
        <v/>
      </c>
      <c r="B468" t="n">
        <v>78869116</v>
      </c>
      <c r="C468" t="n">
        <v>78871613</v>
      </c>
      <c r="D468" t="n">
        <v>18410280</v>
      </c>
      <c r="E468" t="n">
        <v>1</v>
      </c>
      <c r="F468" t="n">
        <v>1</v>
      </c>
      <c r="G468" t="n">
        <v>1</v>
      </c>
      <c r="H468" t="n">
        <v>1</v>
      </c>
      <c r="I468" t="inlineStr">
        <is>
          <t>1-1039-90</t>
        </is>
      </c>
      <c r="J468" t="inlineStr"/>
      <c r="K468" t="inlineStr">
        <is>
          <t>Рабочий строитель среднего разряда 3,9</t>
        </is>
      </c>
      <c r="L468" t="n">
        <v>1369</v>
      </c>
      <c r="N468" t="n">
        <v>1013</v>
      </c>
      <c r="O468" t="inlineStr">
        <is>
          <t>чел.-ч</t>
        </is>
      </c>
      <c r="P468" t="inlineStr">
        <is>
          <t>чел.-ч</t>
        </is>
      </c>
      <c r="Q468" t="n">
        <v>1</v>
      </c>
      <c r="W468" t="n">
        <v>0</v>
      </c>
      <c r="X468" t="n">
        <v>-464685602</v>
      </c>
      <c r="Y468">
        <f>AT468</f>
        <v/>
      </c>
      <c r="AA468" t="n">
        <v>0</v>
      </c>
      <c r="AB468" t="n">
        <v>0</v>
      </c>
      <c r="AC468" t="n">
        <v>0</v>
      </c>
      <c r="AD468" t="n">
        <v>9.51</v>
      </c>
      <c r="AE468" t="n">
        <v>0</v>
      </c>
      <c r="AF468" t="n">
        <v>0</v>
      </c>
      <c r="AG468" t="n">
        <v>0</v>
      </c>
      <c r="AH468" t="n">
        <v>9.51</v>
      </c>
      <c r="AI468" t="n">
        <v>1</v>
      </c>
      <c r="AJ468" t="n">
        <v>1</v>
      </c>
      <c r="AK468" t="n">
        <v>1</v>
      </c>
      <c r="AL468" t="n">
        <v>1</v>
      </c>
      <c r="AM468" t="n">
        <v>-2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71</v>
      </c>
      <c r="AU468" t="inlineStr"/>
      <c r="AV468" t="n">
        <v>1</v>
      </c>
      <c r="AW468" t="n">
        <v>2</v>
      </c>
      <c r="AX468" t="n">
        <v>78871644</v>
      </c>
      <c r="AY468" t="n">
        <v>1</v>
      </c>
      <c r="AZ468" t="n">
        <v>0</v>
      </c>
      <c r="BA468" t="n">
        <v>426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U468">
        <f>ROUND(AT468*Source!I845*AH468*AL468,0)</f>
        <v/>
      </c>
      <c r="CV468">
        <f>ROUND(Y468*Source!I845,7)</f>
        <v/>
      </c>
      <c r="CW468" t="n">
        <v>0</v>
      </c>
      <c r="CX468">
        <f>ROUND(Y468*Source!I845,7)</f>
        <v/>
      </c>
      <c r="CY468">
        <f>AD468</f>
        <v/>
      </c>
      <c r="CZ468">
        <f>AH468</f>
        <v/>
      </c>
      <c r="DA468">
        <f>AL468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ROUND(ROUND(AF468,0)*CX468,0)</f>
        <v/>
      </c>
      <c r="DH468">
        <f>ROUND(ROUND(AG468,0)*CX468,0)</f>
        <v/>
      </c>
      <c r="DI468">
        <f>ROUND(ROUND(AH468,0)*CX468,0)</f>
        <v/>
      </c>
      <c r="DJ468">
        <f>DI468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ROW(Source!A845)</f>
        <v/>
      </c>
      <c r="B469" t="n">
        <v>78869116</v>
      </c>
      <c r="C469" t="n">
        <v>78871613</v>
      </c>
      <c r="D469" t="n">
        <v>121548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2</t>
        </is>
      </c>
      <c r="J469" t="inlineStr"/>
      <c r="K469" t="inlineStr">
        <is>
          <t>Затраты труда машинистов</t>
        </is>
      </c>
      <c r="L469" t="n">
        <v>608254</v>
      </c>
      <c r="N469" t="n">
        <v>1013</v>
      </c>
      <c r="O469" t="inlineStr">
        <is>
          <t>чел.час</t>
        </is>
      </c>
      <c r="P469" t="inlineStr">
        <is>
          <t>чел.час</t>
        </is>
      </c>
      <c r="Q469" t="n">
        <v>1</v>
      </c>
      <c r="W469" t="n">
        <v>0</v>
      </c>
      <c r="X469" t="n">
        <v>-185737400</v>
      </c>
      <c r="Y469">
        <f>AT469</f>
        <v/>
      </c>
      <c r="AA469" t="n">
        <v>0</v>
      </c>
      <c r="AB469" t="n">
        <v>0</v>
      </c>
      <c r="AC469" t="n">
        <v>0</v>
      </c>
      <c r="AD469" t="n">
        <v>0</v>
      </c>
      <c r="AE469" t="n">
        <v>0</v>
      </c>
      <c r="AF469" t="n">
        <v>0</v>
      </c>
      <c r="AG469" t="n">
        <v>0</v>
      </c>
      <c r="AH469" t="n">
        <v>0</v>
      </c>
      <c r="AI469" t="n">
        <v>1</v>
      </c>
      <c r="AJ469" t="n">
        <v>1</v>
      </c>
      <c r="AK469" t="n">
        <v>1</v>
      </c>
      <c r="AL469" t="n">
        <v>1</v>
      </c>
      <c r="AM469" t="n">
        <v>-2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0.11</v>
      </c>
      <c r="AU469" t="inlineStr"/>
      <c r="AV469" t="n">
        <v>2</v>
      </c>
      <c r="AW469" t="n">
        <v>2</v>
      </c>
      <c r="AX469" t="n">
        <v>78871645</v>
      </c>
      <c r="AY469" t="n">
        <v>1</v>
      </c>
      <c r="AZ469" t="n">
        <v>0</v>
      </c>
      <c r="BA469" t="n">
        <v>427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ROUND(Y469*Source!I845,7)</f>
        <v/>
      </c>
      <c r="CY469">
        <f>AD469</f>
        <v/>
      </c>
      <c r="CZ469">
        <f>AH469</f>
        <v/>
      </c>
      <c r="DA469">
        <f>AL469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DI469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ROW(Source!A845)</f>
        <v/>
      </c>
      <c r="B470" t="n">
        <v>78869116</v>
      </c>
      <c r="C470" t="n">
        <v>78871613</v>
      </c>
      <c r="D470" t="n">
        <v>29172556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030954</t>
        </is>
      </c>
      <c r="J470" t="inlineStr">
        <is>
          <t>ТСЭМ Московской обл., 030954, приказ Минстроя России №675/пр от 28.02.2017 № 264/пр</t>
        </is>
      </c>
      <c r="K470" t="inlineStr">
        <is>
          <t>Подъемники грузоподъемностью до 500 кг одномачтовые, высота подъема 45 м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W470" t="n">
        <v>0</v>
      </c>
      <c r="X470" t="n">
        <v>344519037</v>
      </c>
      <c r="Y470">
        <f>AT470</f>
        <v/>
      </c>
      <c r="AA470" t="n">
        <v>0</v>
      </c>
      <c r="AB470" t="n">
        <v>728.98</v>
      </c>
      <c r="AC470" t="n">
        <v>705.38</v>
      </c>
      <c r="AD470" t="n">
        <v>0</v>
      </c>
      <c r="AE470" t="n">
        <v>0</v>
      </c>
      <c r="AF470" t="n">
        <v>31.26</v>
      </c>
      <c r="AG470" t="n">
        <v>13.5</v>
      </c>
      <c r="AH470" t="n">
        <v>0</v>
      </c>
      <c r="AI470" t="n">
        <v>1</v>
      </c>
      <c r="AJ470" t="n">
        <v>23.32</v>
      </c>
      <c r="AK470" t="n">
        <v>52.25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0.11</v>
      </c>
      <c r="AU470" t="inlineStr"/>
      <c r="AV470" t="n">
        <v>0</v>
      </c>
      <c r="AW470" t="n">
        <v>2</v>
      </c>
      <c r="AX470" t="n">
        <v>78871646</v>
      </c>
      <c r="AY470" t="n">
        <v>1</v>
      </c>
      <c r="AZ470" t="n">
        <v>0</v>
      </c>
      <c r="BA470" t="n">
        <v>428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>
        <f>ROUND(Y470*Source!I845*DO470,7)</f>
        <v/>
      </c>
      <c r="CX470">
        <f>ROUND(Y470*Source!I845,7)</f>
        <v/>
      </c>
      <c r="CY470">
        <f>AB470</f>
        <v/>
      </c>
      <c r="CZ470">
        <f>AF470</f>
        <v/>
      </c>
      <c r="DA470">
        <f>AJ470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ROUND(ROUND(AE470,0)*CX470,0)</f>
        <v/>
      </c>
      <c r="DG470">
        <f>ROUND(ROUND(AF470*AJ470,0)*CX470,0)</f>
        <v/>
      </c>
      <c r="DH470">
        <f>ROUND(ROUND(AG470*AK470,0)*CX470,0)</f>
        <v/>
      </c>
      <c r="DI470">
        <f>ROUND(ROUND(AH470,0)*CX470,0)</f>
        <v/>
      </c>
      <c r="DJ470">
        <f>DG470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ROW(Source!A845)</f>
        <v/>
      </c>
      <c r="B471" t="n">
        <v>78869116</v>
      </c>
      <c r="C471" t="n">
        <v>78871613</v>
      </c>
      <c r="D471" t="n">
        <v>29110398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101-0388</t>
        </is>
      </c>
      <c r="J471" t="inlineStr">
        <is>
          <t>ТССЦ Московской обл., 101-0388, приказ Минстроя России №675/пр от 28.02.2017 № 254/пр</t>
        </is>
      </c>
      <c r="K471" t="inlineStr">
        <is>
          <t>Краски масляные земляные марки МА-0115 мумия, сурик железный</t>
        </is>
      </c>
      <c r="L471" t="n">
        <v>1348</v>
      </c>
      <c r="N471" t="n">
        <v>1009</v>
      </c>
      <c r="O471" t="inlineStr">
        <is>
          <t>т</t>
        </is>
      </c>
      <c r="P471" t="inlineStr">
        <is>
          <t>т</t>
        </is>
      </c>
      <c r="Q471" t="n">
        <v>1000</v>
      </c>
      <c r="W471" t="n">
        <v>0</v>
      </c>
      <c r="X471" t="n">
        <v>1625292450</v>
      </c>
      <c r="Y471">
        <f>AT471</f>
        <v/>
      </c>
      <c r="AA471" t="n">
        <v>76804.47</v>
      </c>
      <c r="AB471" t="n">
        <v>0</v>
      </c>
      <c r="AC471" t="n">
        <v>0</v>
      </c>
      <c r="AD471" t="n">
        <v>0</v>
      </c>
      <c r="AE471" t="n">
        <v>15118.99</v>
      </c>
      <c r="AF471" t="n">
        <v>0</v>
      </c>
      <c r="AG471" t="n">
        <v>0</v>
      </c>
      <c r="AH471" t="n">
        <v>0</v>
      </c>
      <c r="AI471" t="n">
        <v>5.08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0.0013</v>
      </c>
      <c r="AU471" t="inlineStr"/>
      <c r="AV471" t="n">
        <v>0</v>
      </c>
      <c r="AW471" t="n">
        <v>2</v>
      </c>
      <c r="AX471" t="n">
        <v>78871647</v>
      </c>
      <c r="AY471" t="n">
        <v>1</v>
      </c>
      <c r="AZ471" t="n">
        <v>0</v>
      </c>
      <c r="BA471" t="n">
        <v>429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ROUND(Y471*Source!I845,7)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ROW(Source!A845)</f>
        <v/>
      </c>
      <c r="B472" t="n">
        <v>78869116</v>
      </c>
      <c r="C472" t="n">
        <v>78871613</v>
      </c>
      <c r="D472" t="n">
        <v>29110573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101-0628</t>
        </is>
      </c>
      <c r="J472" t="inlineStr">
        <is>
          <t>ТССЦ Московской обл., 101-0628, приказ Минстроя России №675/пр от 28.02.2017 № 254/пр</t>
        </is>
      </c>
      <c r="K472" t="inlineStr">
        <is>
          <t>Олифа комбинированная, марки К-3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W472" t="n">
        <v>0</v>
      </c>
      <c r="X472" t="n">
        <v>24062879</v>
      </c>
      <c r="Y472">
        <f>AT472</f>
        <v/>
      </c>
      <c r="AA472" t="n">
        <v>87631.5</v>
      </c>
      <c r="AB472" t="n">
        <v>0</v>
      </c>
      <c r="AC472" t="n">
        <v>0</v>
      </c>
      <c r="AD472" t="n">
        <v>0</v>
      </c>
      <c r="AE472" t="n">
        <v>16950</v>
      </c>
      <c r="AF472" t="n">
        <v>0</v>
      </c>
      <c r="AG472" t="n">
        <v>0</v>
      </c>
      <c r="AH472" t="n">
        <v>0</v>
      </c>
      <c r="AI472" t="n">
        <v>5.17</v>
      </c>
      <c r="AJ472" t="n">
        <v>1</v>
      </c>
      <c r="AK472" t="n">
        <v>1</v>
      </c>
      <c r="AL472" t="n">
        <v>1</v>
      </c>
      <c r="AM472" t="n">
        <v>2</v>
      </c>
      <c r="AN472" t="n">
        <v>0</v>
      </c>
      <c r="AO472" t="n">
        <v>1</v>
      </c>
      <c r="AP472" t="n">
        <v>1</v>
      </c>
      <c r="AQ472" t="n">
        <v>0</v>
      </c>
      <c r="AR472" t="n">
        <v>0</v>
      </c>
      <c r="AS472" t="inlineStr"/>
      <c r="AT472" t="n">
        <v>0.0024</v>
      </c>
      <c r="AU472" t="inlineStr"/>
      <c r="AV472" t="n">
        <v>0</v>
      </c>
      <c r="AW472" t="n">
        <v>2</v>
      </c>
      <c r="AX472" t="n">
        <v>78871648</v>
      </c>
      <c r="AY472" t="n">
        <v>1</v>
      </c>
      <c r="AZ472" t="n">
        <v>0</v>
      </c>
      <c r="BA472" t="n">
        <v>430</v>
      </c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ROUND(Y472*Source!I845,7)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ROUND(ROUND(AE472*AI472,0)*CX472,0)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ROW(Source!A845)</f>
        <v/>
      </c>
      <c r="B473" t="n">
        <v>78869116</v>
      </c>
      <c r="C473" t="n">
        <v>78871613</v>
      </c>
      <c r="D473" t="n">
        <v>29107963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101-1669</t>
        </is>
      </c>
      <c r="J473" t="inlineStr">
        <is>
          <t>ТССЦ Московской обл., 101-1669, приказ Минстроя России №675/пр от 28.02.2017 № 254/пр</t>
        </is>
      </c>
      <c r="K473" t="inlineStr">
        <is>
          <t>Очес льняной</t>
        </is>
      </c>
      <c r="L473" t="n">
        <v>1346</v>
      </c>
      <c r="N473" t="n">
        <v>1009</v>
      </c>
      <c r="O473" t="inlineStr">
        <is>
          <t>кг</t>
        </is>
      </c>
      <c r="P473" t="inlineStr">
        <is>
          <t>кг</t>
        </is>
      </c>
      <c r="Q473" t="n">
        <v>1</v>
      </c>
      <c r="W473" t="n">
        <v>0</v>
      </c>
      <c r="X473" t="n">
        <v>-2113933962</v>
      </c>
      <c r="Y473">
        <f>AT473</f>
        <v/>
      </c>
      <c r="AA473" t="n">
        <v>590.67</v>
      </c>
      <c r="AB473" t="n">
        <v>0</v>
      </c>
      <c r="AC473" t="n">
        <v>0</v>
      </c>
      <c r="AD473" t="n">
        <v>0</v>
      </c>
      <c r="AE473" t="n">
        <v>37.29</v>
      </c>
      <c r="AF473" t="n">
        <v>0</v>
      </c>
      <c r="AG473" t="n">
        <v>0</v>
      </c>
      <c r="AH473" t="n">
        <v>0</v>
      </c>
      <c r="AI473" t="n">
        <v>15.84</v>
      </c>
      <c r="AJ473" t="n">
        <v>1</v>
      </c>
      <c r="AK473" t="n">
        <v>1</v>
      </c>
      <c r="AL473" t="n">
        <v>1</v>
      </c>
      <c r="AM473" t="n">
        <v>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0.5600000000000001</v>
      </c>
      <c r="AU473" t="inlineStr"/>
      <c r="AV473" t="n">
        <v>0</v>
      </c>
      <c r="AW473" t="n">
        <v>2</v>
      </c>
      <c r="AX473" t="n">
        <v>78871649</v>
      </c>
      <c r="AY473" t="n">
        <v>1</v>
      </c>
      <c r="AZ473" t="n">
        <v>0</v>
      </c>
      <c r="BA473" t="n">
        <v>431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V473" t="n">
        <v>0</v>
      </c>
      <c r="CW473" t="n">
        <v>0</v>
      </c>
      <c r="CX473">
        <f>ROUND(Y473*Source!I845,7)</f>
        <v/>
      </c>
      <c r="CY473">
        <f>AA473</f>
        <v/>
      </c>
      <c r="CZ473">
        <f>AE473</f>
        <v/>
      </c>
      <c r="DA473">
        <f>AI473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ROUND(ROUND(AE473*AI473,0)*CX473,0)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DF473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ROW(Source!A845)</f>
        <v/>
      </c>
      <c r="B474" t="n">
        <v>78869116</v>
      </c>
      <c r="C474" t="n">
        <v>78871613</v>
      </c>
      <c r="D474" t="n">
        <v>29144220</v>
      </c>
      <c r="E474" t="n">
        <v>1</v>
      </c>
      <c r="F474" t="n">
        <v>1</v>
      </c>
      <c r="G474" t="n">
        <v>1</v>
      </c>
      <c r="H474" t="n">
        <v>3</v>
      </c>
      <c r="I474" t="inlineStr">
        <is>
          <t>302-1237</t>
        </is>
      </c>
      <c r="J474" t="inlineStr">
        <is>
          <t>ТССЦ Московской обл., 302-1237, приказ Минстроя России №675/пр от 28.02.2017 № 256/пр</t>
        </is>
      </c>
      <c r="K474" t="inlineStr">
        <is>
          <t>Сгоны стальные с муфтой и контргайкой, диаметром 20 мм</t>
        </is>
      </c>
      <c r="L474" t="n">
        <v>1354</v>
      </c>
      <c r="N474" t="n">
        <v>1010</v>
      </c>
      <c r="O474" t="inlineStr">
        <is>
          <t>шт.</t>
        </is>
      </c>
      <c r="P474" t="inlineStr">
        <is>
          <t>шт.</t>
        </is>
      </c>
      <c r="Q474" t="n">
        <v>1</v>
      </c>
      <c r="W474" t="n">
        <v>0</v>
      </c>
      <c r="X474" t="n">
        <v>-1208440998</v>
      </c>
      <c r="Y474">
        <f>AT474</f>
        <v/>
      </c>
      <c r="AA474" t="n">
        <v>98.98999999999999</v>
      </c>
      <c r="AB474" t="n">
        <v>0</v>
      </c>
      <c r="AC474" t="n">
        <v>0</v>
      </c>
      <c r="AD474" t="n">
        <v>0</v>
      </c>
      <c r="AE474" t="n">
        <v>10.95</v>
      </c>
      <c r="AF474" t="n">
        <v>0</v>
      </c>
      <c r="AG474" t="n">
        <v>0</v>
      </c>
      <c r="AH474" t="n">
        <v>0</v>
      </c>
      <c r="AI474" t="n">
        <v>9.039999999999999</v>
      </c>
      <c r="AJ474" t="n">
        <v>1</v>
      </c>
      <c r="AK474" t="n">
        <v>1</v>
      </c>
      <c r="AL474" t="n">
        <v>1</v>
      </c>
      <c r="AM474" t="n">
        <v>0</v>
      </c>
      <c r="AN474" t="n">
        <v>0</v>
      </c>
      <c r="AO474" t="n">
        <v>0</v>
      </c>
      <c r="AP474" t="n">
        <v>1</v>
      </c>
      <c r="AQ474" t="n">
        <v>0</v>
      </c>
      <c r="AR474" t="n">
        <v>0</v>
      </c>
      <c r="AS474" t="inlineStr"/>
      <c r="AT474" t="n">
        <v>200</v>
      </c>
      <c r="AU474" t="inlineStr"/>
      <c r="AV474" t="n">
        <v>0</v>
      </c>
      <c r="AW474" t="n">
        <v>1</v>
      </c>
      <c r="AX474" t="n">
        <v>-1</v>
      </c>
      <c r="AY474" t="n">
        <v>0</v>
      </c>
      <c r="AZ474" t="n">
        <v>0</v>
      </c>
      <c r="BA474" t="inlineStr"/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 t="n">
        <v>0</v>
      </c>
      <c r="CX474">
        <f>ROUND(Y474*Source!I845,7)</f>
        <v/>
      </c>
      <c r="CY474">
        <f>AA474</f>
        <v/>
      </c>
      <c r="CZ474">
        <f>AE474</f>
        <v/>
      </c>
      <c r="DA474">
        <f>AI474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ROUND(ROUND(AE474*AI474,0)*CX474,0)</f>
        <v/>
      </c>
      <c r="DG474">
        <f>ROUND(ROUND(AF474,0)*CX474,0)</f>
        <v/>
      </c>
      <c r="DH474">
        <f>ROUND(ROUND(AG474,0)*CX474,0)</f>
        <v/>
      </c>
      <c r="DI474">
        <f>ROUND(ROUND(AH474,0)*CX474,0)</f>
        <v/>
      </c>
      <c r="DJ474">
        <f>DF474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ROW(Source!A845)</f>
        <v/>
      </c>
      <c r="B475" t="n">
        <v>78869116</v>
      </c>
      <c r="C475" t="n">
        <v>78871613</v>
      </c>
      <c r="D475" t="n">
        <v>29144224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302-1241</t>
        </is>
      </c>
      <c r="J475" t="inlineStr">
        <is>
          <t>ТССЦ Московской обл., 302-1241, приказ Минстроя России №675/пр от 28.02.2017 № 256/пр</t>
        </is>
      </c>
      <c r="K475" t="inlineStr">
        <is>
          <t>Сгоны стальные с муфтой и контргайкой, диаметром 50 мм</t>
        </is>
      </c>
      <c r="L475" t="n">
        <v>1354</v>
      </c>
      <c r="N475" t="n">
        <v>1010</v>
      </c>
      <c r="O475" t="inlineStr">
        <is>
          <t>шт.</t>
        </is>
      </c>
      <c r="P475" t="inlineStr">
        <is>
          <t>шт.</t>
        </is>
      </c>
      <c r="Q475" t="n">
        <v>1</v>
      </c>
      <c r="W475" t="n">
        <v>1</v>
      </c>
      <c r="X475" t="n">
        <v>-1108176549</v>
      </c>
      <c r="Y475">
        <f>AT475</f>
        <v/>
      </c>
      <c r="AA475" t="n">
        <v>391.55</v>
      </c>
      <c r="AB475" t="n">
        <v>0</v>
      </c>
      <c r="AC475" t="n">
        <v>0</v>
      </c>
      <c r="AD475" t="n">
        <v>0</v>
      </c>
      <c r="AE475" t="n">
        <v>28.58</v>
      </c>
      <c r="AF475" t="n">
        <v>0</v>
      </c>
      <c r="AG475" t="n">
        <v>0</v>
      </c>
      <c r="AH475" t="n">
        <v>0</v>
      </c>
      <c r="AI475" t="n">
        <v>13.7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-100</v>
      </c>
      <c r="AU475" t="inlineStr"/>
      <c r="AV475" t="n">
        <v>0</v>
      </c>
      <c r="AW475" t="n">
        <v>2</v>
      </c>
      <c r="AX475" t="n">
        <v>78871650</v>
      </c>
      <c r="AY475" t="n">
        <v>1</v>
      </c>
      <c r="AZ475" t="n">
        <v>6144</v>
      </c>
      <c r="BA475" t="n">
        <v>432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ROUND(Y475*Source!I845,7)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ROW(Source!A848)</f>
        <v/>
      </c>
      <c r="B476" t="n">
        <v>78869116</v>
      </c>
      <c r="C476" t="n">
        <v>78871593</v>
      </c>
      <c r="D476" t="n">
        <v>18442827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1-1053-90</t>
        </is>
      </c>
      <c r="J476" t="inlineStr"/>
      <c r="K476" t="inlineStr">
        <is>
          <t>Рабочий строитель среднего разряда 5,3</t>
        </is>
      </c>
      <c r="L476" t="n">
        <v>1369</v>
      </c>
      <c r="N476" t="n">
        <v>1013</v>
      </c>
      <c r="O476" t="inlineStr">
        <is>
          <t>чел.-ч</t>
        </is>
      </c>
      <c r="P476" t="inlineStr">
        <is>
          <t>чел.-ч</t>
        </is>
      </c>
      <c r="Q476" t="n">
        <v>1</v>
      </c>
      <c r="W476" t="n">
        <v>0</v>
      </c>
      <c r="X476" t="n">
        <v>717490484</v>
      </c>
      <c r="Y476">
        <f>(AT476*ROUND(9,7))</f>
        <v/>
      </c>
      <c r="AA476" t="n">
        <v>0</v>
      </c>
      <c r="AB476" t="n">
        <v>0</v>
      </c>
      <c r="AC476" t="n">
        <v>0</v>
      </c>
      <c r="AD476" t="n">
        <v>11.64</v>
      </c>
      <c r="AE476" t="n">
        <v>0</v>
      </c>
      <c r="AF476" t="n">
        <v>0</v>
      </c>
      <c r="AG476" t="n">
        <v>0</v>
      </c>
      <c r="AH476" t="n">
        <v>11.64</v>
      </c>
      <c r="AI476" t="n">
        <v>1</v>
      </c>
      <c r="AJ476" t="n">
        <v>1</v>
      </c>
      <c r="AK476" t="n">
        <v>1</v>
      </c>
      <c r="AL476" t="n">
        <v>1</v>
      </c>
      <c r="AM476" t="n">
        <v>-2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5.01</v>
      </c>
      <c r="AU476" t="inlineStr">
        <is>
          <t>)*9</t>
        </is>
      </c>
      <c r="AV476" t="n">
        <v>1</v>
      </c>
      <c r="AW476" t="n">
        <v>2</v>
      </c>
      <c r="AX476" t="n">
        <v>78871600</v>
      </c>
      <c r="AY476" t="n">
        <v>1</v>
      </c>
      <c r="AZ476" t="n">
        <v>2048</v>
      </c>
      <c r="BA476" t="n">
        <v>433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U476">
        <f>ROUND(AT476*Source!I848*AH476*AL476,0)</f>
        <v/>
      </c>
      <c r="CV476">
        <f>ROUND(Y476*Source!I848,7)</f>
        <v/>
      </c>
      <c r="CW476" t="n">
        <v>0</v>
      </c>
      <c r="CX476">
        <f>ROUND(Y476*Source!I848,7)</f>
        <v/>
      </c>
      <c r="CY476">
        <f>AD476</f>
        <v/>
      </c>
      <c r="CZ476">
        <f>AH476</f>
        <v/>
      </c>
      <c r="DA476">
        <f>AL476</f>
        <v/>
      </c>
      <c r="DB476">
        <f>ROUND((ROUND(AT476*CZ476,2)*ROUND(9,7)),2)</f>
        <v/>
      </c>
      <c r="DC476">
        <f>ROUND((ROUND(AT476*AG476,2)*ROUND(9,7)),2)</f>
        <v/>
      </c>
      <c r="DD476" t="inlineStr"/>
      <c r="DE476" t="inlineStr"/>
      <c r="DF476">
        <f>ROUND(ROUND(AE476,0)*CX476,0)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DI476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ROW(Source!A848)</f>
        <v/>
      </c>
      <c r="B477" t="n">
        <v>78869116</v>
      </c>
      <c r="C477" t="n">
        <v>78871593</v>
      </c>
      <c r="D477" t="n">
        <v>29172703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042900</t>
        </is>
      </c>
      <c r="J477" t="inlineStr">
        <is>
          <t>ТСЭМ Московской обл., 042900, приказ Минстроя России №675/пр от 28.02.2017 № 264/пр</t>
        </is>
      </c>
      <c r="K47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W477" t="n">
        <v>0</v>
      </c>
      <c r="X477" t="n">
        <v>1695838894</v>
      </c>
      <c r="Y477">
        <f>(AT477*ROUND(9,7))</f>
        <v/>
      </c>
      <c r="AA477" t="n">
        <v>0</v>
      </c>
      <c r="AB477" t="n">
        <v>177.13</v>
      </c>
      <c r="AC477" t="n">
        <v>0</v>
      </c>
      <c r="AD477" t="n">
        <v>0</v>
      </c>
      <c r="AE477" t="n">
        <v>0</v>
      </c>
      <c r="AF477" t="n">
        <v>29.67</v>
      </c>
      <c r="AG477" t="n">
        <v>0</v>
      </c>
      <c r="AH477" t="n">
        <v>0</v>
      </c>
      <c r="AI477" t="n">
        <v>1</v>
      </c>
      <c r="AJ477" t="n">
        <v>5.97</v>
      </c>
      <c r="AK477" t="n">
        <v>52.25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1.5</v>
      </c>
      <c r="AU477" t="inlineStr">
        <is>
          <t>)*9</t>
        </is>
      </c>
      <c r="AV477" t="n">
        <v>0</v>
      </c>
      <c r="AW477" t="n">
        <v>2</v>
      </c>
      <c r="AX477" t="n">
        <v>78871601</v>
      </c>
      <c r="AY477" t="n">
        <v>1</v>
      </c>
      <c r="AZ477" t="n">
        <v>0</v>
      </c>
      <c r="BA477" t="n">
        <v>434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>
        <f>ROUND(Y477*Source!I848*DO477,7)</f>
        <v/>
      </c>
      <c r="CX477">
        <f>ROUND(Y477*Source!I848,7)</f>
        <v/>
      </c>
      <c r="CY477">
        <f>AB477</f>
        <v/>
      </c>
      <c r="CZ477">
        <f>AF477</f>
        <v/>
      </c>
      <c r="DA477">
        <f>AJ477</f>
        <v/>
      </c>
      <c r="DB477">
        <f>ROUND((ROUND(AT477*CZ477,2)*ROUND(9,7)),2)</f>
        <v/>
      </c>
      <c r="DC477">
        <f>ROUND((ROUND(AT477*AG477,2)*ROUND(9,7)),2)</f>
        <v/>
      </c>
      <c r="DD477" t="inlineStr"/>
      <c r="DE477" t="inlineStr"/>
      <c r="DF477">
        <f>ROUND(ROUND(AE477,0)*CX477,0)</f>
        <v/>
      </c>
      <c r="DG477">
        <f>ROUND(ROUND(AF477*AJ477,0)*CX477,0)</f>
        <v/>
      </c>
      <c r="DH477">
        <f>ROUND(ROUND(AG477*AK477,0)*CX477,0)</f>
        <v/>
      </c>
      <c r="DI477">
        <f>ROUND(ROUND(AH477,0)*CX477,0)</f>
        <v/>
      </c>
      <c r="DJ477">
        <f>DG477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ROW(Source!A848)</f>
        <v/>
      </c>
      <c r="B478" t="n">
        <v>78869116</v>
      </c>
      <c r="C478" t="n">
        <v>78871593</v>
      </c>
      <c r="D478" t="n">
        <v>29110398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101-0388</t>
        </is>
      </c>
      <c r="J478" t="inlineStr">
        <is>
          <t>ТССЦ Московской обл., 101-0388, приказ Минстроя России №675/пр от 28.02.2017 № 254/пр</t>
        </is>
      </c>
      <c r="K478" t="inlineStr">
        <is>
          <t>Краски масляные земляные марки МА-0115 мумия, сурик железный</t>
        </is>
      </c>
      <c r="L478" t="n">
        <v>1348</v>
      </c>
      <c r="N478" t="n">
        <v>1009</v>
      </c>
      <c r="O478" t="inlineStr">
        <is>
          <t>т</t>
        </is>
      </c>
      <c r="P478" t="inlineStr">
        <is>
          <t>т</t>
        </is>
      </c>
      <c r="Q478" t="n">
        <v>1000</v>
      </c>
      <c r="W478" t="n">
        <v>0</v>
      </c>
      <c r="X478" t="n">
        <v>1625292450</v>
      </c>
      <c r="Y478">
        <f>(AT478*ROUND(9,7))</f>
        <v/>
      </c>
      <c r="AA478" t="n">
        <v>76804.47</v>
      </c>
      <c r="AB478" t="n">
        <v>0</v>
      </c>
      <c r="AC478" t="n">
        <v>0</v>
      </c>
      <c r="AD478" t="n">
        <v>0</v>
      </c>
      <c r="AE478" t="n">
        <v>15118.99</v>
      </c>
      <c r="AF478" t="n">
        <v>0</v>
      </c>
      <c r="AG478" t="n">
        <v>0</v>
      </c>
      <c r="AH478" t="n">
        <v>0</v>
      </c>
      <c r="AI478" t="n">
        <v>5.08</v>
      </c>
      <c r="AJ478" t="n">
        <v>1</v>
      </c>
      <c r="AK478" t="n">
        <v>1</v>
      </c>
      <c r="AL478" t="n">
        <v>1</v>
      </c>
      <c r="AM478" t="n">
        <v>2</v>
      </c>
      <c r="AN478" t="n">
        <v>0</v>
      </c>
      <c r="AO478" t="n">
        <v>1</v>
      </c>
      <c r="AP478" t="n">
        <v>1</v>
      </c>
      <c r="AQ478" t="n">
        <v>0</v>
      </c>
      <c r="AR478" t="n">
        <v>0</v>
      </c>
      <c r="AS478" t="inlineStr"/>
      <c r="AT478" t="n">
        <v>5e-05</v>
      </c>
      <c r="AU478" t="inlineStr">
        <is>
          <t>)*9</t>
        </is>
      </c>
      <c r="AV478" t="n">
        <v>0</v>
      </c>
      <c r="AW478" t="n">
        <v>2</v>
      </c>
      <c r="AX478" t="n">
        <v>78871602</v>
      </c>
      <c r="AY478" t="n">
        <v>1</v>
      </c>
      <c r="AZ478" t="n">
        <v>2048</v>
      </c>
      <c r="BA478" t="n">
        <v>435</v>
      </c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ROUND(Y478*Source!I848,7)</f>
        <v/>
      </c>
      <c r="CY478">
        <f>AA478</f>
        <v/>
      </c>
      <c r="CZ478">
        <f>AE478</f>
        <v/>
      </c>
      <c r="DA478">
        <f>AI478</f>
        <v/>
      </c>
      <c r="DB478">
        <f>ROUND((ROUND(AT478*CZ478,2)*ROUND(9,7)),2)</f>
        <v/>
      </c>
      <c r="DC478">
        <f>ROUND((ROUND(AT478*AG478,2)*ROUND(9,7)),2)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ROW(Source!A848)</f>
        <v/>
      </c>
      <c r="B479" t="n">
        <v>78869116</v>
      </c>
      <c r="C479" t="n">
        <v>78871593</v>
      </c>
      <c r="D479" t="n">
        <v>29110573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101-0628</t>
        </is>
      </c>
      <c r="J479" t="inlineStr">
        <is>
          <t>ТССЦ Московской обл., 101-0628, приказ Минстроя России №675/пр от 28.02.2017 № 254/пр</t>
        </is>
      </c>
      <c r="K479" t="inlineStr">
        <is>
          <t>Олифа комбинированная, марки К-3</t>
        </is>
      </c>
      <c r="L479" t="n">
        <v>1348</v>
      </c>
      <c r="N479" t="n">
        <v>1009</v>
      </c>
      <c r="O479" t="inlineStr">
        <is>
          <t>т</t>
        </is>
      </c>
      <c r="P479" t="inlineStr">
        <is>
          <t>т</t>
        </is>
      </c>
      <c r="Q479" t="n">
        <v>1000</v>
      </c>
      <c r="W479" t="n">
        <v>0</v>
      </c>
      <c r="X479" t="n">
        <v>24062879</v>
      </c>
      <c r="Y479">
        <f>(AT479*ROUND(9,7))</f>
        <v/>
      </c>
      <c r="AA479" t="n">
        <v>87631.5</v>
      </c>
      <c r="AB479" t="n">
        <v>0</v>
      </c>
      <c r="AC479" t="n">
        <v>0</v>
      </c>
      <c r="AD479" t="n">
        <v>0</v>
      </c>
      <c r="AE479" t="n">
        <v>16950</v>
      </c>
      <c r="AF479" t="n">
        <v>0</v>
      </c>
      <c r="AG479" t="n">
        <v>0</v>
      </c>
      <c r="AH479" t="n">
        <v>0</v>
      </c>
      <c r="AI479" t="n">
        <v>5.17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2e-05</v>
      </c>
      <c r="AU479" t="inlineStr">
        <is>
          <t>)*9</t>
        </is>
      </c>
      <c r="AV479" t="n">
        <v>0</v>
      </c>
      <c r="AW479" t="n">
        <v>2</v>
      </c>
      <c r="AX479" t="n">
        <v>78871603</v>
      </c>
      <c r="AY479" t="n">
        <v>1</v>
      </c>
      <c r="AZ479" t="n">
        <v>0</v>
      </c>
      <c r="BA479" t="n">
        <v>436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ROUND(Y479*Source!I848,7)</f>
        <v/>
      </c>
      <c r="CY479">
        <f>AA479</f>
        <v/>
      </c>
      <c r="CZ479">
        <f>AE479</f>
        <v/>
      </c>
      <c r="DA479">
        <f>AI479</f>
        <v/>
      </c>
      <c r="DB479">
        <f>ROUND((ROUND(AT479*CZ479,2)*ROUND(9,7)),2)</f>
        <v/>
      </c>
      <c r="DC479">
        <f>ROUND((ROUND(AT479*AG479,2)*ROUND(9,7)),2)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ROW(Source!A848)</f>
        <v/>
      </c>
      <c r="B480" t="n">
        <v>78869116</v>
      </c>
      <c r="C480" t="n">
        <v>78871593</v>
      </c>
      <c r="D480" t="n">
        <v>29107963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101-1669</t>
        </is>
      </c>
      <c r="J480" t="inlineStr">
        <is>
          <t>ТССЦ Московской обл., 101-1669, приказ Минстроя России №675/пр от 28.02.2017 № 254/пр</t>
        </is>
      </c>
      <c r="K480" t="inlineStr">
        <is>
          <t>Очес льняной</t>
        </is>
      </c>
      <c r="L480" t="n">
        <v>1346</v>
      </c>
      <c r="N480" t="n">
        <v>1009</v>
      </c>
      <c r="O480" t="inlineStr">
        <is>
          <t>кг</t>
        </is>
      </c>
      <c r="P480" t="inlineStr">
        <is>
          <t>кг</t>
        </is>
      </c>
      <c r="Q480" t="n">
        <v>1</v>
      </c>
      <c r="W480" t="n">
        <v>0</v>
      </c>
      <c r="X480" t="n">
        <v>-2113933962</v>
      </c>
      <c r="Y480">
        <f>(AT480*ROUND(9,7))</f>
        <v/>
      </c>
      <c r="AA480" t="n">
        <v>590.67</v>
      </c>
      <c r="AB480" t="n">
        <v>0</v>
      </c>
      <c r="AC480" t="n">
        <v>0</v>
      </c>
      <c r="AD480" t="n">
        <v>0</v>
      </c>
      <c r="AE480" t="n">
        <v>37.29</v>
      </c>
      <c r="AF480" t="n">
        <v>0</v>
      </c>
      <c r="AG480" t="n">
        <v>0</v>
      </c>
      <c r="AH480" t="n">
        <v>0</v>
      </c>
      <c r="AI480" t="n">
        <v>15.84</v>
      </c>
      <c r="AJ480" t="n">
        <v>1</v>
      </c>
      <c r="AK480" t="n">
        <v>1</v>
      </c>
      <c r="AL480" t="n">
        <v>1</v>
      </c>
      <c r="AM480" t="n">
        <v>2</v>
      </c>
      <c r="AN480" t="n">
        <v>0</v>
      </c>
      <c r="AO480" t="n">
        <v>1</v>
      </c>
      <c r="AP480" t="n">
        <v>1</v>
      </c>
      <c r="AQ480" t="n">
        <v>0</v>
      </c>
      <c r="AR480" t="n">
        <v>0</v>
      </c>
      <c r="AS480" t="inlineStr"/>
      <c r="AT480" t="n">
        <v>0.02</v>
      </c>
      <c r="AU480" t="inlineStr">
        <is>
          <t>)*9</t>
        </is>
      </c>
      <c r="AV480" t="n">
        <v>0</v>
      </c>
      <c r="AW480" t="n">
        <v>2</v>
      </c>
      <c r="AX480" t="n">
        <v>78871604</v>
      </c>
      <c r="AY480" t="n">
        <v>1</v>
      </c>
      <c r="AZ480" t="n">
        <v>0</v>
      </c>
      <c r="BA480" t="n">
        <v>437</v>
      </c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ROUND(Y480*Source!I848,7)</f>
        <v/>
      </c>
      <c r="CY480">
        <f>AA480</f>
        <v/>
      </c>
      <c r="CZ480">
        <f>AE480</f>
        <v/>
      </c>
      <c r="DA480">
        <f>AI480</f>
        <v/>
      </c>
      <c r="DB480">
        <f>ROUND((ROUND(AT480*CZ480,2)*ROUND(9,7)),2)</f>
        <v/>
      </c>
      <c r="DC480">
        <f>ROUND((ROUND(AT480*AG480,2)*ROUND(9,7)),2)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ROW(Source!A848)</f>
        <v/>
      </c>
      <c r="B481" t="n">
        <v>78869116</v>
      </c>
      <c r="C481" t="n">
        <v>78871593</v>
      </c>
      <c r="D481" t="n">
        <v>29150040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411-0001</t>
        </is>
      </c>
      <c r="J481" t="inlineStr">
        <is>
          <t>ТССЦ Московской обл., 411-0001, приказ Минстроя России №675/пр от 28.02.2017 № 257/пр</t>
        </is>
      </c>
      <c r="K481" t="inlineStr">
        <is>
          <t>Вода</t>
        </is>
      </c>
      <c r="L481" t="n">
        <v>1339</v>
      </c>
      <c r="N481" t="n">
        <v>1007</v>
      </c>
      <c r="O481" t="inlineStr">
        <is>
          <t>м3</t>
        </is>
      </c>
      <c r="P481" t="inlineStr">
        <is>
          <t>м3</t>
        </is>
      </c>
      <c r="Q481" t="n">
        <v>1</v>
      </c>
      <c r="W481" t="n">
        <v>0</v>
      </c>
      <c r="X481" t="n">
        <v>619799737</v>
      </c>
      <c r="Y481">
        <f>(AT481*ROUND(9,7))</f>
        <v/>
      </c>
      <c r="AA481" t="n">
        <v>31.28</v>
      </c>
      <c r="AB481" t="n">
        <v>0</v>
      </c>
      <c r="AC481" t="n">
        <v>0</v>
      </c>
      <c r="AD481" t="n">
        <v>0</v>
      </c>
      <c r="AE481" t="n">
        <v>2.44</v>
      </c>
      <c r="AF481" t="n">
        <v>0</v>
      </c>
      <c r="AG481" t="n">
        <v>0</v>
      </c>
      <c r="AH481" t="n">
        <v>0</v>
      </c>
      <c r="AI481" t="n">
        <v>12.82</v>
      </c>
      <c r="AJ481" t="n">
        <v>1</v>
      </c>
      <c r="AK481" t="n">
        <v>1</v>
      </c>
      <c r="AL481" t="n">
        <v>1</v>
      </c>
      <c r="AM481" t="n">
        <v>2</v>
      </c>
      <c r="AN481" t="n">
        <v>0</v>
      </c>
      <c r="AO481" t="n">
        <v>1</v>
      </c>
      <c r="AP481" t="n">
        <v>1</v>
      </c>
      <c r="AQ481" t="n">
        <v>0</v>
      </c>
      <c r="AR481" t="n">
        <v>0</v>
      </c>
      <c r="AS481" t="inlineStr"/>
      <c r="AT481" t="n">
        <v>1</v>
      </c>
      <c r="AU481" t="inlineStr">
        <is>
          <t>)*9</t>
        </is>
      </c>
      <c r="AV481" t="n">
        <v>0</v>
      </c>
      <c r="AW481" t="n">
        <v>2</v>
      </c>
      <c r="AX481" t="n">
        <v>78871605</v>
      </c>
      <c r="AY481" t="n">
        <v>1</v>
      </c>
      <c r="AZ481" t="n">
        <v>0</v>
      </c>
      <c r="BA481" t="n">
        <v>438</v>
      </c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ROUND(Y481*Source!I848,7)</f>
        <v/>
      </c>
      <c r="CY481">
        <f>AA481</f>
        <v/>
      </c>
      <c r="CZ481">
        <f>AE481</f>
        <v/>
      </c>
      <c r="DA481">
        <f>AI481</f>
        <v/>
      </c>
      <c r="DB481">
        <f>ROUND((ROUND(AT481*CZ481,2)*ROUND(9,7)),2)</f>
        <v/>
      </c>
      <c r="DC481">
        <f>ROUND((ROUND(AT481*AG481,2)*ROUND(9,7)),2)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ROW(Source!A887)</f>
        <v/>
      </c>
      <c r="B482" t="n">
        <v>78869116</v>
      </c>
      <c r="C482" t="n">
        <v>78871717</v>
      </c>
      <c r="D482" t="n">
        <v>18408291</v>
      </c>
      <c r="E482" t="n">
        <v>1</v>
      </c>
      <c r="F482" t="n">
        <v>1</v>
      </c>
      <c r="G482" t="n">
        <v>1</v>
      </c>
      <c r="H482" t="n">
        <v>1</v>
      </c>
      <c r="I482" t="inlineStr">
        <is>
          <t>1-1025-90</t>
        </is>
      </c>
      <c r="J482" t="inlineStr"/>
      <c r="K482" t="inlineStr">
        <is>
          <t>Рабочий строитель среднего разряда 2,5</t>
        </is>
      </c>
      <c r="L482" t="n">
        <v>1369</v>
      </c>
      <c r="N482" t="n">
        <v>1013</v>
      </c>
      <c r="O482" t="inlineStr">
        <is>
          <t>чел.-ч</t>
        </is>
      </c>
      <c r="P482" t="inlineStr">
        <is>
          <t>чел.-ч</t>
        </is>
      </c>
      <c r="Q482" t="n">
        <v>1</v>
      </c>
      <c r="W482" t="n">
        <v>0</v>
      </c>
      <c r="X482" t="n">
        <v>1933892413</v>
      </c>
      <c r="Y482">
        <f>AT482</f>
        <v/>
      </c>
      <c r="AA482" t="n">
        <v>0</v>
      </c>
      <c r="AB482" t="n">
        <v>0</v>
      </c>
      <c r="AC482" t="n">
        <v>0</v>
      </c>
      <c r="AD482" t="n">
        <v>8.17</v>
      </c>
      <c r="AE482" t="n">
        <v>0</v>
      </c>
      <c r="AF482" t="n">
        <v>0</v>
      </c>
      <c r="AG482" t="n">
        <v>0</v>
      </c>
      <c r="AH482" t="n">
        <v>8.17</v>
      </c>
      <c r="AI482" t="n">
        <v>1</v>
      </c>
      <c r="AJ482" t="n">
        <v>1</v>
      </c>
      <c r="AK482" t="n">
        <v>1</v>
      </c>
      <c r="AL482" t="n">
        <v>1</v>
      </c>
      <c r="AM482" t="n">
        <v>-2</v>
      </c>
      <c r="AN482" t="n">
        <v>0</v>
      </c>
      <c r="AO482" t="n">
        <v>1</v>
      </c>
      <c r="AP482" t="n">
        <v>1</v>
      </c>
      <c r="AQ482" t="n">
        <v>0</v>
      </c>
      <c r="AR482" t="n">
        <v>0</v>
      </c>
      <c r="AS482" t="inlineStr"/>
      <c r="AT482" t="n">
        <v>32.2</v>
      </c>
      <c r="AU482" t="inlineStr"/>
      <c r="AV482" t="n">
        <v>1</v>
      </c>
      <c r="AW482" t="n">
        <v>2</v>
      </c>
      <c r="AX482" t="n">
        <v>78871723</v>
      </c>
      <c r="AY482" t="n">
        <v>1</v>
      </c>
      <c r="AZ482" t="n">
        <v>0</v>
      </c>
      <c r="BA482" t="n">
        <v>439</v>
      </c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U482">
        <f>ROUND(AT482*Source!I887*AH482*AL482,0)</f>
        <v/>
      </c>
      <c r="CV482">
        <f>ROUND(Y482*Source!I887,7)</f>
        <v/>
      </c>
      <c r="CW482" t="n">
        <v>0</v>
      </c>
      <c r="CX482">
        <f>ROUND(Y482*Source!I887,7)</f>
        <v/>
      </c>
      <c r="CY482">
        <f>AD482</f>
        <v/>
      </c>
      <c r="CZ482">
        <f>AH482</f>
        <v/>
      </c>
      <c r="DA482">
        <f>AL482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DI482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ROW(Source!A887)</f>
        <v/>
      </c>
      <c r="B483" t="n">
        <v>78869116</v>
      </c>
      <c r="C483" t="n">
        <v>78871717</v>
      </c>
      <c r="D483" t="n">
        <v>29174913</v>
      </c>
      <c r="E483" t="n">
        <v>1</v>
      </c>
      <c r="F483" t="n">
        <v>1</v>
      </c>
      <c r="G483" t="n">
        <v>1</v>
      </c>
      <c r="H483" t="n">
        <v>2</v>
      </c>
      <c r="I483" t="inlineStr">
        <is>
          <t>400001</t>
        </is>
      </c>
      <c r="J483" t="inlineStr">
        <is>
          <t>ТСЭМ Московской обл., 400001, приказ Минстроя России №675/пр от 28.02.2017 № 264/пр</t>
        </is>
      </c>
      <c r="K483" t="inlineStr">
        <is>
          <t>Автомобили бортовые, грузоподъемность до 5 т</t>
        </is>
      </c>
      <c r="L483" t="n">
        <v>1368</v>
      </c>
      <c r="N483" t="n">
        <v>1011</v>
      </c>
      <c r="O483" t="inlineStr">
        <is>
          <t>маш.-ч</t>
        </is>
      </c>
      <c r="P483" t="inlineStr">
        <is>
          <t>маш.-ч</t>
        </is>
      </c>
      <c r="Q483" t="n">
        <v>1</v>
      </c>
      <c r="W483" t="n">
        <v>0</v>
      </c>
      <c r="X483" t="n">
        <v>1230759911</v>
      </c>
      <c r="Y483">
        <f>AT483</f>
        <v/>
      </c>
      <c r="AA483" t="n">
        <v>0</v>
      </c>
      <c r="AB483" t="n">
        <v>2177.51</v>
      </c>
      <c r="AC483" t="n">
        <v>606.1</v>
      </c>
      <c r="AD483" t="n">
        <v>0</v>
      </c>
      <c r="AE483" t="n">
        <v>0</v>
      </c>
      <c r="AF483" t="n">
        <v>87.17</v>
      </c>
      <c r="AG483" t="n">
        <v>11.6</v>
      </c>
      <c r="AH483" t="n">
        <v>0</v>
      </c>
      <c r="AI483" t="n">
        <v>1</v>
      </c>
      <c r="AJ483" t="n">
        <v>24.98</v>
      </c>
      <c r="AK483" t="n">
        <v>52.25</v>
      </c>
      <c r="AL483" t="n">
        <v>1</v>
      </c>
      <c r="AM483" t="n">
        <v>2</v>
      </c>
      <c r="AN483" t="n">
        <v>0</v>
      </c>
      <c r="AO483" t="n">
        <v>1</v>
      </c>
      <c r="AP483" t="n">
        <v>1</v>
      </c>
      <c r="AQ483" t="n">
        <v>0</v>
      </c>
      <c r="AR483" t="n">
        <v>0</v>
      </c>
      <c r="AS483" t="inlineStr"/>
      <c r="AT483" t="n">
        <v>0.01</v>
      </c>
      <c r="AU483" t="inlineStr"/>
      <c r="AV483" t="n">
        <v>0</v>
      </c>
      <c r="AW483" t="n">
        <v>2</v>
      </c>
      <c r="AX483" t="n">
        <v>78871724</v>
      </c>
      <c r="AY483" t="n">
        <v>1</v>
      </c>
      <c r="AZ483" t="n">
        <v>0</v>
      </c>
      <c r="BA483" t="n">
        <v>440</v>
      </c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>
        <f>ROUND(Y483*Source!I887*DO483,7)</f>
        <v/>
      </c>
      <c r="CX483">
        <f>ROUND(Y483*Source!I887,7)</f>
        <v/>
      </c>
      <c r="CY483">
        <f>AB483</f>
        <v/>
      </c>
      <c r="CZ483">
        <f>AF483</f>
        <v/>
      </c>
      <c r="DA483">
        <f>AJ483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ROUND(ROUND(AE483,0)*CX483,0)</f>
        <v/>
      </c>
      <c r="DG483">
        <f>ROUND(ROUND(AF483*AJ483,0)*CX483,0)</f>
        <v/>
      </c>
      <c r="DH483">
        <f>ROUND(ROUND(AG483*AK483,0)*CX483,0)</f>
        <v/>
      </c>
      <c r="DI483">
        <f>ROUND(ROUND(AH483,0)*CX483,0)</f>
        <v/>
      </c>
      <c r="DJ483">
        <f>DG483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ROW(Source!A887)</f>
        <v/>
      </c>
      <c r="B484" t="n">
        <v>78869116</v>
      </c>
      <c r="C484" t="n">
        <v>78871717</v>
      </c>
      <c r="D484" t="n">
        <v>29110139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101-1703</t>
        </is>
      </c>
      <c r="J484" t="inlineStr">
        <is>
          <t>ТССЦ Московской обл., 101-1703, приказ Минстроя России №675/пр от 28.02.2017 № 254/пр</t>
        </is>
      </c>
      <c r="K484" t="inlineStr">
        <is>
          <t>Прокладки резиновые (пластина техническая прессованная)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W484" t="n">
        <v>0</v>
      </c>
      <c r="X484" t="n">
        <v>-1947909329</v>
      </c>
      <c r="Y484">
        <f>AT484</f>
        <v/>
      </c>
      <c r="AA484" t="n">
        <v>341.04</v>
      </c>
      <c r="AB484" t="n">
        <v>0</v>
      </c>
      <c r="AC484" t="n">
        <v>0</v>
      </c>
      <c r="AD484" t="n">
        <v>0</v>
      </c>
      <c r="AE484" t="n">
        <v>23.09</v>
      </c>
      <c r="AF484" t="n">
        <v>0</v>
      </c>
      <c r="AG484" t="n">
        <v>0</v>
      </c>
      <c r="AH484" t="n">
        <v>0</v>
      </c>
      <c r="AI484" t="n">
        <v>14.77</v>
      </c>
      <c r="AJ484" t="n">
        <v>1</v>
      </c>
      <c r="AK484" t="n">
        <v>1</v>
      </c>
      <c r="AL484" t="n">
        <v>1</v>
      </c>
      <c r="AM484" t="n">
        <v>2</v>
      </c>
      <c r="AN484" t="n">
        <v>0</v>
      </c>
      <c r="AO484" t="n">
        <v>1</v>
      </c>
      <c r="AP484" t="n">
        <v>1</v>
      </c>
      <c r="AQ484" t="n">
        <v>0</v>
      </c>
      <c r="AR484" t="n">
        <v>0</v>
      </c>
      <c r="AS484" t="inlineStr"/>
      <c r="AT484" t="n">
        <v>2</v>
      </c>
      <c r="AU484" t="inlineStr"/>
      <c r="AV484" t="n">
        <v>0</v>
      </c>
      <c r="AW484" t="n">
        <v>2</v>
      </c>
      <c r="AX484" t="n">
        <v>78871725</v>
      </c>
      <c r="AY484" t="n">
        <v>1</v>
      </c>
      <c r="AZ484" t="n">
        <v>0</v>
      </c>
      <c r="BA484" t="n">
        <v>441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ROUND(Y484*Source!I887,7)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ROUND(ROUND(AE484*AI484,0)*CX484,0)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ROW(Source!A887)</f>
        <v/>
      </c>
      <c r="B485" t="n">
        <v>78869116</v>
      </c>
      <c r="C485" t="n">
        <v>78871717</v>
      </c>
      <c r="D485" t="n">
        <v>29114240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101-2576</t>
        </is>
      </c>
      <c r="J485" t="inlineStr">
        <is>
          <t>ТССЦ Московской обл., 101-2576, приказ Минстроя России №675/пр от 28.02.2017 № 254/пр</t>
        </is>
      </c>
      <c r="K485" t="inlineStr">
        <is>
          <t>Болты с гайками и шайбами для санитарно-технических работ диаметром 16 мм</t>
        </is>
      </c>
      <c r="L485" t="n">
        <v>1348</v>
      </c>
      <c r="N485" t="n">
        <v>1009</v>
      </c>
      <c r="O485" t="inlineStr">
        <is>
          <t>т</t>
        </is>
      </c>
      <c r="P485" t="inlineStr">
        <is>
          <t>т</t>
        </is>
      </c>
      <c r="Q485" t="n">
        <v>1000</v>
      </c>
      <c r="W485" t="n">
        <v>0</v>
      </c>
      <c r="X485" t="n">
        <v>-1701539228</v>
      </c>
      <c r="Y485">
        <f>AT485</f>
        <v/>
      </c>
      <c r="AA485" t="n">
        <v>145037.4</v>
      </c>
      <c r="AB485" t="n">
        <v>0</v>
      </c>
      <c r="AC485" t="n">
        <v>0</v>
      </c>
      <c r="AD485" t="n">
        <v>0</v>
      </c>
      <c r="AE485" t="n">
        <v>14830</v>
      </c>
      <c r="AF485" t="n">
        <v>0</v>
      </c>
      <c r="AG485" t="n">
        <v>0</v>
      </c>
      <c r="AH485" t="n">
        <v>0</v>
      </c>
      <c r="AI485" t="n">
        <v>9.779999999999999</v>
      </c>
      <c r="AJ485" t="n">
        <v>1</v>
      </c>
      <c r="AK485" t="n">
        <v>1</v>
      </c>
      <c r="AL485" t="n">
        <v>1</v>
      </c>
      <c r="AM485" t="n">
        <v>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0.005</v>
      </c>
      <c r="AU485" t="inlineStr"/>
      <c r="AV485" t="n">
        <v>0</v>
      </c>
      <c r="AW485" t="n">
        <v>2</v>
      </c>
      <c r="AX485" t="n">
        <v>78871726</v>
      </c>
      <c r="AY485" t="n">
        <v>1</v>
      </c>
      <c r="AZ485" t="n">
        <v>0</v>
      </c>
      <c r="BA485" t="n">
        <v>442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V485" t="n">
        <v>0</v>
      </c>
      <c r="CW485" t="n">
        <v>0</v>
      </c>
      <c r="CX485">
        <f>ROUND(Y485*Source!I887,7)</f>
        <v/>
      </c>
      <c r="CY485">
        <f>AA485</f>
        <v/>
      </c>
      <c r="CZ485">
        <f>AE485</f>
        <v/>
      </c>
      <c r="DA485">
        <f>AI485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ROUND(ROUND(AE485*AI485,0)*CX485,0)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DF485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ROW(Source!A887)</f>
        <v/>
      </c>
      <c r="B486" t="n">
        <v>78869116</v>
      </c>
      <c r="C486" t="n">
        <v>78871717</v>
      </c>
      <c r="D486" t="n">
        <v>29150040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411-0001</t>
        </is>
      </c>
      <c r="J486" t="inlineStr">
        <is>
          <t>ТССЦ Московской обл., 411-0001, приказ Минстроя России №675/пр от 28.02.2017 № 257/пр</t>
        </is>
      </c>
      <c r="K486" t="inlineStr">
        <is>
          <t>Вода</t>
        </is>
      </c>
      <c r="L486" t="n">
        <v>1339</v>
      </c>
      <c r="N486" t="n">
        <v>1007</v>
      </c>
      <c r="O486" t="inlineStr">
        <is>
          <t>м3</t>
        </is>
      </c>
      <c r="P486" t="inlineStr">
        <is>
          <t>м3</t>
        </is>
      </c>
      <c r="Q486" t="n">
        <v>1</v>
      </c>
      <c r="W486" t="n">
        <v>0</v>
      </c>
      <c r="X486" t="n">
        <v>619799737</v>
      </c>
      <c r="Y486">
        <f>AT486</f>
        <v/>
      </c>
      <c r="AA486" t="n">
        <v>31.28</v>
      </c>
      <c r="AB486" t="n">
        <v>0</v>
      </c>
      <c r="AC486" t="n">
        <v>0</v>
      </c>
      <c r="AD486" t="n">
        <v>0</v>
      </c>
      <c r="AE486" t="n">
        <v>2.44</v>
      </c>
      <c r="AF486" t="n">
        <v>0</v>
      </c>
      <c r="AG486" t="n">
        <v>0</v>
      </c>
      <c r="AH486" t="n">
        <v>0</v>
      </c>
      <c r="AI486" t="n">
        <v>12.82</v>
      </c>
      <c r="AJ486" t="n">
        <v>1</v>
      </c>
      <c r="AK486" t="n">
        <v>1</v>
      </c>
      <c r="AL486" t="n">
        <v>1</v>
      </c>
      <c r="AM486" t="n">
        <v>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7.8</v>
      </c>
      <c r="AU486" t="inlineStr"/>
      <c r="AV486" t="n">
        <v>0</v>
      </c>
      <c r="AW486" t="n">
        <v>2</v>
      </c>
      <c r="AX486" t="n">
        <v>78871727</v>
      </c>
      <c r="AY486" t="n">
        <v>1</v>
      </c>
      <c r="AZ486" t="n">
        <v>0</v>
      </c>
      <c r="BA486" t="n">
        <v>443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V486" t="n">
        <v>0</v>
      </c>
      <c r="CW486" t="n">
        <v>0</v>
      </c>
      <c r="CX486">
        <f>ROUND(Y486*Source!I887,7)</f>
        <v/>
      </c>
      <c r="CY486">
        <f>AA486</f>
        <v/>
      </c>
      <c r="CZ486">
        <f>AE486</f>
        <v/>
      </c>
      <c r="DA486">
        <f>AI486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ROUND(ROUND(AE486*AI486,0)*CX486,0)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DF486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ROW(Source!A888)</f>
        <v/>
      </c>
      <c r="B487" t="n">
        <v>78869116</v>
      </c>
      <c r="C487" t="n">
        <v>78871728</v>
      </c>
      <c r="D487" t="n">
        <v>18442827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1-1053-90</t>
        </is>
      </c>
      <c r="J487" t="inlineStr"/>
      <c r="K487" t="inlineStr">
        <is>
          <t>Рабочий строитель среднего разряда 5,3</t>
        </is>
      </c>
      <c r="L487" t="n">
        <v>1369</v>
      </c>
      <c r="N487" t="n">
        <v>1013</v>
      </c>
      <c r="O487" t="inlineStr">
        <is>
          <t>чел.-ч</t>
        </is>
      </c>
      <c r="P487" t="inlineStr">
        <is>
          <t>чел.-ч</t>
        </is>
      </c>
      <c r="Q487" t="n">
        <v>1</v>
      </c>
      <c r="W487" t="n">
        <v>0</v>
      </c>
      <c r="X487" t="n">
        <v>717490484</v>
      </c>
      <c r="Y487">
        <f>(AT487*ROUND(8,7))</f>
        <v/>
      </c>
      <c r="AA487" t="n">
        <v>0</v>
      </c>
      <c r="AB487" t="n">
        <v>0</v>
      </c>
      <c r="AC487" t="n">
        <v>0</v>
      </c>
      <c r="AD487" t="n">
        <v>11.64</v>
      </c>
      <c r="AE487" t="n">
        <v>0</v>
      </c>
      <c r="AF487" t="n">
        <v>0</v>
      </c>
      <c r="AG487" t="n">
        <v>0</v>
      </c>
      <c r="AH487" t="n">
        <v>11.64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5.01</v>
      </c>
      <c r="AU487" t="inlineStr">
        <is>
          <t>)*8</t>
        </is>
      </c>
      <c r="AV487" t="n">
        <v>1</v>
      </c>
      <c r="AW487" t="n">
        <v>2</v>
      </c>
      <c r="AX487" t="n">
        <v>78871735</v>
      </c>
      <c r="AY487" t="n">
        <v>1</v>
      </c>
      <c r="AZ487" t="n">
        <v>0</v>
      </c>
      <c r="BA487" t="n">
        <v>444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U487">
        <f>ROUND(AT487*Source!I888*AH487*AL487,0)</f>
        <v/>
      </c>
      <c r="CV487">
        <f>ROUND(Y487*Source!I888,7)</f>
        <v/>
      </c>
      <c r="CW487" t="n">
        <v>0</v>
      </c>
      <c r="CX487">
        <f>ROUND(Y487*Source!I888,7)</f>
        <v/>
      </c>
      <c r="CY487">
        <f>AD487</f>
        <v/>
      </c>
      <c r="CZ487">
        <f>AH487</f>
        <v/>
      </c>
      <c r="DA487">
        <f>AL487</f>
        <v/>
      </c>
      <c r="DB487">
        <f>ROUND((ROUND(AT487*CZ487,2)*ROUND(8,7)),2)</f>
        <v/>
      </c>
      <c r="DC487">
        <f>ROUND((ROUND(AT487*AG487,2)*ROUND(8,7)),2)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ROW(Source!A888)</f>
        <v/>
      </c>
      <c r="B488" t="n">
        <v>78869116</v>
      </c>
      <c r="C488" t="n">
        <v>78871728</v>
      </c>
      <c r="D488" t="n">
        <v>29172703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042900</t>
        </is>
      </c>
      <c r="J488" t="inlineStr">
        <is>
          <t>ТСЭМ Московской обл., 042900, приказ Минстроя России №675/пр от 28.02.2017 № 264/пр</t>
        </is>
      </c>
      <c r="K4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1695838894</v>
      </c>
      <c r="Y488">
        <f>(AT488*ROUND(8,7))</f>
        <v/>
      </c>
      <c r="AA488" t="n">
        <v>0</v>
      </c>
      <c r="AB488" t="n">
        <v>177.13</v>
      </c>
      <c r="AC488" t="n">
        <v>0</v>
      </c>
      <c r="AD488" t="n">
        <v>0</v>
      </c>
      <c r="AE488" t="n">
        <v>0</v>
      </c>
      <c r="AF488" t="n">
        <v>29.67</v>
      </c>
      <c r="AG488" t="n">
        <v>0</v>
      </c>
      <c r="AH488" t="n">
        <v>0</v>
      </c>
      <c r="AI488" t="n">
        <v>1</v>
      </c>
      <c r="AJ488" t="n">
        <v>5.97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1.5</v>
      </c>
      <c r="AU488" t="inlineStr">
        <is>
          <t>)*8</t>
        </is>
      </c>
      <c r="AV488" t="n">
        <v>0</v>
      </c>
      <c r="AW488" t="n">
        <v>2</v>
      </c>
      <c r="AX488" t="n">
        <v>78871736</v>
      </c>
      <c r="AY488" t="n">
        <v>1</v>
      </c>
      <c r="AZ488" t="n">
        <v>0</v>
      </c>
      <c r="BA488" t="n">
        <v>445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ROUND(Y488*Source!I888*DO488,7)</f>
        <v/>
      </c>
      <c r="CX488">
        <f>ROUND(Y488*Source!I888,7)</f>
        <v/>
      </c>
      <c r="CY488">
        <f>AB488</f>
        <v/>
      </c>
      <c r="CZ488">
        <f>AF488</f>
        <v/>
      </c>
      <c r="DA488">
        <f>AJ488</f>
        <v/>
      </c>
      <c r="DB488">
        <f>ROUND((ROUND(AT488*CZ488,2)*ROUND(8,7)),2)</f>
        <v/>
      </c>
      <c r="DC488">
        <f>ROUND((ROUND(AT488*AG488,2)*ROUND(8,7)),2)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ROW(Source!A888)</f>
        <v/>
      </c>
      <c r="B489" t="n">
        <v>78869116</v>
      </c>
      <c r="C489" t="n">
        <v>78871728</v>
      </c>
      <c r="D489" t="n">
        <v>29110398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101-0388</t>
        </is>
      </c>
      <c r="J489" t="inlineStr">
        <is>
          <t>ТССЦ Московской обл., 101-0388, приказ Минстроя России №675/пр от 28.02.2017 № 254/пр</t>
        </is>
      </c>
      <c r="K489" t="inlineStr">
        <is>
          <t>Краски масляные земляные марки МА-0115 мумия, сурик железный</t>
        </is>
      </c>
      <c r="L489" t="n">
        <v>1348</v>
      </c>
      <c r="N489" t="n">
        <v>1009</v>
      </c>
      <c r="O489" t="inlineStr">
        <is>
          <t>т</t>
        </is>
      </c>
      <c r="P489" t="inlineStr">
        <is>
          <t>т</t>
        </is>
      </c>
      <c r="Q489" t="n">
        <v>1000</v>
      </c>
      <c r="W489" t="n">
        <v>0</v>
      </c>
      <c r="X489" t="n">
        <v>1625292450</v>
      </c>
      <c r="Y489">
        <f>(AT489*ROUND(8,7))</f>
        <v/>
      </c>
      <c r="AA489" t="n">
        <v>76804.47</v>
      </c>
      <c r="AB489" t="n">
        <v>0</v>
      </c>
      <c r="AC489" t="n">
        <v>0</v>
      </c>
      <c r="AD489" t="n">
        <v>0</v>
      </c>
      <c r="AE489" t="n">
        <v>15118.99</v>
      </c>
      <c r="AF489" t="n">
        <v>0</v>
      </c>
      <c r="AG489" t="n">
        <v>0</v>
      </c>
      <c r="AH489" t="n">
        <v>0</v>
      </c>
      <c r="AI489" t="n">
        <v>5.08</v>
      </c>
      <c r="AJ489" t="n">
        <v>1</v>
      </c>
      <c r="AK489" t="n">
        <v>1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5e-05</v>
      </c>
      <c r="AU489" t="inlineStr">
        <is>
          <t>)*8</t>
        </is>
      </c>
      <c r="AV489" t="n">
        <v>0</v>
      </c>
      <c r="AW489" t="n">
        <v>2</v>
      </c>
      <c r="AX489" t="n">
        <v>78871737</v>
      </c>
      <c r="AY489" t="n">
        <v>1</v>
      </c>
      <c r="AZ489" t="n">
        <v>0</v>
      </c>
      <c r="BA489" t="n">
        <v>446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 t="n">
        <v>0</v>
      </c>
      <c r="CX489">
        <f>ROUND(Y489*Source!I888,7)</f>
        <v/>
      </c>
      <c r="CY489">
        <f>AA489</f>
        <v/>
      </c>
      <c r="CZ489">
        <f>AE489</f>
        <v/>
      </c>
      <c r="DA489">
        <f>AI489</f>
        <v/>
      </c>
      <c r="DB489">
        <f>ROUND((ROUND(AT489*CZ489,2)*ROUND(8,7)),2)</f>
        <v/>
      </c>
      <c r="DC489">
        <f>ROUND((ROUND(AT489*AG489,2)*ROUND(8,7)),2)</f>
        <v/>
      </c>
      <c r="DD489" t="inlineStr"/>
      <c r="DE489" t="inlineStr"/>
      <c r="DF489">
        <f>ROUND(ROUND(AE489*AI489,0)*CX489,0)</f>
        <v/>
      </c>
      <c r="DG489">
        <f>ROUND(ROUND(AF489,0)*CX489,0)</f>
        <v/>
      </c>
      <c r="DH489">
        <f>ROUND(ROUND(AG489,0)*CX489,0)</f>
        <v/>
      </c>
      <c r="DI489">
        <f>ROUND(ROUND(AH489,0)*CX489,0)</f>
        <v/>
      </c>
      <c r="DJ489">
        <f>DF489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ROW(Source!A888)</f>
        <v/>
      </c>
      <c r="B490" t="n">
        <v>78869116</v>
      </c>
      <c r="C490" t="n">
        <v>78871728</v>
      </c>
      <c r="D490" t="n">
        <v>29110573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101-0628</t>
        </is>
      </c>
      <c r="J490" t="inlineStr">
        <is>
          <t>ТССЦ Московской обл., 101-0628, приказ Минстроя России №675/пр от 28.02.2017 № 254/пр</t>
        </is>
      </c>
      <c r="K490" t="inlineStr">
        <is>
          <t>Олифа комбинированная, марки К-3</t>
        </is>
      </c>
      <c r="L490" t="n">
        <v>1348</v>
      </c>
      <c r="N490" t="n">
        <v>1009</v>
      </c>
      <c r="O490" t="inlineStr">
        <is>
          <t>т</t>
        </is>
      </c>
      <c r="P490" t="inlineStr">
        <is>
          <t>т</t>
        </is>
      </c>
      <c r="Q490" t="n">
        <v>1000</v>
      </c>
      <c r="W490" t="n">
        <v>0</v>
      </c>
      <c r="X490" t="n">
        <v>24062879</v>
      </c>
      <c r="Y490">
        <f>(AT490*ROUND(8,7))</f>
        <v/>
      </c>
      <c r="AA490" t="n">
        <v>87631.5</v>
      </c>
      <c r="AB490" t="n">
        <v>0</v>
      </c>
      <c r="AC490" t="n">
        <v>0</v>
      </c>
      <c r="AD490" t="n">
        <v>0</v>
      </c>
      <c r="AE490" t="n">
        <v>16950</v>
      </c>
      <c r="AF490" t="n">
        <v>0</v>
      </c>
      <c r="AG490" t="n">
        <v>0</v>
      </c>
      <c r="AH490" t="n">
        <v>0</v>
      </c>
      <c r="AI490" t="n">
        <v>5.17</v>
      </c>
      <c r="AJ490" t="n">
        <v>1</v>
      </c>
      <c r="AK490" t="n">
        <v>1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2e-05</v>
      </c>
      <c r="AU490" t="inlineStr">
        <is>
          <t>)*8</t>
        </is>
      </c>
      <c r="AV490" t="n">
        <v>0</v>
      </c>
      <c r="AW490" t="n">
        <v>2</v>
      </c>
      <c r="AX490" t="n">
        <v>78871738</v>
      </c>
      <c r="AY490" t="n">
        <v>1</v>
      </c>
      <c r="AZ490" t="n">
        <v>0</v>
      </c>
      <c r="BA490" t="n">
        <v>447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 t="n">
        <v>0</v>
      </c>
      <c r="CX490">
        <f>ROUND(Y490*Source!I888,7)</f>
        <v/>
      </c>
      <c r="CY490">
        <f>AA490</f>
        <v/>
      </c>
      <c r="CZ490">
        <f>AE490</f>
        <v/>
      </c>
      <c r="DA490">
        <f>AI490</f>
        <v/>
      </c>
      <c r="DB490">
        <f>ROUND((ROUND(AT490*CZ490,2)*ROUND(8,7)),2)</f>
        <v/>
      </c>
      <c r="DC490">
        <f>ROUND((ROUND(AT490*AG490,2)*ROUND(8,7)),2)</f>
        <v/>
      </c>
      <c r="DD490" t="inlineStr"/>
      <c r="DE490" t="inlineStr"/>
      <c r="DF490">
        <f>ROUND(ROUND(AE490*AI490,0)*CX490,0)</f>
        <v/>
      </c>
      <c r="DG490">
        <f>ROUND(ROUND(AF490,0)*CX490,0)</f>
        <v/>
      </c>
      <c r="DH490">
        <f>ROUND(ROUND(AG490,0)*CX490,0)</f>
        <v/>
      </c>
      <c r="DI490">
        <f>ROUND(ROUND(AH490,0)*CX490,0)</f>
        <v/>
      </c>
      <c r="DJ490">
        <f>DF490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ROW(Source!A888)</f>
        <v/>
      </c>
      <c r="B491" t="n">
        <v>78869116</v>
      </c>
      <c r="C491" t="n">
        <v>78871728</v>
      </c>
      <c r="D491" t="n">
        <v>29107963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101-1669</t>
        </is>
      </c>
      <c r="J491" t="inlineStr">
        <is>
          <t>ТССЦ Московской обл., 101-1669, приказ Минстроя России №675/пр от 28.02.2017 № 254/пр</t>
        </is>
      </c>
      <c r="K491" t="inlineStr">
        <is>
          <t>Очес льняной</t>
        </is>
      </c>
      <c r="L491" t="n">
        <v>1346</v>
      </c>
      <c r="N491" t="n">
        <v>1009</v>
      </c>
      <c r="O491" t="inlineStr">
        <is>
          <t>кг</t>
        </is>
      </c>
      <c r="P491" t="inlineStr">
        <is>
          <t>кг</t>
        </is>
      </c>
      <c r="Q491" t="n">
        <v>1</v>
      </c>
      <c r="W491" t="n">
        <v>0</v>
      </c>
      <c r="X491" t="n">
        <v>-2113933962</v>
      </c>
      <c r="Y491">
        <f>(AT491*ROUND(8,7))</f>
        <v/>
      </c>
      <c r="AA491" t="n">
        <v>590.67</v>
      </c>
      <c r="AB491" t="n">
        <v>0</v>
      </c>
      <c r="AC491" t="n">
        <v>0</v>
      </c>
      <c r="AD491" t="n">
        <v>0</v>
      </c>
      <c r="AE491" t="n">
        <v>37.29</v>
      </c>
      <c r="AF491" t="n">
        <v>0</v>
      </c>
      <c r="AG491" t="n">
        <v>0</v>
      </c>
      <c r="AH491" t="n">
        <v>0</v>
      </c>
      <c r="AI491" t="n">
        <v>15.84</v>
      </c>
      <c r="AJ491" t="n">
        <v>1</v>
      </c>
      <c r="AK491" t="n">
        <v>1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0.02</v>
      </c>
      <c r="AU491" t="inlineStr">
        <is>
          <t>)*8</t>
        </is>
      </c>
      <c r="AV491" t="n">
        <v>0</v>
      </c>
      <c r="AW491" t="n">
        <v>2</v>
      </c>
      <c r="AX491" t="n">
        <v>78871739</v>
      </c>
      <c r="AY491" t="n">
        <v>1</v>
      </c>
      <c r="AZ491" t="n">
        <v>0</v>
      </c>
      <c r="BA491" t="n">
        <v>448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 t="n">
        <v>0</v>
      </c>
      <c r="CX491">
        <f>ROUND(Y491*Source!I888,7)</f>
        <v/>
      </c>
      <c r="CY491">
        <f>AA491</f>
        <v/>
      </c>
      <c r="CZ491">
        <f>AE491</f>
        <v/>
      </c>
      <c r="DA491">
        <f>AI491</f>
        <v/>
      </c>
      <c r="DB491">
        <f>ROUND((ROUND(AT491*CZ491,2)*ROUND(8,7)),2)</f>
        <v/>
      </c>
      <c r="DC491">
        <f>ROUND((ROUND(AT491*AG491,2)*ROUND(8,7)),2)</f>
        <v/>
      </c>
      <c r="DD491" t="inlineStr"/>
      <c r="DE491" t="inlineStr"/>
      <c r="DF491">
        <f>ROUND(ROUND(AE491*AI491,0)*CX491,0)</f>
        <v/>
      </c>
      <c r="DG491">
        <f>ROUND(ROUND(AF491,0)*CX491,0)</f>
        <v/>
      </c>
      <c r="DH491">
        <f>ROUND(ROUND(AG491,0)*CX491,0)</f>
        <v/>
      </c>
      <c r="DI491">
        <f>ROUND(ROUND(AH491,0)*CX491,0)</f>
        <v/>
      </c>
      <c r="DJ491">
        <f>DF491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ROW(Source!A888)</f>
        <v/>
      </c>
      <c r="B492" t="n">
        <v>78869116</v>
      </c>
      <c r="C492" t="n">
        <v>78871728</v>
      </c>
      <c r="D492" t="n">
        <v>29150040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411-0001</t>
        </is>
      </c>
      <c r="J492" t="inlineStr">
        <is>
          <t>ТССЦ Московской обл., 411-0001, приказ Минстроя России №675/пр от 28.02.2017 № 257/пр</t>
        </is>
      </c>
      <c r="K492" t="inlineStr">
        <is>
          <t>Вода</t>
        </is>
      </c>
      <c r="L492" t="n">
        <v>1339</v>
      </c>
      <c r="N492" t="n">
        <v>1007</v>
      </c>
      <c r="O492" t="inlineStr">
        <is>
          <t>м3</t>
        </is>
      </c>
      <c r="P492" t="inlineStr">
        <is>
          <t>м3</t>
        </is>
      </c>
      <c r="Q492" t="n">
        <v>1</v>
      </c>
      <c r="W492" t="n">
        <v>0</v>
      </c>
      <c r="X492" t="n">
        <v>619799737</v>
      </c>
      <c r="Y492">
        <f>(AT492*ROUND(8,7))</f>
        <v/>
      </c>
      <c r="AA492" t="n">
        <v>31.28</v>
      </c>
      <c r="AB492" t="n">
        <v>0</v>
      </c>
      <c r="AC492" t="n">
        <v>0</v>
      </c>
      <c r="AD492" t="n">
        <v>0</v>
      </c>
      <c r="AE492" t="n">
        <v>2.44</v>
      </c>
      <c r="AF492" t="n">
        <v>0</v>
      </c>
      <c r="AG492" t="n">
        <v>0</v>
      </c>
      <c r="AH492" t="n">
        <v>0</v>
      </c>
      <c r="AI492" t="n">
        <v>12.82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1</v>
      </c>
      <c r="AU492" t="inlineStr">
        <is>
          <t>)*8</t>
        </is>
      </c>
      <c r="AV492" t="n">
        <v>0</v>
      </c>
      <c r="AW492" t="n">
        <v>2</v>
      </c>
      <c r="AX492" t="n">
        <v>78871740</v>
      </c>
      <c r="AY492" t="n">
        <v>1</v>
      </c>
      <c r="AZ492" t="n">
        <v>0</v>
      </c>
      <c r="BA492" t="n">
        <v>449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ROUND(Y492*Source!I888,7)</f>
        <v/>
      </c>
      <c r="CY492">
        <f>AA492</f>
        <v/>
      </c>
      <c r="CZ492">
        <f>AE492</f>
        <v/>
      </c>
      <c r="DA492">
        <f>AI492</f>
        <v/>
      </c>
      <c r="DB492">
        <f>ROUND((ROUND(AT492*CZ492,2)*ROUND(8,7)),2)</f>
        <v/>
      </c>
      <c r="DC492">
        <f>ROUND((ROUND(AT492*AG492,2)*ROUND(8,7)),2)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ROW(Source!A927)</f>
        <v/>
      </c>
      <c r="B493" t="n">
        <v>78869116</v>
      </c>
      <c r="C493" t="n">
        <v>78871804</v>
      </c>
      <c r="D493" t="n">
        <v>18407150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1-1030-90</t>
        </is>
      </c>
      <c r="J493" t="inlineStr"/>
      <c r="K493" t="inlineStr">
        <is>
          <t>Рабочий строитель среднего разряда 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W493" t="n">
        <v>0</v>
      </c>
      <c r="X493" t="n">
        <v>-931037793</v>
      </c>
      <c r="Y493">
        <f>AT493</f>
        <v/>
      </c>
      <c r="AA493" t="n">
        <v>0</v>
      </c>
      <c r="AB493" t="n">
        <v>0</v>
      </c>
      <c r="AC493" t="n">
        <v>0</v>
      </c>
      <c r="AD493" t="n">
        <v>8.529999999999999</v>
      </c>
      <c r="AE493" t="n">
        <v>0</v>
      </c>
      <c r="AF493" t="n">
        <v>0</v>
      </c>
      <c r="AG493" t="n">
        <v>0</v>
      </c>
      <c r="AH493" t="n">
        <v>8.529999999999999</v>
      </c>
      <c r="AI493" t="n">
        <v>1</v>
      </c>
      <c r="AJ493" t="n">
        <v>1</v>
      </c>
      <c r="AK493" t="n">
        <v>1</v>
      </c>
      <c r="AL493" t="n">
        <v>1</v>
      </c>
      <c r="AM493" t="n">
        <v>-2</v>
      </c>
      <c r="AN493" t="n">
        <v>0</v>
      </c>
      <c r="AO493" t="n">
        <v>1</v>
      </c>
      <c r="AP493" t="n">
        <v>0</v>
      </c>
      <c r="AQ493" t="n">
        <v>0</v>
      </c>
      <c r="AR493" t="n">
        <v>0</v>
      </c>
      <c r="AS493" t="inlineStr"/>
      <c r="AT493" t="n">
        <v>13.9</v>
      </c>
      <c r="AU493" t="inlineStr"/>
      <c r="AV493" t="n">
        <v>1</v>
      </c>
      <c r="AW493" t="n">
        <v>2</v>
      </c>
      <c r="AX493" t="n">
        <v>78871808</v>
      </c>
      <c r="AY493" t="n">
        <v>1</v>
      </c>
      <c r="AZ493" t="n">
        <v>0</v>
      </c>
      <c r="BA493" t="n">
        <v>450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U493">
        <f>ROUND(AT493*Source!I927*AH493*AL493,0)</f>
        <v/>
      </c>
      <c r="CV493">
        <f>ROUND(Y493*Source!I927,7)</f>
        <v/>
      </c>
      <c r="CW493" t="n">
        <v>0</v>
      </c>
      <c r="CX493">
        <f>ROUND(Y493*Source!I927,7)</f>
        <v/>
      </c>
      <c r="CY493">
        <f>AD493</f>
        <v/>
      </c>
      <c r="CZ493">
        <f>AH493</f>
        <v/>
      </c>
      <c r="DA493">
        <f>AL493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DI493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ROW(Source!A927)</f>
        <v/>
      </c>
      <c r="B494" t="n">
        <v>78869116</v>
      </c>
      <c r="C494" t="n">
        <v>78871804</v>
      </c>
      <c r="D494" t="n">
        <v>29169821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509-0696</t>
        </is>
      </c>
      <c r="J494" t="inlineStr">
        <is>
          <t>ТССЦ Московской обл., 509-0696, приказ Минстроя России №675/пр от 28.02.2017 № 258/пр</t>
        </is>
      </c>
      <c r="K494" t="inlineStr">
        <is>
          <t>Лампы люминесцентные ртутные низкого давления типа ЛБ, ЛД, ЛДЦ, ЛТВ, ЛБХ 20</t>
        </is>
      </c>
      <c r="L494" t="n">
        <v>1358</v>
      </c>
      <c r="N494" t="n">
        <v>1010</v>
      </c>
      <c r="O494" t="inlineStr">
        <is>
          <t>10 шт.</t>
        </is>
      </c>
      <c r="P494" t="inlineStr">
        <is>
          <t>10 шт.</t>
        </is>
      </c>
      <c r="Q494" t="n">
        <v>10</v>
      </c>
      <c r="W494" t="n">
        <v>0</v>
      </c>
      <c r="X494" t="n">
        <v>-1187244712</v>
      </c>
      <c r="Y494">
        <f>AT494</f>
        <v/>
      </c>
      <c r="AA494" t="n">
        <v>352.73</v>
      </c>
      <c r="AB494" t="n">
        <v>0</v>
      </c>
      <c r="AC494" t="n">
        <v>0</v>
      </c>
      <c r="AD494" t="n">
        <v>0</v>
      </c>
      <c r="AE494" t="n">
        <v>85.2</v>
      </c>
      <c r="AF494" t="n">
        <v>0</v>
      </c>
      <c r="AG494" t="n">
        <v>0</v>
      </c>
      <c r="AH494" t="n">
        <v>0</v>
      </c>
      <c r="AI494" t="n">
        <v>4.14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0</v>
      </c>
      <c r="AQ494" t="n">
        <v>0</v>
      </c>
      <c r="AR494" t="n">
        <v>0</v>
      </c>
      <c r="AS494" t="inlineStr"/>
      <c r="AT494" t="n">
        <v>10</v>
      </c>
      <c r="AU494" t="inlineStr"/>
      <c r="AV494" t="n">
        <v>0</v>
      </c>
      <c r="AW494" t="n">
        <v>2</v>
      </c>
      <c r="AX494" t="n">
        <v>78871809</v>
      </c>
      <c r="AY494" t="n">
        <v>1</v>
      </c>
      <c r="AZ494" t="n">
        <v>0</v>
      </c>
      <c r="BA494" t="n">
        <v>451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ROUND(Y494*Source!I927,7)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ROW(Source!A927)</f>
        <v/>
      </c>
      <c r="B495" t="n">
        <v>78869116</v>
      </c>
      <c r="C495" t="n">
        <v>78871804</v>
      </c>
      <c r="D495" t="n">
        <v>29169828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509-6744</t>
        </is>
      </c>
      <c r="J495" t="inlineStr">
        <is>
          <t>ТССЦ Московской обл., 509-6744, приказ Минстроя России №675/пр от 28.02.2017 № 258/пр</t>
        </is>
      </c>
      <c r="K495" t="inlineStr">
        <is>
          <t>Лампы люминесцентные компактные энергосберегающие с цоколем Е27 мощностью 55 Вт</t>
        </is>
      </c>
      <c r="L495" t="n">
        <v>1354</v>
      </c>
      <c r="N495" t="n">
        <v>1010</v>
      </c>
      <c r="O495" t="inlineStr">
        <is>
          <t>шт.</t>
        </is>
      </c>
      <c r="P495" t="inlineStr">
        <is>
          <t>шт.</t>
        </is>
      </c>
      <c r="Q495" t="n">
        <v>1</v>
      </c>
      <c r="W495" t="n">
        <v>0</v>
      </c>
      <c r="X495" t="n">
        <v>-228955380</v>
      </c>
      <c r="Y495">
        <f>AT495</f>
        <v/>
      </c>
      <c r="AA495" t="n">
        <v>237.77</v>
      </c>
      <c r="AB495" t="n">
        <v>0</v>
      </c>
      <c r="AC495" t="n">
        <v>0</v>
      </c>
      <c r="AD495" t="n">
        <v>0</v>
      </c>
      <c r="AE495" t="n">
        <v>140.69</v>
      </c>
      <c r="AF495" t="n">
        <v>0</v>
      </c>
      <c r="AG495" t="n">
        <v>0</v>
      </c>
      <c r="AH495" t="n">
        <v>0</v>
      </c>
      <c r="AI495" t="n">
        <v>1.69</v>
      </c>
      <c r="AJ495" t="n">
        <v>1</v>
      </c>
      <c r="AK495" t="n">
        <v>1</v>
      </c>
      <c r="AL495" t="n">
        <v>1</v>
      </c>
      <c r="AM495" t="n">
        <v>0</v>
      </c>
      <c r="AN495" t="n">
        <v>0</v>
      </c>
      <c r="AO495" t="n">
        <v>0</v>
      </c>
      <c r="AP495" t="n">
        <v>1</v>
      </c>
      <c r="AQ495" t="n">
        <v>0</v>
      </c>
      <c r="AR495" t="n">
        <v>0</v>
      </c>
      <c r="AS495" t="inlineStr"/>
      <c r="AT495" t="n">
        <v>100</v>
      </c>
      <c r="AU495" t="inlineStr"/>
      <c r="AV495" t="n">
        <v>0</v>
      </c>
      <c r="AW495" t="n">
        <v>1</v>
      </c>
      <c r="AX495" t="n">
        <v>-1</v>
      </c>
      <c r="AY495" t="n">
        <v>0</v>
      </c>
      <c r="AZ495" t="n">
        <v>0</v>
      </c>
      <c r="BA495" t="inlineStr"/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ROUND(Y495*Source!I927,7)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ROW(Source!A967)</f>
        <v/>
      </c>
      <c r="B496" t="n">
        <v>78869116</v>
      </c>
      <c r="C496" t="n">
        <v>78871982</v>
      </c>
      <c r="D496" t="n">
        <v>18413627</v>
      </c>
      <c r="E496" t="n">
        <v>1</v>
      </c>
      <c r="F496" t="n">
        <v>1</v>
      </c>
      <c r="G496" t="n">
        <v>1</v>
      </c>
      <c r="H496" t="n">
        <v>1</v>
      </c>
      <c r="I496" t="inlineStr">
        <is>
          <t>1-1042-90</t>
        </is>
      </c>
      <c r="J496" t="inlineStr"/>
      <c r="K496" t="inlineStr">
        <is>
          <t>Рабочий строитель среднего разряда 4,2</t>
        </is>
      </c>
      <c r="L496" t="n">
        <v>1369</v>
      </c>
      <c r="N496" t="n">
        <v>1013</v>
      </c>
      <c r="O496" t="inlineStr">
        <is>
          <t>чел.-ч</t>
        </is>
      </c>
      <c r="P496" t="inlineStr">
        <is>
          <t>чел.-ч</t>
        </is>
      </c>
      <c r="Q496" t="n">
        <v>1</v>
      </c>
      <c r="W496" t="n">
        <v>0</v>
      </c>
      <c r="X496" t="n">
        <v>-1366182279</v>
      </c>
      <c r="Y496">
        <f>AT496</f>
        <v/>
      </c>
      <c r="AA496" t="n">
        <v>0</v>
      </c>
      <c r="AB496" t="n">
        <v>0</v>
      </c>
      <c r="AC496" t="n">
        <v>0</v>
      </c>
      <c r="AD496" t="n">
        <v>9.92</v>
      </c>
      <c r="AE496" t="n">
        <v>0</v>
      </c>
      <c r="AF496" t="n">
        <v>0</v>
      </c>
      <c r="AG496" t="n">
        <v>0</v>
      </c>
      <c r="AH496" t="n">
        <v>9.92</v>
      </c>
      <c r="AI496" t="n">
        <v>1</v>
      </c>
      <c r="AJ496" t="n">
        <v>1</v>
      </c>
      <c r="AK496" t="n">
        <v>1</v>
      </c>
      <c r="AL496" t="n">
        <v>1</v>
      </c>
      <c r="AM496" t="n">
        <v>-2</v>
      </c>
      <c r="AN496" t="n">
        <v>0</v>
      </c>
      <c r="AO496" t="n">
        <v>1</v>
      </c>
      <c r="AP496" t="n">
        <v>0</v>
      </c>
      <c r="AQ496" t="n">
        <v>0</v>
      </c>
      <c r="AR496" t="n">
        <v>0</v>
      </c>
      <c r="AS496" t="inlineStr"/>
      <c r="AT496" t="n">
        <v>2.31</v>
      </c>
      <c r="AU496" t="inlineStr"/>
      <c r="AV496" t="n">
        <v>1</v>
      </c>
      <c r="AW496" t="n">
        <v>2</v>
      </c>
      <c r="AX496" t="n">
        <v>78871989</v>
      </c>
      <c r="AY496" t="n">
        <v>1</v>
      </c>
      <c r="AZ496" t="n">
        <v>0</v>
      </c>
      <c r="BA496" t="n">
        <v>452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U496">
        <f>ROUND(AT496*Source!I967*AH496*AL496,0)</f>
        <v/>
      </c>
      <c r="CV496">
        <f>ROUND(Y496*Source!I967,7)</f>
        <v/>
      </c>
      <c r="CW496" t="n">
        <v>0</v>
      </c>
      <c r="CX496">
        <f>ROUND(Y496*Source!I967,7)</f>
        <v/>
      </c>
      <c r="CY496">
        <f>AD496</f>
        <v/>
      </c>
      <c r="CZ496">
        <f>AH496</f>
        <v/>
      </c>
      <c r="DA496">
        <f>AL496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DI496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ROW(Source!A967)</f>
        <v/>
      </c>
      <c r="B497" t="n">
        <v>78869116</v>
      </c>
      <c r="C497" t="n">
        <v>78871982</v>
      </c>
      <c r="D497" t="n">
        <v>29172669</v>
      </c>
      <c r="E497" t="n">
        <v>1</v>
      </c>
      <c r="F497" t="n">
        <v>1</v>
      </c>
      <c r="G497" t="n">
        <v>1</v>
      </c>
      <c r="H497" t="n">
        <v>2</v>
      </c>
      <c r="I497" t="inlineStr">
        <is>
          <t>041000</t>
        </is>
      </c>
      <c r="J497" t="inlineStr">
        <is>
          <t>ТСЭМ Московской обл., 041000, приказ Минстроя России №675/пр от 28.02.2017 № 264/пр</t>
        </is>
      </c>
      <c r="K497" t="inlineStr">
        <is>
          <t>Преобразователи сварочные с номинальным сварочным током 315-500 А</t>
        </is>
      </c>
      <c r="L497" t="n">
        <v>1368</v>
      </c>
      <c r="N497" t="n">
        <v>1011</v>
      </c>
      <c r="O497" t="inlineStr">
        <is>
          <t>маш.-ч</t>
        </is>
      </c>
      <c r="P497" t="inlineStr">
        <is>
          <t>маш.-ч</t>
        </is>
      </c>
      <c r="Q497" t="n">
        <v>1</v>
      </c>
      <c r="W497" t="n">
        <v>0</v>
      </c>
      <c r="X497" t="n">
        <v>1159853466</v>
      </c>
      <c r="Y497">
        <f>AT497</f>
        <v/>
      </c>
      <c r="AA497" t="n">
        <v>0</v>
      </c>
      <c r="AB497" t="n">
        <v>119.65</v>
      </c>
      <c r="AC497" t="n">
        <v>0</v>
      </c>
      <c r="AD497" t="n">
        <v>0</v>
      </c>
      <c r="AE497" t="n">
        <v>0</v>
      </c>
      <c r="AF497" t="n">
        <v>12.31</v>
      </c>
      <c r="AG497" t="n">
        <v>0</v>
      </c>
      <c r="AH497" t="n">
        <v>0</v>
      </c>
      <c r="AI497" t="n">
        <v>1</v>
      </c>
      <c r="AJ497" t="n">
        <v>9.720000000000001</v>
      </c>
      <c r="AK497" t="n">
        <v>52.25</v>
      </c>
      <c r="AL497" t="n">
        <v>1</v>
      </c>
      <c r="AM497" t="n">
        <v>2</v>
      </c>
      <c r="AN497" t="n">
        <v>0</v>
      </c>
      <c r="AO497" t="n">
        <v>1</v>
      </c>
      <c r="AP497" t="n">
        <v>0</v>
      </c>
      <c r="AQ497" t="n">
        <v>0</v>
      </c>
      <c r="AR497" t="n">
        <v>0</v>
      </c>
      <c r="AS497" t="inlineStr"/>
      <c r="AT497" t="n">
        <v>0.67</v>
      </c>
      <c r="AU497" t="inlineStr"/>
      <c r="AV497" t="n">
        <v>0</v>
      </c>
      <c r="AW497" t="n">
        <v>2</v>
      </c>
      <c r="AX497" t="n">
        <v>78871990</v>
      </c>
      <c r="AY497" t="n">
        <v>1</v>
      </c>
      <c r="AZ497" t="n">
        <v>0</v>
      </c>
      <c r="BA497" t="n">
        <v>453</v>
      </c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>
        <f>ROUND(Y497*Source!I967*DO497,7)</f>
        <v/>
      </c>
      <c r="CX497">
        <f>ROUND(Y497*Source!I967,7)</f>
        <v/>
      </c>
      <c r="CY497">
        <f>AB497</f>
        <v/>
      </c>
      <c r="CZ497">
        <f>AF497</f>
        <v/>
      </c>
      <c r="DA497">
        <f>AJ497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ROUND(ROUND(AE497,0)*CX497,0)</f>
        <v/>
      </c>
      <c r="DG497">
        <f>ROUND(ROUND(AF497*AJ497,0)*CX497,0)</f>
        <v/>
      </c>
      <c r="DH497">
        <f>ROUND(ROUND(AG497*AK497,0)*CX497,0)</f>
        <v/>
      </c>
      <c r="DI497">
        <f>ROUND(ROUND(AH497,0)*CX497,0)</f>
        <v/>
      </c>
      <c r="DJ497">
        <f>DG497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ROW(Source!A967)</f>
        <v/>
      </c>
      <c r="B498" t="n">
        <v>78869116</v>
      </c>
      <c r="C498" t="n">
        <v>78871982</v>
      </c>
      <c r="D498" t="n">
        <v>29172679</v>
      </c>
      <c r="E498" t="n">
        <v>1</v>
      </c>
      <c r="F498" t="n">
        <v>1</v>
      </c>
      <c r="G498" t="n">
        <v>1</v>
      </c>
      <c r="H498" t="n">
        <v>2</v>
      </c>
      <c r="I498" t="inlineStr">
        <is>
          <t>041400</t>
        </is>
      </c>
      <c r="J498" t="inlineStr">
        <is>
          <t>ТСЭМ Московской обл., 041400, приказ Минстроя России №675/пр от 28.02.2017 № 264/пр</t>
        </is>
      </c>
      <c r="K498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98" t="n">
        <v>1368</v>
      </c>
      <c r="N498" t="n">
        <v>1011</v>
      </c>
      <c r="O498" t="inlineStr">
        <is>
          <t>маш.-ч</t>
        </is>
      </c>
      <c r="P498" t="inlineStr">
        <is>
          <t>маш.-ч</t>
        </is>
      </c>
      <c r="Q498" t="n">
        <v>1</v>
      </c>
      <c r="W498" t="n">
        <v>0</v>
      </c>
      <c r="X498" t="n">
        <v>1123115873</v>
      </c>
      <c r="Y498">
        <f>AT498</f>
        <v/>
      </c>
      <c r="AA498" t="n">
        <v>0</v>
      </c>
      <c r="AB498" t="n">
        <v>65.06</v>
      </c>
      <c r="AC498" t="n">
        <v>0</v>
      </c>
      <c r="AD498" t="n">
        <v>0</v>
      </c>
      <c r="AE498" t="n">
        <v>0</v>
      </c>
      <c r="AF498" t="n">
        <v>6.7</v>
      </c>
      <c r="AG498" t="n">
        <v>0</v>
      </c>
      <c r="AH498" t="n">
        <v>0</v>
      </c>
      <c r="AI498" t="n">
        <v>1</v>
      </c>
      <c r="AJ498" t="n">
        <v>9.710000000000001</v>
      </c>
      <c r="AK498" t="n">
        <v>52.25</v>
      </c>
      <c r="AL498" t="n">
        <v>1</v>
      </c>
      <c r="AM498" t="n">
        <v>2</v>
      </c>
      <c r="AN498" t="n">
        <v>0</v>
      </c>
      <c r="AO498" t="n">
        <v>1</v>
      </c>
      <c r="AP498" t="n">
        <v>0</v>
      </c>
      <c r="AQ498" t="n">
        <v>0</v>
      </c>
      <c r="AR498" t="n">
        <v>0</v>
      </c>
      <c r="AS498" t="inlineStr"/>
      <c r="AT498" t="n">
        <v>0.17</v>
      </c>
      <c r="AU498" t="inlineStr"/>
      <c r="AV498" t="n">
        <v>0</v>
      </c>
      <c r="AW498" t="n">
        <v>2</v>
      </c>
      <c r="AX498" t="n">
        <v>78871991</v>
      </c>
      <c r="AY498" t="n">
        <v>1</v>
      </c>
      <c r="AZ498" t="n">
        <v>0</v>
      </c>
      <c r="BA498" t="n">
        <v>454</v>
      </c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>
        <f>ROUND(Y498*Source!I967*DO498,7)</f>
        <v/>
      </c>
      <c r="CX498">
        <f>ROUND(Y498*Source!I967,7)</f>
        <v/>
      </c>
      <c r="CY498">
        <f>AB498</f>
        <v/>
      </c>
      <c r="CZ498">
        <f>AF498</f>
        <v/>
      </c>
      <c r="DA498">
        <f>AJ498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ROUND(ROUND(AE498,0)*CX498,0)</f>
        <v/>
      </c>
      <c r="DG498">
        <f>ROUND(ROUND(AF498*AJ498,0)*CX498,0)</f>
        <v/>
      </c>
      <c r="DH498">
        <f>ROUND(ROUND(AG498*AK498,0)*CX498,0)</f>
        <v/>
      </c>
      <c r="DI498">
        <f>ROUND(ROUND(AH498,0)*CX498,0)</f>
        <v/>
      </c>
      <c r="DJ498">
        <f>DG498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ROW(Source!A967)</f>
        <v/>
      </c>
      <c r="B499" t="n">
        <v>78869116</v>
      </c>
      <c r="C499" t="n">
        <v>78871982</v>
      </c>
      <c r="D499" t="n">
        <v>29174507</v>
      </c>
      <c r="E499" t="n">
        <v>1</v>
      </c>
      <c r="F499" t="n">
        <v>1</v>
      </c>
      <c r="G499" t="n">
        <v>1</v>
      </c>
      <c r="H499" t="n">
        <v>2</v>
      </c>
      <c r="I499" t="inlineStr">
        <is>
          <t>330301</t>
        </is>
      </c>
      <c r="J499" t="inlineStr">
        <is>
          <t>ТСЭМ Московской обл., 330301, приказ Минстроя России №675/пр от 28.02.2017 № 264/пр</t>
        </is>
      </c>
      <c r="K499" t="inlineStr">
        <is>
          <t>Машины шлифовальные электрические</t>
        </is>
      </c>
      <c r="L499" t="n">
        <v>1368</v>
      </c>
      <c r="N499" t="n">
        <v>1011</v>
      </c>
      <c r="O499" t="inlineStr">
        <is>
          <t>маш.-ч</t>
        </is>
      </c>
      <c r="P499" t="inlineStr">
        <is>
          <t>маш.-ч</t>
        </is>
      </c>
      <c r="Q499" t="n">
        <v>1</v>
      </c>
      <c r="W499" t="n">
        <v>0</v>
      </c>
      <c r="X499" t="n">
        <v>-144556207</v>
      </c>
      <c r="Y499">
        <f>AT499</f>
        <v/>
      </c>
      <c r="AA499" t="n">
        <v>0</v>
      </c>
      <c r="AB499" t="n">
        <v>20.73</v>
      </c>
      <c r="AC499" t="n">
        <v>0</v>
      </c>
      <c r="AD499" t="n">
        <v>0</v>
      </c>
      <c r="AE499" t="n">
        <v>0</v>
      </c>
      <c r="AF499" t="n">
        <v>5.13</v>
      </c>
      <c r="AG499" t="n">
        <v>0</v>
      </c>
      <c r="AH499" t="n">
        <v>0</v>
      </c>
      <c r="AI499" t="n">
        <v>1</v>
      </c>
      <c r="AJ499" t="n">
        <v>4.04</v>
      </c>
      <c r="AK499" t="n">
        <v>52.25</v>
      </c>
      <c r="AL499" t="n">
        <v>1</v>
      </c>
      <c r="AM499" t="n">
        <v>2</v>
      </c>
      <c r="AN499" t="n">
        <v>0</v>
      </c>
      <c r="AO499" t="n">
        <v>1</v>
      </c>
      <c r="AP499" t="n">
        <v>0</v>
      </c>
      <c r="AQ499" t="n">
        <v>0</v>
      </c>
      <c r="AR499" t="n">
        <v>0</v>
      </c>
      <c r="AS499" t="inlineStr"/>
      <c r="AT499" t="n">
        <v>1.57</v>
      </c>
      <c r="AU499" t="inlineStr"/>
      <c r="AV499" t="n">
        <v>0</v>
      </c>
      <c r="AW499" t="n">
        <v>2</v>
      </c>
      <c r="AX499" t="n">
        <v>78871992</v>
      </c>
      <c r="AY499" t="n">
        <v>1</v>
      </c>
      <c r="AZ499" t="n">
        <v>0</v>
      </c>
      <c r="BA499" t="n">
        <v>455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>
        <f>ROUND(Y499*Source!I967*DO499,7)</f>
        <v/>
      </c>
      <c r="CX499">
        <f>ROUND(Y499*Source!I967,7)</f>
        <v/>
      </c>
      <c r="CY499">
        <f>AB499</f>
        <v/>
      </c>
      <c r="CZ499">
        <f>AF499</f>
        <v/>
      </c>
      <c r="DA499">
        <f>AJ499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ROUND(ROUND(AE499,0)*CX499,0)</f>
        <v/>
      </c>
      <c r="DG499">
        <f>ROUND(ROUND(AF499*AJ499,0)*CX499,0)</f>
        <v/>
      </c>
      <c r="DH499">
        <f>ROUND(ROUND(AG499*AK499,0)*CX499,0)</f>
        <v/>
      </c>
      <c r="DI499">
        <f>ROUND(ROUND(AH499,0)*CX499,0)</f>
        <v/>
      </c>
      <c r="DJ499">
        <f>DG499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ROW(Source!A967)</f>
        <v/>
      </c>
      <c r="B500" t="n">
        <v>78869116</v>
      </c>
      <c r="C500" t="n">
        <v>78871982</v>
      </c>
      <c r="D500" t="n">
        <v>29113946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101-0802</t>
        </is>
      </c>
      <c r="J500" t="inlineStr">
        <is>
          <t>ТССЦ Московской обл., 101-0802, приказ Минстроя России №675/пр от 28.02.2017 № 254/пр</t>
        </is>
      </c>
      <c r="K500" t="inlineStr">
        <is>
          <t>Проволока порошковая для дуговой сварки</t>
        </is>
      </c>
      <c r="L500" t="n">
        <v>1348</v>
      </c>
      <c r="N500" t="n">
        <v>1009</v>
      </c>
      <c r="O500" t="inlineStr">
        <is>
          <t>т</t>
        </is>
      </c>
      <c r="P500" t="inlineStr">
        <is>
          <t>т</t>
        </is>
      </c>
      <c r="Q500" t="n">
        <v>1000</v>
      </c>
      <c r="W500" t="n">
        <v>0</v>
      </c>
      <c r="X500" t="n">
        <v>-1112151242</v>
      </c>
      <c r="Y500">
        <f>AT500</f>
        <v/>
      </c>
      <c r="AA500" t="n">
        <v>295944.19</v>
      </c>
      <c r="AB500" t="n">
        <v>0</v>
      </c>
      <c r="AC500" t="n">
        <v>0</v>
      </c>
      <c r="AD500" t="n">
        <v>0</v>
      </c>
      <c r="AE500" t="n">
        <v>15200.01</v>
      </c>
      <c r="AF500" t="n">
        <v>0</v>
      </c>
      <c r="AG500" t="n">
        <v>0</v>
      </c>
      <c r="AH500" t="n">
        <v>0</v>
      </c>
      <c r="AI500" t="n">
        <v>19.47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0</v>
      </c>
      <c r="AQ500" t="n">
        <v>0</v>
      </c>
      <c r="AR500" t="n">
        <v>0</v>
      </c>
      <c r="AS500" t="inlineStr"/>
      <c r="AT500" t="n">
        <v>0.00066</v>
      </c>
      <c r="AU500" t="inlineStr"/>
      <c r="AV500" t="n">
        <v>0</v>
      </c>
      <c r="AW500" t="n">
        <v>2</v>
      </c>
      <c r="AX500" t="n">
        <v>78871993</v>
      </c>
      <c r="AY500" t="n">
        <v>1</v>
      </c>
      <c r="AZ500" t="n">
        <v>0</v>
      </c>
      <c r="BA500" t="n">
        <v>456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ROUND(Y500*Source!I967,7)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ROW(Source!A967)</f>
        <v/>
      </c>
      <c r="B501" t="n">
        <v>78869116</v>
      </c>
      <c r="C501" t="n">
        <v>78871982</v>
      </c>
      <c r="D501" t="n">
        <v>29113990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101-1515</t>
        </is>
      </c>
      <c r="J501" t="inlineStr">
        <is>
          <t>ТССЦ Московской обл., 101-1515, приказ Минстроя России №675/пр от 28.02.2017 № 254/пр</t>
        </is>
      </c>
      <c r="K501" t="inlineStr">
        <is>
          <t>Электроды диаметром 4 мм Э46</t>
        </is>
      </c>
      <c r="L501" t="n">
        <v>1348</v>
      </c>
      <c r="N501" t="n">
        <v>1009</v>
      </c>
      <c r="O501" t="inlineStr">
        <is>
          <t>т</t>
        </is>
      </c>
      <c r="P501" t="inlineStr">
        <is>
          <t>т</t>
        </is>
      </c>
      <c r="Q501" t="n">
        <v>1000</v>
      </c>
      <c r="W501" t="n">
        <v>0</v>
      </c>
      <c r="X501" t="n">
        <v>703561654</v>
      </c>
      <c r="Y501">
        <f>AT501</f>
        <v/>
      </c>
      <c r="AA501" t="n">
        <v>247944.36</v>
      </c>
      <c r="AB501" t="n">
        <v>0</v>
      </c>
      <c r="AC501" t="n">
        <v>0</v>
      </c>
      <c r="AD501" t="n">
        <v>0</v>
      </c>
      <c r="AE501" t="n">
        <v>10169.99</v>
      </c>
      <c r="AF501" t="n">
        <v>0</v>
      </c>
      <c r="AG501" t="n">
        <v>0</v>
      </c>
      <c r="AH501" t="n">
        <v>0</v>
      </c>
      <c r="AI501" t="n">
        <v>24.38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0</v>
      </c>
      <c r="AQ501" t="n">
        <v>0</v>
      </c>
      <c r="AR501" t="n">
        <v>0</v>
      </c>
      <c r="AS501" t="inlineStr"/>
      <c r="AT501" t="n">
        <v>0.001</v>
      </c>
      <c r="AU501" t="inlineStr"/>
      <c r="AV501" t="n">
        <v>0</v>
      </c>
      <c r="AW501" t="n">
        <v>2</v>
      </c>
      <c r="AX501" t="n">
        <v>78871994</v>
      </c>
      <c r="AY501" t="n">
        <v>1</v>
      </c>
      <c r="AZ501" t="n">
        <v>0</v>
      </c>
      <c r="BA501" t="n">
        <v>457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ROUND(Y501*Source!I967,7)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ROW(Source!A968)</f>
        <v/>
      </c>
      <c r="B502" t="n">
        <v>78869116</v>
      </c>
      <c r="C502" t="n">
        <v>78871995</v>
      </c>
      <c r="D502" t="n">
        <v>18442827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1-1053-90</t>
        </is>
      </c>
      <c r="J502" t="inlineStr"/>
      <c r="K502" t="inlineStr">
        <is>
          <t>Рабочий строитель среднего разряда 5,3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717490484</v>
      </c>
      <c r="Y502">
        <f>AT502</f>
        <v/>
      </c>
      <c r="AA502" t="n">
        <v>0</v>
      </c>
      <c r="AB502" t="n">
        <v>0</v>
      </c>
      <c r="AC502" t="n">
        <v>0</v>
      </c>
      <c r="AD502" t="n">
        <v>11.64</v>
      </c>
      <c r="AE502" t="n">
        <v>0</v>
      </c>
      <c r="AF502" t="n">
        <v>0</v>
      </c>
      <c r="AG502" t="n">
        <v>0</v>
      </c>
      <c r="AH502" t="n">
        <v>11.64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1</v>
      </c>
      <c r="AQ502" t="n">
        <v>0</v>
      </c>
      <c r="AR502" t="n">
        <v>0</v>
      </c>
      <c r="AS502" t="inlineStr"/>
      <c r="AT502" t="n">
        <v>5.01</v>
      </c>
      <c r="AU502" t="inlineStr"/>
      <c r="AV502" t="n">
        <v>1</v>
      </c>
      <c r="AW502" t="n">
        <v>2</v>
      </c>
      <c r="AX502" t="n">
        <v>78872002</v>
      </c>
      <c r="AY502" t="n">
        <v>1</v>
      </c>
      <c r="AZ502" t="n">
        <v>0</v>
      </c>
      <c r="BA502" t="n">
        <v>458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ROUND(AT502*Source!I968*AH502*AL502,0)</f>
        <v/>
      </c>
      <c r="CV502">
        <f>ROUND(Y502*Source!I968,7)</f>
        <v/>
      </c>
      <c r="CW502" t="n">
        <v>0</v>
      </c>
      <c r="CX502">
        <f>ROUND(Y502*Source!I968,7)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ROW(Source!A968)</f>
        <v/>
      </c>
      <c r="B503" t="n">
        <v>78869116</v>
      </c>
      <c r="C503" t="n">
        <v>78871995</v>
      </c>
      <c r="D503" t="n">
        <v>29172703</v>
      </c>
      <c r="E503" t="n">
        <v>1</v>
      </c>
      <c r="F503" t="n">
        <v>1</v>
      </c>
      <c r="G503" t="n">
        <v>1</v>
      </c>
      <c r="H503" t="n">
        <v>2</v>
      </c>
      <c r="I503" t="inlineStr">
        <is>
          <t>042900</t>
        </is>
      </c>
      <c r="J503" t="inlineStr">
        <is>
          <t>ТСЭМ Московской обл., 042900, приказ Минстроя России №675/пр от 28.02.2017 № 264/пр</t>
        </is>
      </c>
      <c r="K50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03" t="n">
        <v>1368</v>
      </c>
      <c r="N503" t="n">
        <v>1011</v>
      </c>
      <c r="O503" t="inlineStr">
        <is>
          <t>маш.-ч</t>
        </is>
      </c>
      <c r="P503" t="inlineStr">
        <is>
          <t>маш.-ч</t>
        </is>
      </c>
      <c r="Q503" t="n">
        <v>1</v>
      </c>
      <c r="W503" t="n">
        <v>0</v>
      </c>
      <c r="X503" t="n">
        <v>1695838894</v>
      </c>
      <c r="Y503">
        <f>AT503</f>
        <v/>
      </c>
      <c r="AA503" t="n">
        <v>0</v>
      </c>
      <c r="AB503" t="n">
        <v>177.13</v>
      </c>
      <c r="AC503" t="n">
        <v>0</v>
      </c>
      <c r="AD503" t="n">
        <v>0</v>
      </c>
      <c r="AE503" t="n">
        <v>0</v>
      </c>
      <c r="AF503" t="n">
        <v>29.67</v>
      </c>
      <c r="AG503" t="n">
        <v>0</v>
      </c>
      <c r="AH503" t="n">
        <v>0</v>
      </c>
      <c r="AI503" t="n">
        <v>1</v>
      </c>
      <c r="AJ503" t="n">
        <v>5.97</v>
      </c>
      <c r="AK503" t="n">
        <v>52.25</v>
      </c>
      <c r="AL503" t="n">
        <v>1</v>
      </c>
      <c r="AM503" t="n">
        <v>2</v>
      </c>
      <c r="AN503" t="n">
        <v>0</v>
      </c>
      <c r="AO503" t="n">
        <v>1</v>
      </c>
      <c r="AP503" t="n">
        <v>1</v>
      </c>
      <c r="AQ503" t="n">
        <v>0</v>
      </c>
      <c r="AR503" t="n">
        <v>0</v>
      </c>
      <c r="AS503" t="inlineStr"/>
      <c r="AT503" t="n">
        <v>1.5</v>
      </c>
      <c r="AU503" t="inlineStr"/>
      <c r="AV503" t="n">
        <v>0</v>
      </c>
      <c r="AW503" t="n">
        <v>2</v>
      </c>
      <c r="AX503" t="n">
        <v>78872003</v>
      </c>
      <c r="AY503" t="n">
        <v>1</v>
      </c>
      <c r="AZ503" t="n">
        <v>0</v>
      </c>
      <c r="BA503" t="n">
        <v>459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>
        <f>ROUND(Y503*Source!I968*DO503,7)</f>
        <v/>
      </c>
      <c r="CX503">
        <f>ROUND(Y503*Source!I968,7)</f>
        <v/>
      </c>
      <c r="CY503">
        <f>AB503</f>
        <v/>
      </c>
      <c r="CZ503">
        <f>AF503</f>
        <v/>
      </c>
      <c r="DA503">
        <f>AJ503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ROUND(ROUND(AF503*AJ503,0)*CX503,0)</f>
        <v/>
      </c>
      <c r="DH503">
        <f>ROUND(ROUND(AG503*AK503,0)*CX503,0)</f>
        <v/>
      </c>
      <c r="DI503">
        <f>ROUND(ROUND(AH503,0)*CX503,0)</f>
        <v/>
      </c>
      <c r="DJ503">
        <f>DG503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ROW(Source!A968)</f>
        <v/>
      </c>
      <c r="B504" t="n">
        <v>78869116</v>
      </c>
      <c r="C504" t="n">
        <v>78871995</v>
      </c>
      <c r="D504" t="n">
        <v>29110398</v>
      </c>
      <c r="E504" t="n">
        <v>1</v>
      </c>
      <c r="F504" t="n">
        <v>1</v>
      </c>
      <c r="G504" t="n">
        <v>1</v>
      </c>
      <c r="H504" t="n">
        <v>3</v>
      </c>
      <c r="I504" t="inlineStr">
        <is>
          <t>101-0388</t>
        </is>
      </c>
      <c r="J504" t="inlineStr">
        <is>
          <t>ТССЦ Московской обл., 101-0388, приказ Минстроя России №675/пр от 28.02.2017 № 254/пр</t>
        </is>
      </c>
      <c r="K504" t="inlineStr">
        <is>
          <t>Краски масляные земляные марки МА-0115 мумия, сурик железный</t>
        </is>
      </c>
      <c r="L504" t="n">
        <v>1348</v>
      </c>
      <c r="N504" t="n">
        <v>1009</v>
      </c>
      <c r="O504" t="inlineStr">
        <is>
          <t>т</t>
        </is>
      </c>
      <c r="P504" t="inlineStr">
        <is>
          <t>т</t>
        </is>
      </c>
      <c r="Q504" t="n">
        <v>1000</v>
      </c>
      <c r="W504" t="n">
        <v>0</v>
      </c>
      <c r="X504" t="n">
        <v>1625292450</v>
      </c>
      <c r="Y504">
        <f>AT504</f>
        <v/>
      </c>
      <c r="AA504" t="n">
        <v>76804.47</v>
      </c>
      <c r="AB504" t="n">
        <v>0</v>
      </c>
      <c r="AC504" t="n">
        <v>0</v>
      </c>
      <c r="AD504" t="n">
        <v>0</v>
      </c>
      <c r="AE504" t="n">
        <v>15118.99</v>
      </c>
      <c r="AF504" t="n">
        <v>0</v>
      </c>
      <c r="AG504" t="n">
        <v>0</v>
      </c>
      <c r="AH504" t="n">
        <v>0</v>
      </c>
      <c r="AI504" t="n">
        <v>5.08</v>
      </c>
      <c r="AJ504" t="n">
        <v>1</v>
      </c>
      <c r="AK504" t="n">
        <v>1</v>
      </c>
      <c r="AL504" t="n">
        <v>1</v>
      </c>
      <c r="AM504" t="n">
        <v>2</v>
      </c>
      <c r="AN504" t="n">
        <v>0</v>
      </c>
      <c r="AO504" t="n">
        <v>1</v>
      </c>
      <c r="AP504" t="n">
        <v>1</v>
      </c>
      <c r="AQ504" t="n">
        <v>0</v>
      </c>
      <c r="AR504" t="n">
        <v>0</v>
      </c>
      <c r="AS504" t="inlineStr"/>
      <c r="AT504" t="n">
        <v>5e-05</v>
      </c>
      <c r="AU504" t="inlineStr"/>
      <c r="AV504" t="n">
        <v>0</v>
      </c>
      <c r="AW504" t="n">
        <v>2</v>
      </c>
      <c r="AX504" t="n">
        <v>78872004</v>
      </c>
      <c r="AY504" t="n">
        <v>1</v>
      </c>
      <c r="AZ504" t="n">
        <v>0</v>
      </c>
      <c r="BA504" t="n">
        <v>460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 t="n">
        <v>0</v>
      </c>
      <c r="CX504">
        <f>ROUND(Y504*Source!I968,7)</f>
        <v/>
      </c>
      <c r="CY504">
        <f>AA504</f>
        <v/>
      </c>
      <c r="CZ504">
        <f>AE504</f>
        <v/>
      </c>
      <c r="DA504">
        <f>AI504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ROUND(ROUND(AE504*AI504,0)*CX504,0)</f>
        <v/>
      </c>
      <c r="DG504">
        <f>ROUND(ROUND(AF504,0)*CX504,0)</f>
        <v/>
      </c>
      <c r="DH504">
        <f>ROUND(ROUND(AG504,0)*CX504,0)</f>
        <v/>
      </c>
      <c r="DI504">
        <f>ROUND(ROUND(AH504,0)*CX504,0)</f>
        <v/>
      </c>
      <c r="DJ504">
        <f>DF504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ROW(Source!A968)</f>
        <v/>
      </c>
      <c r="B505" t="n">
        <v>78869116</v>
      </c>
      <c r="C505" t="n">
        <v>78871995</v>
      </c>
      <c r="D505" t="n">
        <v>29110573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101-0628</t>
        </is>
      </c>
      <c r="J505" t="inlineStr">
        <is>
          <t>ТССЦ Московской обл., 101-0628, приказ Минстроя России №675/пр от 28.02.2017 № 254/пр</t>
        </is>
      </c>
      <c r="K505" t="inlineStr">
        <is>
          <t>Олифа комбинированная, марки К-3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24062879</v>
      </c>
      <c r="Y505">
        <f>AT505</f>
        <v/>
      </c>
      <c r="AA505" t="n">
        <v>87631.5</v>
      </c>
      <c r="AB505" t="n">
        <v>0</v>
      </c>
      <c r="AC505" t="n">
        <v>0</v>
      </c>
      <c r="AD505" t="n">
        <v>0</v>
      </c>
      <c r="AE505" t="n">
        <v>16950</v>
      </c>
      <c r="AF505" t="n">
        <v>0</v>
      </c>
      <c r="AG505" t="n">
        <v>0</v>
      </c>
      <c r="AH505" t="n">
        <v>0</v>
      </c>
      <c r="AI505" t="n">
        <v>5.17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1</v>
      </c>
      <c r="AQ505" t="n">
        <v>0</v>
      </c>
      <c r="AR505" t="n">
        <v>0</v>
      </c>
      <c r="AS505" t="inlineStr"/>
      <c r="AT505" t="n">
        <v>2e-05</v>
      </c>
      <c r="AU505" t="inlineStr"/>
      <c r="AV505" t="n">
        <v>0</v>
      </c>
      <c r="AW505" t="n">
        <v>2</v>
      </c>
      <c r="AX505" t="n">
        <v>78872005</v>
      </c>
      <c r="AY505" t="n">
        <v>1</v>
      </c>
      <c r="AZ505" t="n">
        <v>0</v>
      </c>
      <c r="BA505" t="n">
        <v>461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ROUND(Y505*Source!I968,7)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ROW(Source!A968)</f>
        <v/>
      </c>
      <c r="B506" t="n">
        <v>78869116</v>
      </c>
      <c r="C506" t="n">
        <v>78871995</v>
      </c>
      <c r="D506" t="n">
        <v>29107963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101-1669</t>
        </is>
      </c>
      <c r="J506" t="inlineStr">
        <is>
          <t>ТССЦ Московской обл., 101-1669, приказ Минстроя России №675/пр от 28.02.2017 № 254/пр</t>
        </is>
      </c>
      <c r="K506" t="inlineStr">
        <is>
          <t>Очес льняной</t>
        </is>
      </c>
      <c r="L506" t="n">
        <v>1346</v>
      </c>
      <c r="N506" t="n">
        <v>1009</v>
      </c>
      <c r="O506" t="inlineStr">
        <is>
          <t>кг</t>
        </is>
      </c>
      <c r="P506" t="inlineStr">
        <is>
          <t>кг</t>
        </is>
      </c>
      <c r="Q506" t="n">
        <v>1</v>
      </c>
      <c r="W506" t="n">
        <v>0</v>
      </c>
      <c r="X506" t="n">
        <v>-2113933962</v>
      </c>
      <c r="Y506">
        <f>AT506</f>
        <v/>
      </c>
      <c r="AA506" t="n">
        <v>590.67</v>
      </c>
      <c r="AB506" t="n">
        <v>0</v>
      </c>
      <c r="AC506" t="n">
        <v>0</v>
      </c>
      <c r="AD506" t="n">
        <v>0</v>
      </c>
      <c r="AE506" t="n">
        <v>37.29</v>
      </c>
      <c r="AF506" t="n">
        <v>0</v>
      </c>
      <c r="AG506" t="n">
        <v>0</v>
      </c>
      <c r="AH506" t="n">
        <v>0</v>
      </c>
      <c r="AI506" t="n">
        <v>15.84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1</v>
      </c>
      <c r="AQ506" t="n">
        <v>0</v>
      </c>
      <c r="AR506" t="n">
        <v>0</v>
      </c>
      <c r="AS506" t="inlineStr"/>
      <c r="AT506" t="n">
        <v>0.02</v>
      </c>
      <c r="AU506" t="inlineStr"/>
      <c r="AV506" t="n">
        <v>0</v>
      </c>
      <c r="AW506" t="n">
        <v>2</v>
      </c>
      <c r="AX506" t="n">
        <v>78872006</v>
      </c>
      <c r="AY506" t="n">
        <v>1</v>
      </c>
      <c r="AZ506" t="n">
        <v>0</v>
      </c>
      <c r="BA506" t="n">
        <v>462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ROUND(Y506*Source!I968,7)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ROW(Source!A968)</f>
        <v/>
      </c>
      <c r="B507" t="n">
        <v>78869116</v>
      </c>
      <c r="C507" t="n">
        <v>78871995</v>
      </c>
      <c r="D507" t="n">
        <v>29150040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411-0001</t>
        </is>
      </c>
      <c r="J507" t="inlineStr">
        <is>
          <t>ТССЦ Московской обл., 411-0001, приказ Минстроя России №675/пр от 28.02.2017 № 257/пр</t>
        </is>
      </c>
      <c r="K507" t="inlineStr">
        <is>
          <t>Вода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W507" t="n">
        <v>0</v>
      </c>
      <c r="X507" t="n">
        <v>619799737</v>
      </c>
      <c r="Y507">
        <f>AT507</f>
        <v/>
      </c>
      <c r="AA507" t="n">
        <v>31.28</v>
      </c>
      <c r="AB507" t="n">
        <v>0</v>
      </c>
      <c r="AC507" t="n">
        <v>0</v>
      </c>
      <c r="AD507" t="n">
        <v>0</v>
      </c>
      <c r="AE507" t="n">
        <v>2.44</v>
      </c>
      <c r="AF507" t="n">
        <v>0</v>
      </c>
      <c r="AG507" t="n">
        <v>0</v>
      </c>
      <c r="AH507" t="n">
        <v>0</v>
      </c>
      <c r="AI507" t="n">
        <v>12.82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1</v>
      </c>
      <c r="AQ507" t="n">
        <v>0</v>
      </c>
      <c r="AR507" t="n">
        <v>0</v>
      </c>
      <c r="AS507" t="inlineStr"/>
      <c r="AT507" t="n">
        <v>1</v>
      </c>
      <c r="AU507" t="inlineStr"/>
      <c r="AV507" t="n">
        <v>0</v>
      </c>
      <c r="AW507" t="n">
        <v>2</v>
      </c>
      <c r="AX507" t="n">
        <v>78872007</v>
      </c>
      <c r="AY507" t="n">
        <v>1</v>
      </c>
      <c r="AZ507" t="n">
        <v>0</v>
      </c>
      <c r="BA507" t="n">
        <v>463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ROUND(Y507*Source!I968,7)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ROW(Source!A1007)</f>
        <v/>
      </c>
      <c r="B508" t="n">
        <v>78869116</v>
      </c>
      <c r="C508" t="n">
        <v>78872071</v>
      </c>
      <c r="D508" t="n">
        <v>18408291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1-1025-90</t>
        </is>
      </c>
      <c r="J508" t="inlineStr"/>
      <c r="K508" t="inlineStr">
        <is>
          <t>Рабочий строитель среднего разряда 2,5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W508" t="n">
        <v>0</v>
      </c>
      <c r="X508" t="n">
        <v>1933892413</v>
      </c>
      <c r="Y508">
        <f>AT508</f>
        <v/>
      </c>
      <c r="AA508" t="n">
        <v>0</v>
      </c>
      <c r="AB508" t="n">
        <v>0</v>
      </c>
      <c r="AC508" t="n">
        <v>0</v>
      </c>
      <c r="AD508" t="n">
        <v>8.17</v>
      </c>
      <c r="AE508" t="n">
        <v>0</v>
      </c>
      <c r="AF508" t="n">
        <v>0</v>
      </c>
      <c r="AG508" t="n">
        <v>0</v>
      </c>
      <c r="AH508" t="n">
        <v>8.17</v>
      </c>
      <c r="AI508" t="n">
        <v>1</v>
      </c>
      <c r="AJ508" t="n">
        <v>1</v>
      </c>
      <c r="AK508" t="n">
        <v>1</v>
      </c>
      <c r="AL508" t="n">
        <v>1</v>
      </c>
      <c r="AM508" t="n">
        <v>-2</v>
      </c>
      <c r="AN508" t="n">
        <v>0</v>
      </c>
      <c r="AO508" t="n">
        <v>1</v>
      </c>
      <c r="AP508" t="n">
        <v>1</v>
      </c>
      <c r="AQ508" t="n">
        <v>0</v>
      </c>
      <c r="AR508" t="n">
        <v>0</v>
      </c>
      <c r="AS508" t="inlineStr"/>
      <c r="AT508" t="n">
        <v>32.2</v>
      </c>
      <c r="AU508" t="inlineStr"/>
      <c r="AV508" t="n">
        <v>1</v>
      </c>
      <c r="AW508" t="n">
        <v>2</v>
      </c>
      <c r="AX508" t="n">
        <v>78872077</v>
      </c>
      <c r="AY508" t="n">
        <v>1</v>
      </c>
      <c r="AZ508" t="n">
        <v>0</v>
      </c>
      <c r="BA508" t="n">
        <v>464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U508">
        <f>ROUND(AT508*Source!I1007*AH508*AL508,0)</f>
        <v/>
      </c>
      <c r="CV508">
        <f>ROUND(Y508*Source!I1007,7)</f>
        <v/>
      </c>
      <c r="CW508" t="n">
        <v>0</v>
      </c>
      <c r="CX508">
        <f>ROUND(Y508*Source!I1007,7)</f>
        <v/>
      </c>
      <c r="CY508">
        <f>AD508</f>
        <v/>
      </c>
      <c r="CZ508">
        <f>AH508</f>
        <v/>
      </c>
      <c r="DA508">
        <f>AL508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DI508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ROW(Source!A1007)</f>
        <v/>
      </c>
      <c r="B509" t="n">
        <v>78869116</v>
      </c>
      <c r="C509" t="n">
        <v>78872071</v>
      </c>
      <c r="D509" t="n">
        <v>29174913</v>
      </c>
      <c r="E509" t="n">
        <v>1</v>
      </c>
      <c r="F509" t="n">
        <v>1</v>
      </c>
      <c r="G509" t="n">
        <v>1</v>
      </c>
      <c r="H509" t="n">
        <v>2</v>
      </c>
      <c r="I509" t="inlineStr">
        <is>
          <t>400001</t>
        </is>
      </c>
      <c r="J509" t="inlineStr">
        <is>
          <t>ТСЭМ Московской обл., 400001, приказ Минстроя России №675/пр от 28.02.2017 № 264/пр</t>
        </is>
      </c>
      <c r="K509" t="inlineStr">
        <is>
          <t>Автомобили бортовые, грузоподъемность до 5 т</t>
        </is>
      </c>
      <c r="L509" t="n">
        <v>1368</v>
      </c>
      <c r="N509" t="n">
        <v>1011</v>
      </c>
      <c r="O509" t="inlineStr">
        <is>
          <t>маш.-ч</t>
        </is>
      </c>
      <c r="P509" t="inlineStr">
        <is>
          <t>маш.-ч</t>
        </is>
      </c>
      <c r="Q509" t="n">
        <v>1</v>
      </c>
      <c r="W509" t="n">
        <v>0</v>
      </c>
      <c r="X509" t="n">
        <v>1230759911</v>
      </c>
      <c r="Y509">
        <f>AT509</f>
        <v/>
      </c>
      <c r="AA509" t="n">
        <v>0</v>
      </c>
      <c r="AB509" t="n">
        <v>2177.51</v>
      </c>
      <c r="AC509" t="n">
        <v>606.1</v>
      </c>
      <c r="AD509" t="n">
        <v>0</v>
      </c>
      <c r="AE509" t="n">
        <v>0</v>
      </c>
      <c r="AF509" t="n">
        <v>87.17</v>
      </c>
      <c r="AG509" t="n">
        <v>11.6</v>
      </c>
      <c r="AH509" t="n">
        <v>0</v>
      </c>
      <c r="AI509" t="n">
        <v>1</v>
      </c>
      <c r="AJ509" t="n">
        <v>24.98</v>
      </c>
      <c r="AK509" t="n">
        <v>52.25</v>
      </c>
      <c r="AL509" t="n">
        <v>1</v>
      </c>
      <c r="AM509" t="n">
        <v>2</v>
      </c>
      <c r="AN509" t="n">
        <v>0</v>
      </c>
      <c r="AO509" t="n">
        <v>1</v>
      </c>
      <c r="AP509" t="n">
        <v>1</v>
      </c>
      <c r="AQ509" t="n">
        <v>0</v>
      </c>
      <c r="AR509" t="n">
        <v>0</v>
      </c>
      <c r="AS509" t="inlineStr"/>
      <c r="AT509" t="n">
        <v>0.01</v>
      </c>
      <c r="AU509" t="inlineStr"/>
      <c r="AV509" t="n">
        <v>0</v>
      </c>
      <c r="AW509" t="n">
        <v>2</v>
      </c>
      <c r="AX509" t="n">
        <v>78872078</v>
      </c>
      <c r="AY509" t="n">
        <v>1</v>
      </c>
      <c r="AZ509" t="n">
        <v>0</v>
      </c>
      <c r="BA509" t="n">
        <v>465</v>
      </c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>
        <f>ROUND(Y509*Source!I1007*DO509,7)</f>
        <v/>
      </c>
      <c r="CX509">
        <f>ROUND(Y509*Source!I1007,7)</f>
        <v/>
      </c>
      <c r="CY509">
        <f>AB509</f>
        <v/>
      </c>
      <c r="CZ509">
        <f>AF509</f>
        <v/>
      </c>
      <c r="DA509">
        <f>AJ509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ROUND(ROUND(AE509,0)*CX509,0)</f>
        <v/>
      </c>
      <c r="DG509">
        <f>ROUND(ROUND(AF509*AJ509,0)*CX509,0)</f>
        <v/>
      </c>
      <c r="DH509">
        <f>ROUND(ROUND(AG509*AK509,0)*CX509,0)</f>
        <v/>
      </c>
      <c r="DI509">
        <f>ROUND(ROUND(AH509,0)*CX509,0)</f>
        <v/>
      </c>
      <c r="DJ509">
        <f>DG509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ROW(Source!A1007)</f>
        <v/>
      </c>
      <c r="B510" t="n">
        <v>78869116</v>
      </c>
      <c r="C510" t="n">
        <v>78872071</v>
      </c>
      <c r="D510" t="n">
        <v>29110139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101-1703</t>
        </is>
      </c>
      <c r="J510" t="inlineStr">
        <is>
          <t>ТССЦ Московской обл., 101-1703, приказ Минстроя России №675/пр от 28.02.2017 № 254/пр</t>
        </is>
      </c>
      <c r="K510" t="inlineStr">
        <is>
          <t>Прокладки резиновые (пластина техническая прессованная)</t>
        </is>
      </c>
      <c r="L510" t="n">
        <v>1346</v>
      </c>
      <c r="N510" t="n">
        <v>1009</v>
      </c>
      <c r="O510" t="inlineStr">
        <is>
          <t>кг</t>
        </is>
      </c>
      <c r="P510" t="inlineStr">
        <is>
          <t>кг</t>
        </is>
      </c>
      <c r="Q510" t="n">
        <v>1</v>
      </c>
      <c r="W510" t="n">
        <v>0</v>
      </c>
      <c r="X510" t="n">
        <v>-1947909329</v>
      </c>
      <c r="Y510">
        <f>AT510</f>
        <v/>
      </c>
      <c r="AA510" t="n">
        <v>341.04</v>
      </c>
      <c r="AB510" t="n">
        <v>0</v>
      </c>
      <c r="AC510" t="n">
        <v>0</v>
      </c>
      <c r="AD510" t="n">
        <v>0</v>
      </c>
      <c r="AE510" t="n">
        <v>23.09</v>
      </c>
      <c r="AF510" t="n">
        <v>0</v>
      </c>
      <c r="AG510" t="n">
        <v>0</v>
      </c>
      <c r="AH510" t="n">
        <v>0</v>
      </c>
      <c r="AI510" t="n">
        <v>14.77</v>
      </c>
      <c r="AJ510" t="n">
        <v>1</v>
      </c>
      <c r="AK510" t="n">
        <v>1</v>
      </c>
      <c r="AL510" t="n">
        <v>1</v>
      </c>
      <c r="AM510" t="n">
        <v>2</v>
      </c>
      <c r="AN510" t="n">
        <v>0</v>
      </c>
      <c r="AO510" t="n">
        <v>1</v>
      </c>
      <c r="AP510" t="n">
        <v>1</v>
      </c>
      <c r="AQ510" t="n">
        <v>0</v>
      </c>
      <c r="AR510" t="n">
        <v>0</v>
      </c>
      <c r="AS510" t="inlineStr"/>
      <c r="AT510" t="n">
        <v>2</v>
      </c>
      <c r="AU510" t="inlineStr"/>
      <c r="AV510" t="n">
        <v>0</v>
      </c>
      <c r="AW510" t="n">
        <v>2</v>
      </c>
      <c r="AX510" t="n">
        <v>78872079</v>
      </c>
      <c r="AY510" t="n">
        <v>1</v>
      </c>
      <c r="AZ510" t="n">
        <v>0</v>
      </c>
      <c r="BA510" t="n">
        <v>466</v>
      </c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ROUND(Y510*Source!I1007,7)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ROW(Source!A1007)</f>
        <v/>
      </c>
      <c r="B511" t="n">
        <v>78869116</v>
      </c>
      <c r="C511" t="n">
        <v>78872071</v>
      </c>
      <c r="D511" t="n">
        <v>29114240</v>
      </c>
      <c r="E511" t="n">
        <v>1</v>
      </c>
      <c r="F511" t="n">
        <v>1</v>
      </c>
      <c r="G511" t="n">
        <v>1</v>
      </c>
      <c r="H511" t="n">
        <v>3</v>
      </c>
      <c r="I511" t="inlineStr">
        <is>
          <t>101-2576</t>
        </is>
      </c>
      <c r="J511" t="inlineStr">
        <is>
          <t>ТССЦ Московской обл., 101-2576, приказ Минстроя России №675/пр от 28.02.2017 № 254/пр</t>
        </is>
      </c>
      <c r="K511" t="inlineStr">
        <is>
          <t>Болты с гайками и шайбами для санитарно-технических работ диаметром 16 мм</t>
        </is>
      </c>
      <c r="L511" t="n">
        <v>1348</v>
      </c>
      <c r="N511" t="n">
        <v>1009</v>
      </c>
      <c r="O511" t="inlineStr">
        <is>
          <t>т</t>
        </is>
      </c>
      <c r="P511" t="inlineStr">
        <is>
          <t>т</t>
        </is>
      </c>
      <c r="Q511" t="n">
        <v>1000</v>
      </c>
      <c r="W511" t="n">
        <v>0</v>
      </c>
      <c r="X511" t="n">
        <v>-1701539228</v>
      </c>
      <c r="Y511">
        <f>AT511</f>
        <v/>
      </c>
      <c r="AA511" t="n">
        <v>145037.4</v>
      </c>
      <c r="AB511" t="n">
        <v>0</v>
      </c>
      <c r="AC511" t="n">
        <v>0</v>
      </c>
      <c r="AD511" t="n">
        <v>0</v>
      </c>
      <c r="AE511" t="n">
        <v>14830</v>
      </c>
      <c r="AF511" t="n">
        <v>0</v>
      </c>
      <c r="AG511" t="n">
        <v>0</v>
      </c>
      <c r="AH511" t="n">
        <v>0</v>
      </c>
      <c r="AI511" t="n">
        <v>9.779999999999999</v>
      </c>
      <c r="AJ511" t="n">
        <v>1</v>
      </c>
      <c r="AK511" t="n">
        <v>1</v>
      </c>
      <c r="AL511" t="n">
        <v>1</v>
      </c>
      <c r="AM511" t="n">
        <v>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0.005</v>
      </c>
      <c r="AU511" t="inlineStr"/>
      <c r="AV511" t="n">
        <v>0</v>
      </c>
      <c r="AW511" t="n">
        <v>2</v>
      </c>
      <c r="AX511" t="n">
        <v>78872080</v>
      </c>
      <c r="AY511" t="n">
        <v>1</v>
      </c>
      <c r="AZ511" t="n">
        <v>0</v>
      </c>
      <c r="BA511" t="n">
        <v>467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V511" t="n">
        <v>0</v>
      </c>
      <c r="CW511" t="n">
        <v>0</v>
      </c>
      <c r="CX511">
        <f>ROUND(Y511*Source!I1007,7)</f>
        <v/>
      </c>
      <c r="CY511">
        <f>AA511</f>
        <v/>
      </c>
      <c r="CZ511">
        <f>AE511</f>
        <v/>
      </c>
      <c r="DA511">
        <f>AI511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ROUND(ROUND(AE511*AI511,0)*CX511,0)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DF511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ROW(Source!A1007)</f>
        <v/>
      </c>
      <c r="B512" t="n">
        <v>78869116</v>
      </c>
      <c r="C512" t="n">
        <v>78872071</v>
      </c>
      <c r="D512" t="n">
        <v>29150040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411-0001</t>
        </is>
      </c>
      <c r="J512" t="inlineStr">
        <is>
          <t>ТССЦ Московской обл., 411-0001, приказ Минстроя России №675/пр от 28.02.2017 № 257/пр</t>
        </is>
      </c>
      <c r="K512" t="inlineStr">
        <is>
          <t>Вода</t>
        </is>
      </c>
      <c r="L512" t="n">
        <v>1339</v>
      </c>
      <c r="N512" t="n">
        <v>1007</v>
      </c>
      <c r="O512" t="inlineStr">
        <is>
          <t>м3</t>
        </is>
      </c>
      <c r="P512" t="inlineStr">
        <is>
          <t>м3</t>
        </is>
      </c>
      <c r="Q512" t="n">
        <v>1</v>
      </c>
      <c r="W512" t="n">
        <v>0</v>
      </c>
      <c r="X512" t="n">
        <v>619799737</v>
      </c>
      <c r="Y512">
        <f>AT512</f>
        <v/>
      </c>
      <c r="AA512" t="n">
        <v>31.28</v>
      </c>
      <c r="AB512" t="n">
        <v>0</v>
      </c>
      <c r="AC512" t="n">
        <v>0</v>
      </c>
      <c r="AD512" t="n">
        <v>0</v>
      </c>
      <c r="AE512" t="n">
        <v>2.44</v>
      </c>
      <c r="AF512" t="n">
        <v>0</v>
      </c>
      <c r="AG512" t="n">
        <v>0</v>
      </c>
      <c r="AH512" t="n">
        <v>0</v>
      </c>
      <c r="AI512" t="n">
        <v>12.82</v>
      </c>
      <c r="AJ512" t="n">
        <v>1</v>
      </c>
      <c r="AK512" t="n">
        <v>1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7.8</v>
      </c>
      <c r="AU512" t="inlineStr"/>
      <c r="AV512" t="n">
        <v>0</v>
      </c>
      <c r="AW512" t="n">
        <v>2</v>
      </c>
      <c r="AX512" t="n">
        <v>78872081</v>
      </c>
      <c r="AY512" t="n">
        <v>1</v>
      </c>
      <c r="AZ512" t="n">
        <v>0</v>
      </c>
      <c r="BA512" t="n">
        <v>468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 t="n">
        <v>0</v>
      </c>
      <c r="CX512">
        <f>ROUND(Y512*Source!I1007,7)</f>
        <v/>
      </c>
      <c r="CY512">
        <f>AA512</f>
        <v/>
      </c>
      <c r="CZ512">
        <f>AE512</f>
        <v/>
      </c>
      <c r="DA512">
        <f>AI512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ROUND(ROUND(AE512*AI512,0)*CX512,0)</f>
        <v/>
      </c>
      <c r="DG512">
        <f>ROUND(ROUND(AF512,0)*CX512,0)</f>
        <v/>
      </c>
      <c r="DH512">
        <f>ROUND(ROUND(AG512,0)*CX512,0)</f>
        <v/>
      </c>
      <c r="DI512">
        <f>ROUND(ROUND(AH512,0)*CX512,0)</f>
        <v/>
      </c>
      <c r="DJ512">
        <f>DF512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ROW(Source!A1046)</f>
        <v/>
      </c>
      <c r="B513" t="n">
        <v>78869116</v>
      </c>
      <c r="C513" t="n">
        <v>78872139</v>
      </c>
      <c r="D513" t="n">
        <v>18408291</v>
      </c>
      <c r="E513" t="n">
        <v>1</v>
      </c>
      <c r="F513" t="n">
        <v>1</v>
      </c>
      <c r="G513" t="n">
        <v>1</v>
      </c>
      <c r="H513" t="n">
        <v>1</v>
      </c>
      <c r="I513" t="inlineStr">
        <is>
          <t>1-1025-90</t>
        </is>
      </c>
      <c r="J513" t="inlineStr"/>
      <c r="K513" t="inlineStr">
        <is>
          <t>Рабочий строитель среднего разряда 2,5</t>
        </is>
      </c>
      <c r="L513" t="n">
        <v>1369</v>
      </c>
      <c r="N513" t="n">
        <v>1013</v>
      </c>
      <c r="O513" t="inlineStr">
        <is>
          <t>чел.-ч</t>
        </is>
      </c>
      <c r="P513" t="inlineStr">
        <is>
          <t>чел.-ч</t>
        </is>
      </c>
      <c r="Q513" t="n">
        <v>1</v>
      </c>
      <c r="W513" t="n">
        <v>0</v>
      </c>
      <c r="X513" t="n">
        <v>1933892413</v>
      </c>
      <c r="Y513">
        <f>AT513</f>
        <v/>
      </c>
      <c r="AA513" t="n">
        <v>0</v>
      </c>
      <c r="AB513" t="n">
        <v>0</v>
      </c>
      <c r="AC513" t="n">
        <v>0</v>
      </c>
      <c r="AD513" t="n">
        <v>8.17</v>
      </c>
      <c r="AE513" t="n">
        <v>0</v>
      </c>
      <c r="AF513" t="n">
        <v>0</v>
      </c>
      <c r="AG513" t="n">
        <v>0</v>
      </c>
      <c r="AH513" t="n">
        <v>8.17</v>
      </c>
      <c r="AI513" t="n">
        <v>1</v>
      </c>
      <c r="AJ513" t="n">
        <v>1</v>
      </c>
      <c r="AK513" t="n">
        <v>1</v>
      </c>
      <c r="AL513" t="n">
        <v>1</v>
      </c>
      <c r="AM513" t="n">
        <v>-2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32.2</v>
      </c>
      <c r="AU513" t="inlineStr"/>
      <c r="AV513" t="n">
        <v>1</v>
      </c>
      <c r="AW513" t="n">
        <v>2</v>
      </c>
      <c r="AX513" t="n">
        <v>78872145</v>
      </c>
      <c r="AY513" t="n">
        <v>1</v>
      </c>
      <c r="AZ513" t="n">
        <v>0</v>
      </c>
      <c r="BA513" t="n">
        <v>469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U513">
        <f>ROUND(AT513*Source!I1046*AH513*AL513,0)</f>
        <v/>
      </c>
      <c r="CV513">
        <f>ROUND(Y513*Source!I1046,7)</f>
        <v/>
      </c>
      <c r="CW513" t="n">
        <v>0</v>
      </c>
      <c r="CX513">
        <f>ROUND(Y513*Source!I1046,7)</f>
        <v/>
      </c>
      <c r="CY513">
        <f>AD513</f>
        <v/>
      </c>
      <c r="CZ513">
        <f>AH513</f>
        <v/>
      </c>
      <c r="DA513">
        <f>AL513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DI513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ROW(Source!A1046)</f>
        <v/>
      </c>
      <c r="B514" t="n">
        <v>78869116</v>
      </c>
      <c r="C514" t="n">
        <v>78872139</v>
      </c>
      <c r="D514" t="n">
        <v>29174913</v>
      </c>
      <c r="E514" t="n">
        <v>1</v>
      </c>
      <c r="F514" t="n">
        <v>1</v>
      </c>
      <c r="G514" t="n">
        <v>1</v>
      </c>
      <c r="H514" t="n">
        <v>2</v>
      </c>
      <c r="I514" t="inlineStr">
        <is>
          <t>400001</t>
        </is>
      </c>
      <c r="J514" t="inlineStr">
        <is>
          <t>ТСЭМ Московской обл., 400001, приказ Минстроя России №675/пр от 28.02.2017 № 264/пр</t>
        </is>
      </c>
      <c r="K514" t="inlineStr">
        <is>
          <t>Автомобили бортовые, грузоподъемность до 5 т</t>
        </is>
      </c>
      <c r="L514" t="n">
        <v>1368</v>
      </c>
      <c r="N514" t="n">
        <v>1011</v>
      </c>
      <c r="O514" t="inlineStr">
        <is>
          <t>маш.-ч</t>
        </is>
      </c>
      <c r="P514" t="inlineStr">
        <is>
          <t>маш.-ч</t>
        </is>
      </c>
      <c r="Q514" t="n">
        <v>1</v>
      </c>
      <c r="W514" t="n">
        <v>0</v>
      </c>
      <c r="X514" t="n">
        <v>1230759911</v>
      </c>
      <c r="Y514">
        <f>AT514</f>
        <v/>
      </c>
      <c r="AA514" t="n">
        <v>0</v>
      </c>
      <c r="AB514" t="n">
        <v>2177.51</v>
      </c>
      <c r="AC514" t="n">
        <v>606.1</v>
      </c>
      <c r="AD514" t="n">
        <v>0</v>
      </c>
      <c r="AE514" t="n">
        <v>0</v>
      </c>
      <c r="AF514" t="n">
        <v>87.17</v>
      </c>
      <c r="AG514" t="n">
        <v>11.6</v>
      </c>
      <c r="AH514" t="n">
        <v>0</v>
      </c>
      <c r="AI514" t="n">
        <v>1</v>
      </c>
      <c r="AJ514" t="n">
        <v>24.98</v>
      </c>
      <c r="AK514" t="n">
        <v>52.25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0.01</v>
      </c>
      <c r="AU514" t="inlineStr"/>
      <c r="AV514" t="n">
        <v>0</v>
      </c>
      <c r="AW514" t="n">
        <v>2</v>
      </c>
      <c r="AX514" t="n">
        <v>78872146</v>
      </c>
      <c r="AY514" t="n">
        <v>1</v>
      </c>
      <c r="AZ514" t="n">
        <v>0</v>
      </c>
      <c r="BA514" t="n">
        <v>470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>
        <f>ROUND(Y514*Source!I1046*DO514,7)</f>
        <v/>
      </c>
      <c r="CX514">
        <f>ROUND(Y514*Source!I1046,7)</f>
        <v/>
      </c>
      <c r="CY514">
        <f>AB514</f>
        <v/>
      </c>
      <c r="CZ514">
        <f>AF514</f>
        <v/>
      </c>
      <c r="DA514">
        <f>AJ514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ROUND(ROUND(AE514,0)*CX514,0)</f>
        <v/>
      </c>
      <c r="DG514">
        <f>ROUND(ROUND(AF514*AJ514,0)*CX514,0)</f>
        <v/>
      </c>
      <c r="DH514">
        <f>ROUND(ROUND(AG514*AK514,0)*CX514,0)</f>
        <v/>
      </c>
      <c r="DI514">
        <f>ROUND(ROUND(AH514,0)*CX514,0)</f>
        <v/>
      </c>
      <c r="DJ514">
        <f>DG514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ROW(Source!A1046)</f>
        <v/>
      </c>
      <c r="B515" t="n">
        <v>78869116</v>
      </c>
      <c r="C515" t="n">
        <v>78872139</v>
      </c>
      <c r="D515" t="n">
        <v>29110139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101-1703</t>
        </is>
      </c>
      <c r="J515" t="inlineStr">
        <is>
          <t>ТССЦ Московской обл., 101-1703, приказ Минстроя России №675/пр от 28.02.2017 № 254/пр</t>
        </is>
      </c>
      <c r="K515" t="inlineStr">
        <is>
          <t>Прокладки резиновые (пластина техническая прессованная)</t>
        </is>
      </c>
      <c r="L515" t="n">
        <v>1346</v>
      </c>
      <c r="N515" t="n">
        <v>1009</v>
      </c>
      <c r="O515" t="inlineStr">
        <is>
          <t>кг</t>
        </is>
      </c>
      <c r="P515" t="inlineStr">
        <is>
          <t>кг</t>
        </is>
      </c>
      <c r="Q515" t="n">
        <v>1</v>
      </c>
      <c r="W515" t="n">
        <v>0</v>
      </c>
      <c r="X515" t="n">
        <v>-1947909329</v>
      </c>
      <c r="Y515">
        <f>AT515</f>
        <v/>
      </c>
      <c r="AA515" t="n">
        <v>341.04</v>
      </c>
      <c r="AB515" t="n">
        <v>0</v>
      </c>
      <c r="AC515" t="n">
        <v>0</v>
      </c>
      <c r="AD515" t="n">
        <v>0</v>
      </c>
      <c r="AE515" t="n">
        <v>23.09</v>
      </c>
      <c r="AF515" t="n">
        <v>0</v>
      </c>
      <c r="AG515" t="n">
        <v>0</v>
      </c>
      <c r="AH515" t="n">
        <v>0</v>
      </c>
      <c r="AI515" t="n">
        <v>14.77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2</v>
      </c>
      <c r="AU515" t="inlineStr"/>
      <c r="AV515" t="n">
        <v>0</v>
      </c>
      <c r="AW515" t="n">
        <v>2</v>
      </c>
      <c r="AX515" t="n">
        <v>78872147</v>
      </c>
      <c r="AY515" t="n">
        <v>1</v>
      </c>
      <c r="AZ515" t="n">
        <v>0</v>
      </c>
      <c r="BA515" t="n">
        <v>471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ROUND(Y515*Source!I1046,7)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ROW(Source!A1046)</f>
        <v/>
      </c>
      <c r="B516" t="n">
        <v>78869116</v>
      </c>
      <c r="C516" t="n">
        <v>78872139</v>
      </c>
      <c r="D516" t="n">
        <v>29114240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101-2576</t>
        </is>
      </c>
      <c r="J516" t="inlineStr">
        <is>
          <t>ТССЦ Московской обл., 101-2576, приказ Минстроя России №675/пр от 28.02.2017 № 254/пр</t>
        </is>
      </c>
      <c r="K516" t="inlineStr">
        <is>
          <t>Болты с гайками и шайбами для санитарно-технических работ диаметром 16 мм</t>
        </is>
      </c>
      <c r="L516" t="n">
        <v>1348</v>
      </c>
      <c r="N516" t="n">
        <v>1009</v>
      </c>
      <c r="O516" t="inlineStr">
        <is>
          <t>т</t>
        </is>
      </c>
      <c r="P516" t="inlineStr">
        <is>
          <t>т</t>
        </is>
      </c>
      <c r="Q516" t="n">
        <v>1000</v>
      </c>
      <c r="W516" t="n">
        <v>0</v>
      </c>
      <c r="X516" t="n">
        <v>-1701539228</v>
      </c>
      <c r="Y516">
        <f>AT516</f>
        <v/>
      </c>
      <c r="AA516" t="n">
        <v>145037.4</v>
      </c>
      <c r="AB516" t="n">
        <v>0</v>
      </c>
      <c r="AC516" t="n">
        <v>0</v>
      </c>
      <c r="AD516" t="n">
        <v>0</v>
      </c>
      <c r="AE516" t="n">
        <v>14830</v>
      </c>
      <c r="AF516" t="n">
        <v>0</v>
      </c>
      <c r="AG516" t="n">
        <v>0</v>
      </c>
      <c r="AH516" t="n">
        <v>0</v>
      </c>
      <c r="AI516" t="n">
        <v>9.779999999999999</v>
      </c>
      <c r="AJ516" t="n">
        <v>1</v>
      </c>
      <c r="AK516" t="n">
        <v>1</v>
      </c>
      <c r="AL516" t="n">
        <v>1</v>
      </c>
      <c r="AM516" t="n">
        <v>2</v>
      </c>
      <c r="AN516" t="n">
        <v>0</v>
      </c>
      <c r="AO516" t="n">
        <v>1</v>
      </c>
      <c r="AP516" t="n">
        <v>1</v>
      </c>
      <c r="AQ516" t="n">
        <v>0</v>
      </c>
      <c r="AR516" t="n">
        <v>0</v>
      </c>
      <c r="AS516" t="inlineStr"/>
      <c r="AT516" t="n">
        <v>0.005</v>
      </c>
      <c r="AU516" t="inlineStr"/>
      <c r="AV516" t="n">
        <v>0</v>
      </c>
      <c r="AW516" t="n">
        <v>2</v>
      </c>
      <c r="AX516" t="n">
        <v>78872148</v>
      </c>
      <c r="AY516" t="n">
        <v>1</v>
      </c>
      <c r="AZ516" t="n">
        <v>0</v>
      </c>
      <c r="BA516" t="n">
        <v>472</v>
      </c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ROUND(Y516*Source!I1046,7)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ROUND(ROUND(AE516*AI516,0)*CX516,0)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ROW(Source!A1046)</f>
        <v/>
      </c>
      <c r="B517" t="n">
        <v>78869116</v>
      </c>
      <c r="C517" t="n">
        <v>78872139</v>
      </c>
      <c r="D517" t="n">
        <v>29150040</v>
      </c>
      <c r="E517" t="n">
        <v>1</v>
      </c>
      <c r="F517" t="n">
        <v>1</v>
      </c>
      <c r="G517" t="n">
        <v>1</v>
      </c>
      <c r="H517" t="n">
        <v>3</v>
      </c>
      <c r="I517" t="inlineStr">
        <is>
          <t>411-0001</t>
        </is>
      </c>
      <c r="J517" t="inlineStr">
        <is>
          <t>ТССЦ Московской обл., 411-0001, приказ Минстроя России №675/пр от 28.02.2017 № 257/пр</t>
        </is>
      </c>
      <c r="K517" t="inlineStr">
        <is>
          <t>Вода</t>
        </is>
      </c>
      <c r="L517" t="n">
        <v>1339</v>
      </c>
      <c r="N517" t="n">
        <v>1007</v>
      </c>
      <c r="O517" t="inlineStr">
        <is>
          <t>м3</t>
        </is>
      </c>
      <c r="P517" t="inlineStr">
        <is>
          <t>м3</t>
        </is>
      </c>
      <c r="Q517" t="n">
        <v>1</v>
      </c>
      <c r="W517" t="n">
        <v>0</v>
      </c>
      <c r="X517" t="n">
        <v>619799737</v>
      </c>
      <c r="Y517">
        <f>AT517</f>
        <v/>
      </c>
      <c r="AA517" t="n">
        <v>31.28</v>
      </c>
      <c r="AB517" t="n">
        <v>0</v>
      </c>
      <c r="AC517" t="n">
        <v>0</v>
      </c>
      <c r="AD517" t="n">
        <v>0</v>
      </c>
      <c r="AE517" t="n">
        <v>2.44</v>
      </c>
      <c r="AF517" t="n">
        <v>0</v>
      </c>
      <c r="AG517" t="n">
        <v>0</v>
      </c>
      <c r="AH517" t="n">
        <v>0</v>
      </c>
      <c r="AI517" t="n">
        <v>12.82</v>
      </c>
      <c r="AJ517" t="n">
        <v>1</v>
      </c>
      <c r="AK517" t="n">
        <v>1</v>
      </c>
      <c r="AL517" t="n">
        <v>1</v>
      </c>
      <c r="AM517" t="n">
        <v>2</v>
      </c>
      <c r="AN517" t="n">
        <v>0</v>
      </c>
      <c r="AO517" t="n">
        <v>1</v>
      </c>
      <c r="AP517" t="n">
        <v>1</v>
      </c>
      <c r="AQ517" t="n">
        <v>0</v>
      </c>
      <c r="AR517" t="n">
        <v>0</v>
      </c>
      <c r="AS517" t="inlineStr"/>
      <c r="AT517" t="n">
        <v>7.8</v>
      </c>
      <c r="AU517" t="inlineStr"/>
      <c r="AV517" t="n">
        <v>0</v>
      </c>
      <c r="AW517" t="n">
        <v>2</v>
      </c>
      <c r="AX517" t="n">
        <v>78872149</v>
      </c>
      <c r="AY517" t="n">
        <v>1</v>
      </c>
      <c r="AZ517" t="n">
        <v>0</v>
      </c>
      <c r="BA517" t="n">
        <v>473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V517" t="n">
        <v>0</v>
      </c>
      <c r="CW517" t="n">
        <v>0</v>
      </c>
      <c r="CX517">
        <f>ROUND(Y517*Source!I1046,7)</f>
        <v/>
      </c>
      <c r="CY517">
        <f>AA517</f>
        <v/>
      </c>
      <c r="CZ517">
        <f>AE517</f>
        <v/>
      </c>
      <c r="DA517">
        <f>AI517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ROUND(ROUND(AE517*AI517,0)*CX517,0)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DF517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ROW(Source!A1086)</f>
        <v/>
      </c>
      <c r="B518" t="n">
        <v>78869116</v>
      </c>
      <c r="C518" t="n">
        <v>78872240</v>
      </c>
      <c r="D518" t="n">
        <v>18442827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1-1053-90</t>
        </is>
      </c>
      <c r="J518" t="inlineStr"/>
      <c r="K518" t="inlineStr">
        <is>
          <t>Рабочий строитель среднего разряда 5,3</t>
        </is>
      </c>
      <c r="L518" t="n">
        <v>1369</v>
      </c>
      <c r="N518" t="n">
        <v>1013</v>
      </c>
      <c r="O518" t="inlineStr">
        <is>
          <t>чел.-ч</t>
        </is>
      </c>
      <c r="P518" t="inlineStr">
        <is>
          <t>чел.-ч</t>
        </is>
      </c>
      <c r="Q518" t="n">
        <v>1</v>
      </c>
      <c r="W518" t="n">
        <v>0</v>
      </c>
      <c r="X518" t="n">
        <v>717490484</v>
      </c>
      <c r="Y518">
        <f>AT518</f>
        <v/>
      </c>
      <c r="AA518" t="n">
        <v>0</v>
      </c>
      <c r="AB518" t="n">
        <v>0</v>
      </c>
      <c r="AC518" t="n">
        <v>0</v>
      </c>
      <c r="AD518" t="n">
        <v>11.64</v>
      </c>
      <c r="AE518" t="n">
        <v>0</v>
      </c>
      <c r="AF518" t="n">
        <v>0</v>
      </c>
      <c r="AG518" t="n">
        <v>0</v>
      </c>
      <c r="AH518" t="n">
        <v>11.64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1</v>
      </c>
      <c r="AQ518" t="n">
        <v>0</v>
      </c>
      <c r="AR518" t="n">
        <v>0</v>
      </c>
      <c r="AS518" t="inlineStr"/>
      <c r="AT518" t="n">
        <v>5.01</v>
      </c>
      <c r="AU518" t="inlineStr"/>
      <c r="AV518" t="n">
        <v>1</v>
      </c>
      <c r="AW518" t="n">
        <v>2</v>
      </c>
      <c r="AX518" t="n">
        <v>78872247</v>
      </c>
      <c r="AY518" t="n">
        <v>1</v>
      </c>
      <c r="AZ518" t="n">
        <v>0</v>
      </c>
      <c r="BA518" t="n">
        <v>474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U518">
        <f>ROUND(AT518*Source!I1086*AH518*AL518,0)</f>
        <v/>
      </c>
      <c r="CV518">
        <f>ROUND(Y518*Source!I1086,7)</f>
        <v/>
      </c>
      <c r="CW518" t="n">
        <v>0</v>
      </c>
      <c r="CX518">
        <f>ROUND(Y518*Source!I1086,7)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ROW(Source!A1086)</f>
        <v/>
      </c>
      <c r="B519" t="n">
        <v>78869116</v>
      </c>
      <c r="C519" t="n">
        <v>78872240</v>
      </c>
      <c r="D519" t="n">
        <v>29172703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042900</t>
        </is>
      </c>
      <c r="J519" t="inlineStr">
        <is>
          <t>ТСЭМ Московской обл., 042900, приказ Минстроя России №675/пр от 28.02.2017 № 264/пр</t>
        </is>
      </c>
      <c r="K5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1695838894</v>
      </c>
      <c r="Y519">
        <f>AT519</f>
        <v/>
      </c>
      <c r="AA519" t="n">
        <v>0</v>
      </c>
      <c r="AB519" t="n">
        <v>177.13</v>
      </c>
      <c r="AC519" t="n">
        <v>0</v>
      </c>
      <c r="AD519" t="n">
        <v>0</v>
      </c>
      <c r="AE519" t="n">
        <v>0</v>
      </c>
      <c r="AF519" t="n">
        <v>29.67</v>
      </c>
      <c r="AG519" t="n">
        <v>0</v>
      </c>
      <c r="AH519" t="n">
        <v>0</v>
      </c>
      <c r="AI519" t="n">
        <v>1</v>
      </c>
      <c r="AJ519" t="n">
        <v>5.97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1</v>
      </c>
      <c r="AQ519" t="n">
        <v>0</v>
      </c>
      <c r="AR519" t="n">
        <v>0</v>
      </c>
      <c r="AS519" t="inlineStr"/>
      <c r="AT519" t="n">
        <v>1.5</v>
      </c>
      <c r="AU519" t="inlineStr"/>
      <c r="AV519" t="n">
        <v>0</v>
      </c>
      <c r="AW519" t="n">
        <v>2</v>
      </c>
      <c r="AX519" t="n">
        <v>78872248</v>
      </c>
      <c r="AY519" t="n">
        <v>1</v>
      </c>
      <c r="AZ519" t="n">
        <v>0</v>
      </c>
      <c r="BA519" t="n">
        <v>475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ROUND(Y519*Source!I1086*DO519,7)</f>
        <v/>
      </c>
      <c r="CX519">
        <f>ROUND(Y519*Source!I1086,7)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ROW(Source!A1086)</f>
        <v/>
      </c>
      <c r="B520" t="n">
        <v>78869116</v>
      </c>
      <c r="C520" t="n">
        <v>78872240</v>
      </c>
      <c r="D520" t="n">
        <v>29110398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101-0388</t>
        </is>
      </c>
      <c r="J520" t="inlineStr">
        <is>
          <t>ТССЦ Московской обл., 101-0388, приказ Минстроя России №675/пр от 28.02.2017 № 254/пр</t>
        </is>
      </c>
      <c r="K520" t="inlineStr">
        <is>
          <t>Краски масляные земляные марки МА-0115 мумия, сурик железный</t>
        </is>
      </c>
      <c r="L520" t="n">
        <v>1348</v>
      </c>
      <c r="N520" t="n">
        <v>1009</v>
      </c>
      <c r="O520" t="inlineStr">
        <is>
          <t>т</t>
        </is>
      </c>
      <c r="P520" t="inlineStr">
        <is>
          <t>т</t>
        </is>
      </c>
      <c r="Q520" t="n">
        <v>1000</v>
      </c>
      <c r="W520" t="n">
        <v>0</v>
      </c>
      <c r="X520" t="n">
        <v>1625292450</v>
      </c>
      <c r="Y520">
        <f>AT520</f>
        <v/>
      </c>
      <c r="AA520" t="n">
        <v>76804.47</v>
      </c>
      <c r="AB520" t="n">
        <v>0</v>
      </c>
      <c r="AC520" t="n">
        <v>0</v>
      </c>
      <c r="AD520" t="n">
        <v>0</v>
      </c>
      <c r="AE520" t="n">
        <v>15118.99</v>
      </c>
      <c r="AF520" t="n">
        <v>0</v>
      </c>
      <c r="AG520" t="n">
        <v>0</v>
      </c>
      <c r="AH520" t="n">
        <v>0</v>
      </c>
      <c r="AI520" t="n">
        <v>5.08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1</v>
      </c>
      <c r="AQ520" t="n">
        <v>0</v>
      </c>
      <c r="AR520" t="n">
        <v>0</v>
      </c>
      <c r="AS520" t="inlineStr"/>
      <c r="AT520" t="n">
        <v>5e-05</v>
      </c>
      <c r="AU520" t="inlineStr"/>
      <c r="AV520" t="n">
        <v>0</v>
      </c>
      <c r="AW520" t="n">
        <v>2</v>
      </c>
      <c r="AX520" t="n">
        <v>78872249</v>
      </c>
      <c r="AY520" t="n">
        <v>1</v>
      </c>
      <c r="AZ520" t="n">
        <v>0</v>
      </c>
      <c r="BA520" t="n">
        <v>476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ROUND(Y520*Source!I1086,7)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ROW(Source!A1086)</f>
        <v/>
      </c>
      <c r="B521" t="n">
        <v>78869116</v>
      </c>
      <c r="C521" t="n">
        <v>78872240</v>
      </c>
      <c r="D521" t="n">
        <v>29110573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101-0628</t>
        </is>
      </c>
      <c r="J521" t="inlineStr">
        <is>
          <t>ТССЦ Московской обл., 101-0628, приказ Минстроя России №675/пр от 28.02.2017 № 254/пр</t>
        </is>
      </c>
      <c r="K521" t="inlineStr">
        <is>
          <t>Олифа комбинированная, марки К-3</t>
        </is>
      </c>
      <c r="L521" t="n">
        <v>1348</v>
      </c>
      <c r="N521" t="n">
        <v>1009</v>
      </c>
      <c r="O521" t="inlineStr">
        <is>
          <t>т</t>
        </is>
      </c>
      <c r="P521" t="inlineStr">
        <is>
          <t>т</t>
        </is>
      </c>
      <c r="Q521" t="n">
        <v>1000</v>
      </c>
      <c r="W521" t="n">
        <v>0</v>
      </c>
      <c r="X521" t="n">
        <v>24062879</v>
      </c>
      <c r="Y521">
        <f>AT521</f>
        <v/>
      </c>
      <c r="AA521" t="n">
        <v>87631.5</v>
      </c>
      <c r="AB521" t="n">
        <v>0</v>
      </c>
      <c r="AC521" t="n">
        <v>0</v>
      </c>
      <c r="AD521" t="n">
        <v>0</v>
      </c>
      <c r="AE521" t="n">
        <v>16950</v>
      </c>
      <c r="AF521" t="n">
        <v>0</v>
      </c>
      <c r="AG521" t="n">
        <v>0</v>
      </c>
      <c r="AH521" t="n">
        <v>0</v>
      </c>
      <c r="AI521" t="n">
        <v>5.17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1</v>
      </c>
      <c r="AQ521" t="n">
        <v>0</v>
      </c>
      <c r="AR521" t="n">
        <v>0</v>
      </c>
      <c r="AS521" t="inlineStr"/>
      <c r="AT521" t="n">
        <v>2e-05</v>
      </c>
      <c r="AU521" t="inlineStr"/>
      <c r="AV521" t="n">
        <v>0</v>
      </c>
      <c r="AW521" t="n">
        <v>2</v>
      </c>
      <c r="AX521" t="n">
        <v>78872250</v>
      </c>
      <c r="AY521" t="n">
        <v>1</v>
      </c>
      <c r="AZ521" t="n">
        <v>0</v>
      </c>
      <c r="BA521" t="n">
        <v>477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ROUND(Y521*Source!I1086,7)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ROW(Source!A1086)</f>
        <v/>
      </c>
      <c r="B522" t="n">
        <v>78869116</v>
      </c>
      <c r="C522" t="n">
        <v>78872240</v>
      </c>
      <c r="D522" t="n">
        <v>29107963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101-1669</t>
        </is>
      </c>
      <c r="J522" t="inlineStr">
        <is>
          <t>ТССЦ Московской обл., 101-1669, приказ Минстроя России №675/пр от 28.02.2017 № 254/пр</t>
        </is>
      </c>
      <c r="K522" t="inlineStr">
        <is>
          <t>Очес льняной</t>
        </is>
      </c>
      <c r="L522" t="n">
        <v>1346</v>
      </c>
      <c r="N522" t="n">
        <v>1009</v>
      </c>
      <c r="O522" t="inlineStr">
        <is>
          <t>кг</t>
        </is>
      </c>
      <c r="P522" t="inlineStr">
        <is>
          <t>кг</t>
        </is>
      </c>
      <c r="Q522" t="n">
        <v>1</v>
      </c>
      <c r="W522" t="n">
        <v>0</v>
      </c>
      <c r="X522" t="n">
        <v>-2113933962</v>
      </c>
      <c r="Y522">
        <f>AT522</f>
        <v/>
      </c>
      <c r="AA522" t="n">
        <v>590.67</v>
      </c>
      <c r="AB522" t="n">
        <v>0</v>
      </c>
      <c r="AC522" t="n">
        <v>0</v>
      </c>
      <c r="AD522" t="n">
        <v>0</v>
      </c>
      <c r="AE522" t="n">
        <v>37.29</v>
      </c>
      <c r="AF522" t="n">
        <v>0</v>
      </c>
      <c r="AG522" t="n">
        <v>0</v>
      </c>
      <c r="AH522" t="n">
        <v>0</v>
      </c>
      <c r="AI522" t="n">
        <v>15.84</v>
      </c>
      <c r="AJ522" t="n">
        <v>1</v>
      </c>
      <c r="AK522" t="n">
        <v>1</v>
      </c>
      <c r="AL522" t="n">
        <v>1</v>
      </c>
      <c r="AM522" t="n">
        <v>2</v>
      </c>
      <c r="AN522" t="n">
        <v>0</v>
      </c>
      <c r="AO522" t="n">
        <v>1</v>
      </c>
      <c r="AP522" t="n">
        <v>1</v>
      </c>
      <c r="AQ522" t="n">
        <v>0</v>
      </c>
      <c r="AR522" t="n">
        <v>0</v>
      </c>
      <c r="AS522" t="inlineStr"/>
      <c r="AT522" t="n">
        <v>0.02</v>
      </c>
      <c r="AU522" t="inlineStr"/>
      <c r="AV522" t="n">
        <v>0</v>
      </c>
      <c r="AW522" t="n">
        <v>2</v>
      </c>
      <c r="AX522" t="n">
        <v>78872251</v>
      </c>
      <c r="AY522" t="n">
        <v>1</v>
      </c>
      <c r="AZ522" t="n">
        <v>0</v>
      </c>
      <c r="BA522" t="n">
        <v>478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ROUND(Y522*Source!I1086,7)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ROUND(ROUND(AE522*AI522,0)*CX522,0)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ROW(Source!A1086)</f>
        <v/>
      </c>
      <c r="B523" t="n">
        <v>78869116</v>
      </c>
      <c r="C523" t="n">
        <v>78872240</v>
      </c>
      <c r="D523" t="n">
        <v>29150040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411-0001</t>
        </is>
      </c>
      <c r="J523" t="inlineStr">
        <is>
          <t>ТССЦ Московской обл., 411-0001, приказ Минстроя России №675/пр от 28.02.2017 № 257/пр</t>
        </is>
      </c>
      <c r="K523" t="inlineStr">
        <is>
          <t>Вода</t>
        </is>
      </c>
      <c r="L523" t="n">
        <v>1339</v>
      </c>
      <c r="N523" t="n">
        <v>1007</v>
      </c>
      <c r="O523" t="inlineStr">
        <is>
          <t>м3</t>
        </is>
      </c>
      <c r="P523" t="inlineStr">
        <is>
          <t>м3</t>
        </is>
      </c>
      <c r="Q523" t="n">
        <v>1</v>
      </c>
      <c r="W523" t="n">
        <v>0</v>
      </c>
      <c r="X523" t="n">
        <v>619799737</v>
      </c>
      <c r="Y523">
        <f>AT523</f>
        <v/>
      </c>
      <c r="AA523" t="n">
        <v>31.28</v>
      </c>
      <c r="AB523" t="n">
        <v>0</v>
      </c>
      <c r="AC523" t="n">
        <v>0</v>
      </c>
      <c r="AD523" t="n">
        <v>0</v>
      </c>
      <c r="AE523" t="n">
        <v>2.44</v>
      </c>
      <c r="AF523" t="n">
        <v>0</v>
      </c>
      <c r="AG523" t="n">
        <v>0</v>
      </c>
      <c r="AH523" t="n">
        <v>0</v>
      </c>
      <c r="AI523" t="n">
        <v>12.82</v>
      </c>
      <c r="AJ523" t="n">
        <v>1</v>
      </c>
      <c r="AK523" t="n">
        <v>1</v>
      </c>
      <c r="AL523" t="n">
        <v>1</v>
      </c>
      <c r="AM523" t="n">
        <v>2</v>
      </c>
      <c r="AN523" t="n">
        <v>0</v>
      </c>
      <c r="AO523" t="n">
        <v>1</v>
      </c>
      <c r="AP523" t="n">
        <v>1</v>
      </c>
      <c r="AQ523" t="n">
        <v>0</v>
      </c>
      <c r="AR523" t="n">
        <v>0</v>
      </c>
      <c r="AS523" t="inlineStr"/>
      <c r="AT523" t="n">
        <v>1</v>
      </c>
      <c r="AU523" t="inlineStr"/>
      <c r="AV523" t="n">
        <v>0</v>
      </c>
      <c r="AW523" t="n">
        <v>2</v>
      </c>
      <c r="AX523" t="n">
        <v>78872252</v>
      </c>
      <c r="AY523" t="n">
        <v>1</v>
      </c>
      <c r="AZ523" t="n">
        <v>0</v>
      </c>
      <c r="BA523" t="n">
        <v>479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V523" t="n">
        <v>0</v>
      </c>
      <c r="CW523" t="n">
        <v>0</v>
      </c>
      <c r="CX523">
        <f>ROUND(Y523*Source!I1086,7)</f>
        <v/>
      </c>
      <c r="CY523">
        <f>AA523</f>
        <v/>
      </c>
      <c r="CZ523">
        <f>AE523</f>
        <v/>
      </c>
      <c r="DA523">
        <f>AI523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ROUND(ROUND(AE523*AI523,0)*CX523,0)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DF523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ROW(Source!A1125)</f>
        <v/>
      </c>
      <c r="B524" t="n">
        <v>78869116</v>
      </c>
      <c r="C524" t="n">
        <v>78872316</v>
      </c>
      <c r="D524" t="n">
        <v>18408291</v>
      </c>
      <c r="E524" t="n">
        <v>1</v>
      </c>
      <c r="F524" t="n">
        <v>1</v>
      </c>
      <c r="G524" t="n">
        <v>1</v>
      </c>
      <c r="H524" t="n">
        <v>1</v>
      </c>
      <c r="I524" t="inlineStr">
        <is>
          <t>1-1025-90</t>
        </is>
      </c>
      <c r="J524" t="inlineStr"/>
      <c r="K524" t="inlineStr">
        <is>
          <t>Рабочий строитель среднего разряда 2,5</t>
        </is>
      </c>
      <c r="L524" t="n">
        <v>1369</v>
      </c>
      <c r="N524" t="n">
        <v>1013</v>
      </c>
      <c r="O524" t="inlineStr">
        <is>
          <t>чел.-ч</t>
        </is>
      </c>
      <c r="P524" t="inlineStr">
        <is>
          <t>чел.-ч</t>
        </is>
      </c>
      <c r="Q524" t="n">
        <v>1</v>
      </c>
      <c r="W524" t="n">
        <v>0</v>
      </c>
      <c r="X524" t="n">
        <v>1933892413</v>
      </c>
      <c r="Y524">
        <f>AT524</f>
        <v/>
      </c>
      <c r="AA524" t="n">
        <v>0</v>
      </c>
      <c r="AB524" t="n">
        <v>0</v>
      </c>
      <c r="AC524" t="n">
        <v>0</v>
      </c>
      <c r="AD524" t="n">
        <v>8.17</v>
      </c>
      <c r="AE524" t="n">
        <v>0</v>
      </c>
      <c r="AF524" t="n">
        <v>0</v>
      </c>
      <c r="AG524" t="n">
        <v>0</v>
      </c>
      <c r="AH524" t="n">
        <v>8.17</v>
      </c>
      <c r="AI524" t="n">
        <v>1</v>
      </c>
      <c r="AJ524" t="n">
        <v>1</v>
      </c>
      <c r="AK524" t="n">
        <v>1</v>
      </c>
      <c r="AL524" t="n">
        <v>1</v>
      </c>
      <c r="AM524" t="n">
        <v>-2</v>
      </c>
      <c r="AN524" t="n">
        <v>0</v>
      </c>
      <c r="AO524" t="n">
        <v>1</v>
      </c>
      <c r="AP524" t="n">
        <v>1</v>
      </c>
      <c r="AQ524" t="n">
        <v>0</v>
      </c>
      <c r="AR524" t="n">
        <v>0</v>
      </c>
      <c r="AS524" t="inlineStr"/>
      <c r="AT524" t="n">
        <v>32.2</v>
      </c>
      <c r="AU524" t="inlineStr"/>
      <c r="AV524" t="n">
        <v>1</v>
      </c>
      <c r="AW524" t="n">
        <v>2</v>
      </c>
      <c r="AX524" t="n">
        <v>78872322</v>
      </c>
      <c r="AY524" t="n">
        <v>1</v>
      </c>
      <c r="AZ524" t="n">
        <v>0</v>
      </c>
      <c r="BA524" t="n">
        <v>480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U524">
        <f>ROUND(AT524*Source!I1125*AH524*AL524,0)</f>
        <v/>
      </c>
      <c r="CV524">
        <f>ROUND(Y524*Source!I1125,7)</f>
        <v/>
      </c>
      <c r="CW524" t="n">
        <v>0</v>
      </c>
      <c r="CX524">
        <f>ROUND(Y524*Source!I1125,7)</f>
        <v/>
      </c>
      <c r="CY524">
        <f>AD524</f>
        <v/>
      </c>
      <c r="CZ524">
        <f>AH524</f>
        <v/>
      </c>
      <c r="DA524">
        <f>AL524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ROUND(ROUND(AF524,0)*CX524,0)</f>
        <v/>
      </c>
      <c r="DH524">
        <f>ROUND(ROUND(AG524,0)*CX524,0)</f>
        <v/>
      </c>
      <c r="DI524">
        <f>ROUND(ROUND(AH524,0)*CX524,0)</f>
        <v/>
      </c>
      <c r="DJ524">
        <f>DI524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ROW(Source!A1125)</f>
        <v/>
      </c>
      <c r="B525" t="n">
        <v>78869116</v>
      </c>
      <c r="C525" t="n">
        <v>78872316</v>
      </c>
      <c r="D525" t="n">
        <v>29174913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400001</t>
        </is>
      </c>
      <c r="J525" t="inlineStr">
        <is>
          <t>ТСЭМ Московской обл., 400001, приказ Минстроя России №675/пр от 28.02.2017 № 264/пр</t>
        </is>
      </c>
      <c r="K525" t="inlineStr">
        <is>
          <t>Автомобили бортовые, грузоподъемность до 5 т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1230759911</v>
      </c>
      <c r="Y525">
        <f>AT525</f>
        <v/>
      </c>
      <c r="AA525" t="n">
        <v>0</v>
      </c>
      <c r="AB525" t="n">
        <v>2177.51</v>
      </c>
      <c r="AC525" t="n">
        <v>606.1</v>
      </c>
      <c r="AD525" t="n">
        <v>0</v>
      </c>
      <c r="AE525" t="n">
        <v>0</v>
      </c>
      <c r="AF525" t="n">
        <v>87.17</v>
      </c>
      <c r="AG525" t="n">
        <v>11.6</v>
      </c>
      <c r="AH525" t="n">
        <v>0</v>
      </c>
      <c r="AI525" t="n">
        <v>1</v>
      </c>
      <c r="AJ525" t="n">
        <v>24.98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1</v>
      </c>
      <c r="AQ525" t="n">
        <v>0</v>
      </c>
      <c r="AR525" t="n">
        <v>0</v>
      </c>
      <c r="AS525" t="inlineStr"/>
      <c r="AT525" t="n">
        <v>0.01</v>
      </c>
      <c r="AU525" t="inlineStr"/>
      <c r="AV525" t="n">
        <v>0</v>
      </c>
      <c r="AW525" t="n">
        <v>2</v>
      </c>
      <c r="AX525" t="n">
        <v>78872323</v>
      </c>
      <c r="AY525" t="n">
        <v>1</v>
      </c>
      <c r="AZ525" t="n">
        <v>0</v>
      </c>
      <c r="BA525" t="n">
        <v>481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ROUND(Y525*Source!I1125*DO525,7)</f>
        <v/>
      </c>
      <c r="CX525">
        <f>ROUND(Y525*Source!I1125,7)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ROW(Source!A1125)</f>
        <v/>
      </c>
      <c r="B526" t="n">
        <v>78869116</v>
      </c>
      <c r="C526" t="n">
        <v>78872316</v>
      </c>
      <c r="D526" t="n">
        <v>29110139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101-1703</t>
        </is>
      </c>
      <c r="J526" t="inlineStr">
        <is>
          <t>ТССЦ Московской обл., 101-1703, приказ Минстроя России №675/пр от 28.02.2017 № 254/пр</t>
        </is>
      </c>
      <c r="K526" t="inlineStr">
        <is>
          <t>Прокладки резиновые (пластина техническая прессованная)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W526" t="n">
        <v>0</v>
      </c>
      <c r="X526" t="n">
        <v>-1947909329</v>
      </c>
      <c r="Y526">
        <f>AT526</f>
        <v/>
      </c>
      <c r="AA526" t="n">
        <v>341.04</v>
      </c>
      <c r="AB526" t="n">
        <v>0</v>
      </c>
      <c r="AC526" t="n">
        <v>0</v>
      </c>
      <c r="AD526" t="n">
        <v>0</v>
      </c>
      <c r="AE526" t="n">
        <v>23.09</v>
      </c>
      <c r="AF526" t="n">
        <v>0</v>
      </c>
      <c r="AG526" t="n">
        <v>0</v>
      </c>
      <c r="AH526" t="n">
        <v>0</v>
      </c>
      <c r="AI526" t="n">
        <v>14.77</v>
      </c>
      <c r="AJ526" t="n">
        <v>1</v>
      </c>
      <c r="AK526" t="n">
        <v>1</v>
      </c>
      <c r="AL526" t="n">
        <v>1</v>
      </c>
      <c r="AM526" t="n">
        <v>2</v>
      </c>
      <c r="AN526" t="n">
        <v>0</v>
      </c>
      <c r="AO526" t="n">
        <v>1</v>
      </c>
      <c r="AP526" t="n">
        <v>1</v>
      </c>
      <c r="AQ526" t="n">
        <v>0</v>
      </c>
      <c r="AR526" t="n">
        <v>0</v>
      </c>
      <c r="AS526" t="inlineStr"/>
      <c r="AT526" t="n">
        <v>2</v>
      </c>
      <c r="AU526" t="inlineStr"/>
      <c r="AV526" t="n">
        <v>0</v>
      </c>
      <c r="AW526" t="n">
        <v>2</v>
      </c>
      <c r="AX526" t="n">
        <v>78872324</v>
      </c>
      <c r="AY526" t="n">
        <v>1</v>
      </c>
      <c r="AZ526" t="n">
        <v>0</v>
      </c>
      <c r="BA526" t="n">
        <v>482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 t="n">
        <v>0</v>
      </c>
      <c r="CX526">
        <f>ROUND(Y526*Source!I1125,7)</f>
        <v/>
      </c>
      <c r="CY526">
        <f>AA526</f>
        <v/>
      </c>
      <c r="CZ526">
        <f>AE526</f>
        <v/>
      </c>
      <c r="DA526">
        <f>AI526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ROUND(ROUND(AE526*AI526,0)*CX526,0)</f>
        <v/>
      </c>
      <c r="DG526">
        <f>ROUND(ROUND(AF526,0)*CX526,0)</f>
        <v/>
      </c>
      <c r="DH526">
        <f>ROUND(ROUND(AG526,0)*CX526,0)</f>
        <v/>
      </c>
      <c r="DI526">
        <f>ROUND(ROUND(AH526,0)*CX526,0)</f>
        <v/>
      </c>
      <c r="DJ526">
        <f>DF526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ROW(Source!A1125)</f>
        <v/>
      </c>
      <c r="B527" t="n">
        <v>78869116</v>
      </c>
      <c r="C527" t="n">
        <v>78872316</v>
      </c>
      <c r="D527" t="n">
        <v>29114240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101-2576</t>
        </is>
      </c>
      <c r="J527" t="inlineStr">
        <is>
          <t>ТССЦ Московской обл., 101-2576, приказ Минстроя России №675/пр от 28.02.2017 № 254/пр</t>
        </is>
      </c>
      <c r="K527" t="inlineStr">
        <is>
          <t>Болты с гайками и шайбами для санитарно-технических работ диаметром 16 мм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-1701539228</v>
      </c>
      <c r="Y527">
        <f>AT527</f>
        <v/>
      </c>
      <c r="AA527" t="n">
        <v>145037.4</v>
      </c>
      <c r="AB527" t="n">
        <v>0</v>
      </c>
      <c r="AC527" t="n">
        <v>0</v>
      </c>
      <c r="AD527" t="n">
        <v>0</v>
      </c>
      <c r="AE527" t="n">
        <v>14830</v>
      </c>
      <c r="AF527" t="n">
        <v>0</v>
      </c>
      <c r="AG527" t="n">
        <v>0</v>
      </c>
      <c r="AH527" t="n">
        <v>0</v>
      </c>
      <c r="AI527" t="n">
        <v>9.779999999999999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1</v>
      </c>
      <c r="AQ527" t="n">
        <v>0</v>
      </c>
      <c r="AR527" t="n">
        <v>0</v>
      </c>
      <c r="AS527" t="inlineStr"/>
      <c r="AT527" t="n">
        <v>0.005</v>
      </c>
      <c r="AU527" t="inlineStr"/>
      <c r="AV527" t="n">
        <v>0</v>
      </c>
      <c r="AW527" t="n">
        <v>2</v>
      </c>
      <c r="AX527" t="n">
        <v>78872325</v>
      </c>
      <c r="AY527" t="n">
        <v>1</v>
      </c>
      <c r="AZ527" t="n">
        <v>0</v>
      </c>
      <c r="BA527" t="n">
        <v>483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ROUND(Y527*Source!I1125,7)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ROW(Source!A1125)</f>
        <v/>
      </c>
      <c r="B528" t="n">
        <v>78869116</v>
      </c>
      <c r="C528" t="n">
        <v>78872316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W528" t="n">
        <v>0</v>
      </c>
      <c r="X528" t="n">
        <v>619799737</v>
      </c>
      <c r="Y528">
        <f>AT528</f>
        <v/>
      </c>
      <c r="AA528" t="n">
        <v>31.28</v>
      </c>
      <c r="AB528" t="n">
        <v>0</v>
      </c>
      <c r="AC528" t="n">
        <v>0</v>
      </c>
      <c r="AD528" t="n">
        <v>0</v>
      </c>
      <c r="AE528" t="n">
        <v>2.44</v>
      </c>
      <c r="AF528" t="n">
        <v>0</v>
      </c>
      <c r="AG528" t="n">
        <v>0</v>
      </c>
      <c r="AH528" t="n">
        <v>0</v>
      </c>
      <c r="AI528" t="n">
        <v>12.82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1</v>
      </c>
      <c r="AQ528" t="n">
        <v>0</v>
      </c>
      <c r="AR528" t="n">
        <v>0</v>
      </c>
      <c r="AS528" t="inlineStr"/>
      <c r="AT528" t="n">
        <v>7.8</v>
      </c>
      <c r="AU528" t="inlineStr"/>
      <c r="AV528" t="n">
        <v>0</v>
      </c>
      <c r="AW528" t="n">
        <v>2</v>
      </c>
      <c r="AX528" t="n">
        <v>78872326</v>
      </c>
      <c r="AY528" t="n">
        <v>1</v>
      </c>
      <c r="AZ528" t="n">
        <v>0</v>
      </c>
      <c r="BA528" t="n">
        <v>484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ROUND(Y528*Source!I1125,7)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ROW(Source!A1126)</f>
        <v/>
      </c>
      <c r="B529" t="n">
        <v>78869116</v>
      </c>
      <c r="C529" t="n">
        <v>78872327</v>
      </c>
      <c r="D529" t="n">
        <v>18442827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1-1053-90</t>
        </is>
      </c>
      <c r="J529" t="inlineStr"/>
      <c r="K529" t="inlineStr">
        <is>
          <t>Рабочий строитель среднего разряда 5,3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W529" t="n">
        <v>0</v>
      </c>
      <c r="X529" t="n">
        <v>717490484</v>
      </c>
      <c r="Y529">
        <f>(AT529*ROUND(6,7))</f>
        <v/>
      </c>
      <c r="AA529" t="n">
        <v>0</v>
      </c>
      <c r="AB529" t="n">
        <v>0</v>
      </c>
      <c r="AC529" t="n">
        <v>0</v>
      </c>
      <c r="AD529" t="n">
        <v>11.64</v>
      </c>
      <c r="AE529" t="n">
        <v>0</v>
      </c>
      <c r="AF529" t="n">
        <v>0</v>
      </c>
      <c r="AG529" t="n">
        <v>0</v>
      </c>
      <c r="AH529" t="n">
        <v>11.64</v>
      </c>
      <c r="AI529" t="n">
        <v>1</v>
      </c>
      <c r="AJ529" t="n">
        <v>1</v>
      </c>
      <c r="AK529" t="n">
        <v>1</v>
      </c>
      <c r="AL529" t="n">
        <v>1</v>
      </c>
      <c r="AM529" t="n">
        <v>-2</v>
      </c>
      <c r="AN529" t="n">
        <v>0</v>
      </c>
      <c r="AO529" t="n">
        <v>1</v>
      </c>
      <c r="AP529" t="n">
        <v>1</v>
      </c>
      <c r="AQ529" t="n">
        <v>0</v>
      </c>
      <c r="AR529" t="n">
        <v>0</v>
      </c>
      <c r="AS529" t="inlineStr"/>
      <c r="AT529" t="n">
        <v>5.01</v>
      </c>
      <c r="AU529" t="inlineStr">
        <is>
          <t>)*6</t>
        </is>
      </c>
      <c r="AV529" t="n">
        <v>1</v>
      </c>
      <c r="AW529" t="n">
        <v>2</v>
      </c>
      <c r="AX529" t="n">
        <v>78872334</v>
      </c>
      <c r="AY529" t="n">
        <v>1</v>
      </c>
      <c r="AZ529" t="n">
        <v>0</v>
      </c>
      <c r="BA529" t="n">
        <v>485</v>
      </c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U529">
        <f>ROUND(AT529*Source!I1126*AH529*AL529,0)</f>
        <v/>
      </c>
      <c r="CV529">
        <f>ROUND(Y529*Source!I1126,7)</f>
        <v/>
      </c>
      <c r="CW529" t="n">
        <v>0</v>
      </c>
      <c r="CX529">
        <f>ROUND(Y529*Source!I1126,7)</f>
        <v/>
      </c>
      <c r="CY529">
        <f>AD529</f>
        <v/>
      </c>
      <c r="CZ529">
        <f>AH529</f>
        <v/>
      </c>
      <c r="DA529">
        <f>AL529</f>
        <v/>
      </c>
      <c r="DB529">
        <f>ROUND((ROUND(AT529*CZ529,2)*ROUND(6,7)),2)</f>
        <v/>
      </c>
      <c r="DC529">
        <f>ROUND((ROUND(AT529*AG529,2)*ROUND(6,7)),2)</f>
        <v/>
      </c>
      <c r="DD529" t="inlineStr"/>
      <c r="DE529" t="inlineStr"/>
      <c r="DF529">
        <f>ROUND(ROUND(AE529,0)*CX529,0)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DI529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ROW(Source!A1126)</f>
        <v/>
      </c>
      <c r="B530" t="n">
        <v>78869116</v>
      </c>
      <c r="C530" t="n">
        <v>78872327</v>
      </c>
      <c r="D530" t="n">
        <v>29172703</v>
      </c>
      <c r="E530" t="n">
        <v>1</v>
      </c>
      <c r="F530" t="n">
        <v>1</v>
      </c>
      <c r="G530" t="n">
        <v>1</v>
      </c>
      <c r="H530" t="n">
        <v>2</v>
      </c>
      <c r="I530" t="inlineStr">
        <is>
          <t>042900</t>
        </is>
      </c>
      <c r="J530" t="inlineStr">
        <is>
          <t>ТСЭМ Московской обл., 042900, приказ Минстроя России №675/пр от 28.02.2017 № 264/пр</t>
        </is>
      </c>
      <c r="K5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0" t="n">
        <v>1368</v>
      </c>
      <c r="N530" t="n">
        <v>1011</v>
      </c>
      <c r="O530" t="inlineStr">
        <is>
          <t>маш.-ч</t>
        </is>
      </c>
      <c r="P530" t="inlineStr">
        <is>
          <t>маш.-ч</t>
        </is>
      </c>
      <c r="Q530" t="n">
        <v>1</v>
      </c>
      <c r="W530" t="n">
        <v>0</v>
      </c>
      <c r="X530" t="n">
        <v>1695838894</v>
      </c>
      <c r="Y530">
        <f>(AT530*ROUND(6,7))</f>
        <v/>
      </c>
      <c r="AA530" t="n">
        <v>0</v>
      </c>
      <c r="AB530" t="n">
        <v>177.13</v>
      </c>
      <c r="AC530" t="n">
        <v>0</v>
      </c>
      <c r="AD530" t="n">
        <v>0</v>
      </c>
      <c r="AE530" t="n">
        <v>0</v>
      </c>
      <c r="AF530" t="n">
        <v>29.67</v>
      </c>
      <c r="AG530" t="n">
        <v>0</v>
      </c>
      <c r="AH530" t="n">
        <v>0</v>
      </c>
      <c r="AI530" t="n">
        <v>1</v>
      </c>
      <c r="AJ530" t="n">
        <v>5.97</v>
      </c>
      <c r="AK530" t="n">
        <v>52.25</v>
      </c>
      <c r="AL530" t="n">
        <v>1</v>
      </c>
      <c r="AM530" t="n">
        <v>2</v>
      </c>
      <c r="AN530" t="n">
        <v>0</v>
      </c>
      <c r="AO530" t="n">
        <v>1</v>
      </c>
      <c r="AP530" t="n">
        <v>1</v>
      </c>
      <c r="AQ530" t="n">
        <v>0</v>
      </c>
      <c r="AR530" t="n">
        <v>0</v>
      </c>
      <c r="AS530" t="inlineStr"/>
      <c r="AT530" t="n">
        <v>1.5</v>
      </c>
      <c r="AU530" t="inlineStr">
        <is>
          <t>)*6</t>
        </is>
      </c>
      <c r="AV530" t="n">
        <v>0</v>
      </c>
      <c r="AW530" t="n">
        <v>2</v>
      </c>
      <c r="AX530" t="n">
        <v>78872335</v>
      </c>
      <c r="AY530" t="n">
        <v>1</v>
      </c>
      <c r="AZ530" t="n">
        <v>0</v>
      </c>
      <c r="BA530" t="n">
        <v>486</v>
      </c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>
        <f>ROUND(Y530*Source!I1126*DO530,7)</f>
        <v/>
      </c>
      <c r="CX530">
        <f>ROUND(Y530*Source!I1126,7)</f>
        <v/>
      </c>
      <c r="CY530">
        <f>AB530</f>
        <v/>
      </c>
      <c r="CZ530">
        <f>AF530</f>
        <v/>
      </c>
      <c r="DA530">
        <f>AJ530</f>
        <v/>
      </c>
      <c r="DB530">
        <f>ROUND((ROUND(AT530*CZ530,2)*ROUND(6,7)),2)</f>
        <v/>
      </c>
      <c r="DC530">
        <f>ROUND((ROUND(AT530*AG530,2)*ROUND(6,7)),2)</f>
        <v/>
      </c>
      <c r="DD530" t="inlineStr"/>
      <c r="DE530" t="inlineStr"/>
      <c r="DF530">
        <f>ROUND(ROUND(AE530,0)*CX530,0)</f>
        <v/>
      </c>
      <c r="DG530">
        <f>ROUND(ROUND(AF530*AJ530,0)*CX530,0)</f>
        <v/>
      </c>
      <c r="DH530">
        <f>ROUND(ROUND(AG530*AK530,0)*CX530,0)</f>
        <v/>
      </c>
      <c r="DI530">
        <f>ROUND(ROUND(AH530,0)*CX530,0)</f>
        <v/>
      </c>
      <c r="DJ530">
        <f>DG530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ROW(Source!A1126)</f>
        <v/>
      </c>
      <c r="B531" t="n">
        <v>78869116</v>
      </c>
      <c r="C531" t="n">
        <v>78872327</v>
      </c>
      <c r="D531" t="n">
        <v>29110398</v>
      </c>
      <c r="E531" t="n">
        <v>1</v>
      </c>
      <c r="F531" t="n">
        <v>1</v>
      </c>
      <c r="G531" t="n">
        <v>1</v>
      </c>
      <c r="H531" t="n">
        <v>3</v>
      </c>
      <c r="I531" t="inlineStr">
        <is>
          <t>101-0388</t>
        </is>
      </c>
      <c r="J531" t="inlineStr">
        <is>
          <t>ТССЦ Московской обл., 101-0388, приказ Минстроя России №675/пр от 28.02.2017 № 254/пр</t>
        </is>
      </c>
      <c r="K531" t="inlineStr">
        <is>
          <t>Краски масляные земляные марки МА-0115 мумия, сурик железный</t>
        </is>
      </c>
      <c r="L531" t="n">
        <v>1348</v>
      </c>
      <c r="N531" t="n">
        <v>1009</v>
      </c>
      <c r="O531" t="inlineStr">
        <is>
          <t>т</t>
        </is>
      </c>
      <c r="P531" t="inlineStr">
        <is>
          <t>т</t>
        </is>
      </c>
      <c r="Q531" t="n">
        <v>1000</v>
      </c>
      <c r="W531" t="n">
        <v>0</v>
      </c>
      <c r="X531" t="n">
        <v>1625292450</v>
      </c>
      <c r="Y531">
        <f>(AT531*ROUND(6,7))</f>
        <v/>
      </c>
      <c r="AA531" t="n">
        <v>76804.47</v>
      </c>
      <c r="AB531" t="n">
        <v>0</v>
      </c>
      <c r="AC531" t="n">
        <v>0</v>
      </c>
      <c r="AD531" t="n">
        <v>0</v>
      </c>
      <c r="AE531" t="n">
        <v>15118.99</v>
      </c>
      <c r="AF531" t="n">
        <v>0</v>
      </c>
      <c r="AG531" t="n">
        <v>0</v>
      </c>
      <c r="AH531" t="n">
        <v>0</v>
      </c>
      <c r="AI531" t="n">
        <v>5.08</v>
      </c>
      <c r="AJ531" t="n">
        <v>1</v>
      </c>
      <c r="AK531" t="n">
        <v>1</v>
      </c>
      <c r="AL531" t="n">
        <v>1</v>
      </c>
      <c r="AM531" t="n">
        <v>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5e-05</v>
      </c>
      <c r="AU531" t="inlineStr">
        <is>
          <t>)*6</t>
        </is>
      </c>
      <c r="AV531" t="n">
        <v>0</v>
      </c>
      <c r="AW531" t="n">
        <v>2</v>
      </c>
      <c r="AX531" t="n">
        <v>78872336</v>
      </c>
      <c r="AY531" t="n">
        <v>1</v>
      </c>
      <c r="AZ531" t="n">
        <v>2048</v>
      </c>
      <c r="BA531" t="n">
        <v>487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V531" t="n">
        <v>0</v>
      </c>
      <c r="CW531" t="n">
        <v>0</v>
      </c>
      <c r="CX531">
        <f>ROUND(Y531*Source!I1126,7)</f>
        <v/>
      </c>
      <c r="CY531">
        <f>AA531</f>
        <v/>
      </c>
      <c r="CZ531">
        <f>AE531</f>
        <v/>
      </c>
      <c r="DA531">
        <f>AI531</f>
        <v/>
      </c>
      <c r="DB531">
        <f>ROUND((ROUND(AT531*CZ531,2)*ROUND(6,7)),2)</f>
        <v/>
      </c>
      <c r="DC531">
        <f>ROUND((ROUND(AT531*AG531,2)*ROUND(6,7)),2)</f>
        <v/>
      </c>
      <c r="DD531" t="inlineStr"/>
      <c r="DE531" t="inlineStr"/>
      <c r="DF531">
        <f>ROUND(ROUND(AE531*AI531,0)*CX531,0)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DF531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ROW(Source!A1126)</f>
        <v/>
      </c>
      <c r="B532" t="n">
        <v>78869116</v>
      </c>
      <c r="C532" t="n">
        <v>78872327</v>
      </c>
      <c r="D532" t="n">
        <v>29110573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101-0628</t>
        </is>
      </c>
      <c r="J532" t="inlineStr">
        <is>
          <t>ТССЦ Московской обл., 101-0628, приказ Минстроя России №675/пр от 28.02.2017 № 254/пр</t>
        </is>
      </c>
      <c r="K532" t="inlineStr">
        <is>
          <t>Олифа комбинированная, марки К-3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W532" t="n">
        <v>0</v>
      </c>
      <c r="X532" t="n">
        <v>24062879</v>
      </c>
      <c r="Y532">
        <f>(AT532*ROUND(6,7))</f>
        <v/>
      </c>
      <c r="AA532" t="n">
        <v>87631.5</v>
      </c>
      <c r="AB532" t="n">
        <v>0</v>
      </c>
      <c r="AC532" t="n">
        <v>0</v>
      </c>
      <c r="AD532" t="n">
        <v>0</v>
      </c>
      <c r="AE532" t="n">
        <v>16950</v>
      </c>
      <c r="AF532" t="n">
        <v>0</v>
      </c>
      <c r="AG532" t="n">
        <v>0</v>
      </c>
      <c r="AH532" t="n">
        <v>0</v>
      </c>
      <c r="AI532" t="n">
        <v>5.17</v>
      </c>
      <c r="AJ532" t="n">
        <v>1</v>
      </c>
      <c r="AK532" t="n">
        <v>1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2e-05</v>
      </c>
      <c r="AU532" t="inlineStr">
        <is>
          <t>)*6</t>
        </is>
      </c>
      <c r="AV532" t="n">
        <v>0</v>
      </c>
      <c r="AW532" t="n">
        <v>2</v>
      </c>
      <c r="AX532" t="n">
        <v>78872337</v>
      </c>
      <c r="AY532" t="n">
        <v>1</v>
      </c>
      <c r="AZ532" t="n">
        <v>2048</v>
      </c>
      <c r="BA532" t="n">
        <v>488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 t="n">
        <v>0</v>
      </c>
      <c r="CX532">
        <f>ROUND(Y532*Source!I1126,7)</f>
        <v/>
      </c>
      <c r="CY532">
        <f>AA532</f>
        <v/>
      </c>
      <c r="CZ532">
        <f>AE532</f>
        <v/>
      </c>
      <c r="DA532">
        <f>AI532</f>
        <v/>
      </c>
      <c r="DB532">
        <f>ROUND((ROUND(AT532*CZ532,2)*ROUND(6,7)),2)</f>
        <v/>
      </c>
      <c r="DC532">
        <f>ROUND((ROUND(AT532*AG532,2)*ROUND(6,7)),2)</f>
        <v/>
      </c>
      <c r="DD532" t="inlineStr"/>
      <c r="DE532" t="inlineStr"/>
      <c r="DF532">
        <f>ROUND(ROUND(AE532*AI532,0)*CX532,0)</f>
        <v/>
      </c>
      <c r="DG532">
        <f>ROUND(ROUND(AF532,0)*CX532,0)</f>
        <v/>
      </c>
      <c r="DH532">
        <f>ROUND(ROUND(AG532,0)*CX532,0)</f>
        <v/>
      </c>
      <c r="DI532">
        <f>ROUND(ROUND(AH532,0)*CX532,0)</f>
        <v/>
      </c>
      <c r="DJ532">
        <f>DF532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ROW(Source!A1126)</f>
        <v/>
      </c>
      <c r="B533" t="n">
        <v>78869116</v>
      </c>
      <c r="C533" t="n">
        <v>78872327</v>
      </c>
      <c r="D533" t="n">
        <v>29107963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101-1669</t>
        </is>
      </c>
      <c r="J533" t="inlineStr">
        <is>
          <t>ТССЦ Московской обл., 101-1669, приказ Минстроя России №675/пр от 28.02.2017 № 254/пр</t>
        </is>
      </c>
      <c r="K533" t="inlineStr">
        <is>
          <t>Очес льняной</t>
        </is>
      </c>
      <c r="L533" t="n">
        <v>1346</v>
      </c>
      <c r="N533" t="n">
        <v>1009</v>
      </c>
      <c r="O533" t="inlineStr">
        <is>
          <t>кг</t>
        </is>
      </c>
      <c r="P533" t="inlineStr">
        <is>
          <t>кг</t>
        </is>
      </c>
      <c r="Q533" t="n">
        <v>1</v>
      </c>
      <c r="W533" t="n">
        <v>0</v>
      </c>
      <c r="X533" t="n">
        <v>-2113933962</v>
      </c>
      <c r="Y533">
        <f>(AT533*ROUND(6,7))</f>
        <v/>
      </c>
      <c r="AA533" t="n">
        <v>590.67</v>
      </c>
      <c r="AB533" t="n">
        <v>0</v>
      </c>
      <c r="AC533" t="n">
        <v>0</v>
      </c>
      <c r="AD533" t="n">
        <v>0</v>
      </c>
      <c r="AE533" t="n">
        <v>37.29</v>
      </c>
      <c r="AF533" t="n">
        <v>0</v>
      </c>
      <c r="AG533" t="n">
        <v>0</v>
      </c>
      <c r="AH533" t="n">
        <v>0</v>
      </c>
      <c r="AI533" t="n">
        <v>15.84</v>
      </c>
      <c r="AJ533" t="n">
        <v>1</v>
      </c>
      <c r="AK533" t="n">
        <v>1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0.02</v>
      </c>
      <c r="AU533" t="inlineStr">
        <is>
          <t>)*6</t>
        </is>
      </c>
      <c r="AV533" t="n">
        <v>0</v>
      </c>
      <c r="AW533" t="n">
        <v>2</v>
      </c>
      <c r="AX533" t="n">
        <v>78872338</v>
      </c>
      <c r="AY533" t="n">
        <v>1</v>
      </c>
      <c r="AZ533" t="n">
        <v>0</v>
      </c>
      <c r="BA533" t="n">
        <v>489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 t="n">
        <v>0</v>
      </c>
      <c r="CX533">
        <f>ROUND(Y533*Source!I1126,7)</f>
        <v/>
      </c>
      <c r="CY533">
        <f>AA533</f>
        <v/>
      </c>
      <c r="CZ533">
        <f>AE533</f>
        <v/>
      </c>
      <c r="DA533">
        <f>AI533</f>
        <v/>
      </c>
      <c r="DB533">
        <f>ROUND((ROUND(AT533*CZ533,2)*ROUND(6,7)),2)</f>
        <v/>
      </c>
      <c r="DC533">
        <f>ROUND((ROUND(AT533*AG533,2)*ROUND(6,7)),2)</f>
        <v/>
      </c>
      <c r="DD533" t="inlineStr"/>
      <c r="DE533" t="inlineStr"/>
      <c r="DF533">
        <f>ROUND(ROUND(AE533*AI533,0)*CX533,0)</f>
        <v/>
      </c>
      <c r="DG533">
        <f>ROUND(ROUND(AF533,0)*CX533,0)</f>
        <v/>
      </c>
      <c r="DH533">
        <f>ROUND(ROUND(AG533,0)*CX533,0)</f>
        <v/>
      </c>
      <c r="DI533">
        <f>ROUND(ROUND(AH533,0)*CX533,0)</f>
        <v/>
      </c>
      <c r="DJ533">
        <f>DF533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ROW(Source!A1126)</f>
        <v/>
      </c>
      <c r="B534" t="n">
        <v>78869116</v>
      </c>
      <c r="C534" t="n">
        <v>78872327</v>
      </c>
      <c r="D534" t="n">
        <v>29150040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411-0001</t>
        </is>
      </c>
      <c r="J534" t="inlineStr">
        <is>
          <t>ТССЦ Московской обл., 411-0001, приказ Минстроя России №675/пр от 28.02.2017 № 257/пр</t>
        </is>
      </c>
      <c r="K534" t="inlineStr">
        <is>
          <t>Вода</t>
        </is>
      </c>
      <c r="L534" t="n">
        <v>1339</v>
      </c>
      <c r="N534" t="n">
        <v>1007</v>
      </c>
      <c r="O534" t="inlineStr">
        <is>
          <t>м3</t>
        </is>
      </c>
      <c r="P534" t="inlineStr">
        <is>
          <t>м3</t>
        </is>
      </c>
      <c r="Q534" t="n">
        <v>1</v>
      </c>
      <c r="W534" t="n">
        <v>0</v>
      </c>
      <c r="X534" t="n">
        <v>619799737</v>
      </c>
      <c r="Y534">
        <f>(AT534*ROUND(6,7))</f>
        <v/>
      </c>
      <c r="AA534" t="n">
        <v>31.28</v>
      </c>
      <c r="AB534" t="n">
        <v>0</v>
      </c>
      <c r="AC534" t="n">
        <v>0</v>
      </c>
      <c r="AD534" t="n">
        <v>0</v>
      </c>
      <c r="AE534" t="n">
        <v>2.44</v>
      </c>
      <c r="AF534" t="n">
        <v>0</v>
      </c>
      <c r="AG534" t="n">
        <v>0</v>
      </c>
      <c r="AH534" t="n">
        <v>0</v>
      </c>
      <c r="AI534" t="n">
        <v>12.82</v>
      </c>
      <c r="AJ534" t="n">
        <v>1</v>
      </c>
      <c r="AK534" t="n">
        <v>1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1</v>
      </c>
      <c r="AU534" t="inlineStr">
        <is>
          <t>)*6</t>
        </is>
      </c>
      <c r="AV534" t="n">
        <v>0</v>
      </c>
      <c r="AW534" t="n">
        <v>2</v>
      </c>
      <c r="AX534" t="n">
        <v>78872339</v>
      </c>
      <c r="AY534" t="n">
        <v>1</v>
      </c>
      <c r="AZ534" t="n">
        <v>0</v>
      </c>
      <c r="BA534" t="n">
        <v>490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 t="n">
        <v>0</v>
      </c>
      <c r="CX534">
        <f>ROUND(Y534*Source!I1126,7)</f>
        <v/>
      </c>
      <c r="CY534">
        <f>AA534</f>
        <v/>
      </c>
      <c r="CZ534">
        <f>AE534</f>
        <v/>
      </c>
      <c r="DA534">
        <f>AI534</f>
        <v/>
      </c>
      <c r="DB534">
        <f>ROUND((ROUND(AT534*CZ534,2)*ROUND(6,7)),2)</f>
        <v/>
      </c>
      <c r="DC534">
        <f>ROUND((ROUND(AT534*AG534,2)*ROUND(6,7)),2)</f>
        <v/>
      </c>
      <c r="DD534" t="inlineStr"/>
      <c r="DE534" t="inlineStr"/>
      <c r="DF534">
        <f>ROUND(ROUND(AE534*AI534,0)*CX534,0)</f>
        <v/>
      </c>
      <c r="DG534">
        <f>ROUND(ROUND(AF534,0)*CX534,0)</f>
        <v/>
      </c>
      <c r="DH534">
        <f>ROUND(ROUND(AG534,0)*CX534,0)</f>
        <v/>
      </c>
      <c r="DI534">
        <f>ROUND(ROUND(AH534,0)*CX534,0)</f>
        <v/>
      </c>
      <c r="DJ534">
        <f>DF534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ROW(Source!A1127)</f>
        <v/>
      </c>
      <c r="B535" t="n">
        <v>78869116</v>
      </c>
      <c r="C535" t="n">
        <v>78872340</v>
      </c>
      <c r="D535" t="n">
        <v>18407150</v>
      </c>
      <c r="E535" t="n">
        <v>1</v>
      </c>
      <c r="F535" t="n">
        <v>1</v>
      </c>
      <c r="G535" t="n">
        <v>1</v>
      </c>
      <c r="H535" t="n">
        <v>1</v>
      </c>
      <c r="I535" t="inlineStr">
        <is>
          <t>1-1030-90</t>
        </is>
      </c>
      <c r="J535" t="inlineStr"/>
      <c r="K535" t="inlineStr">
        <is>
          <t>Рабочий строитель среднего разряда 3</t>
        </is>
      </c>
      <c r="L535" t="n">
        <v>1369</v>
      </c>
      <c r="N535" t="n">
        <v>1013</v>
      </c>
      <c r="O535" t="inlineStr">
        <is>
          <t>чел.-ч</t>
        </is>
      </c>
      <c r="P535" t="inlineStr">
        <is>
          <t>чел.-ч</t>
        </is>
      </c>
      <c r="Q535" t="n">
        <v>1</v>
      </c>
      <c r="W535" t="n">
        <v>0</v>
      </c>
      <c r="X535" t="n">
        <v>-931037793</v>
      </c>
      <c r="Y535">
        <f>AT535</f>
        <v/>
      </c>
      <c r="AA535" t="n">
        <v>0</v>
      </c>
      <c r="AB535" t="n">
        <v>0</v>
      </c>
      <c r="AC535" t="n">
        <v>0</v>
      </c>
      <c r="AD535" t="n">
        <v>8.529999999999999</v>
      </c>
      <c r="AE535" t="n">
        <v>0</v>
      </c>
      <c r="AF535" t="n">
        <v>0</v>
      </c>
      <c r="AG535" t="n">
        <v>0</v>
      </c>
      <c r="AH535" t="n">
        <v>8.529999999999999</v>
      </c>
      <c r="AI535" t="n">
        <v>1</v>
      </c>
      <c r="AJ535" t="n">
        <v>1</v>
      </c>
      <c r="AK535" t="n">
        <v>1</v>
      </c>
      <c r="AL535" t="n">
        <v>1</v>
      </c>
      <c r="AM535" t="n">
        <v>-2</v>
      </c>
      <c r="AN535" t="n">
        <v>0</v>
      </c>
      <c r="AO535" t="n">
        <v>1</v>
      </c>
      <c r="AP535" t="n">
        <v>0</v>
      </c>
      <c r="AQ535" t="n">
        <v>0</v>
      </c>
      <c r="AR535" t="n">
        <v>0</v>
      </c>
      <c r="AS535" t="inlineStr"/>
      <c r="AT535" t="n">
        <v>13.9</v>
      </c>
      <c r="AU535" t="inlineStr"/>
      <c r="AV535" t="n">
        <v>1</v>
      </c>
      <c r="AW535" t="n">
        <v>2</v>
      </c>
      <c r="AX535" t="n">
        <v>78872344</v>
      </c>
      <c r="AY535" t="n">
        <v>1</v>
      </c>
      <c r="AZ535" t="n">
        <v>0</v>
      </c>
      <c r="BA535" t="n">
        <v>491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U535">
        <f>ROUND(AT535*Source!I1127*AH535*AL535,0)</f>
        <v/>
      </c>
      <c r="CV535">
        <f>ROUND(Y535*Source!I1127,7)</f>
        <v/>
      </c>
      <c r="CW535" t="n">
        <v>0</v>
      </c>
      <c r="CX535">
        <f>ROUND(Y535*Source!I1127,7)</f>
        <v/>
      </c>
      <c r="CY535">
        <f>AD535</f>
        <v/>
      </c>
      <c r="CZ535">
        <f>AH535</f>
        <v/>
      </c>
      <c r="DA535">
        <f>AL535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DI535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ROW(Source!A1127)</f>
        <v/>
      </c>
      <c r="B536" t="n">
        <v>78869116</v>
      </c>
      <c r="C536" t="n">
        <v>78872340</v>
      </c>
      <c r="D536" t="n">
        <v>29169821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509-0696</t>
        </is>
      </c>
      <c r="J536" t="inlineStr">
        <is>
          <t>ТССЦ Московской обл., 509-0696, приказ Минстроя России №675/пр от 28.02.2017 № 258/пр</t>
        </is>
      </c>
      <c r="K536" t="inlineStr">
        <is>
          <t>Лампы люминесцентные ртутные низкого давления типа ЛБ, ЛД, ЛДЦ, ЛТВ, ЛБХ 20</t>
        </is>
      </c>
      <c r="L536" t="n">
        <v>1358</v>
      </c>
      <c r="N536" t="n">
        <v>1010</v>
      </c>
      <c r="O536" t="inlineStr">
        <is>
          <t>10 шт.</t>
        </is>
      </c>
      <c r="P536" t="inlineStr">
        <is>
          <t>10 шт.</t>
        </is>
      </c>
      <c r="Q536" t="n">
        <v>10</v>
      </c>
      <c r="W536" t="n">
        <v>0</v>
      </c>
      <c r="X536" t="n">
        <v>-1187244712</v>
      </c>
      <c r="Y536">
        <f>AT536</f>
        <v/>
      </c>
      <c r="AA536" t="n">
        <v>352.73</v>
      </c>
      <c r="AB536" t="n">
        <v>0</v>
      </c>
      <c r="AC536" t="n">
        <v>0</v>
      </c>
      <c r="AD536" t="n">
        <v>0</v>
      </c>
      <c r="AE536" t="n">
        <v>85.2</v>
      </c>
      <c r="AF536" t="n">
        <v>0</v>
      </c>
      <c r="AG536" t="n">
        <v>0</v>
      </c>
      <c r="AH536" t="n">
        <v>0</v>
      </c>
      <c r="AI536" t="n">
        <v>4.14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0</v>
      </c>
      <c r="AQ536" t="n">
        <v>0</v>
      </c>
      <c r="AR536" t="n">
        <v>0</v>
      </c>
      <c r="AS536" t="inlineStr"/>
      <c r="AT536" t="n">
        <v>10</v>
      </c>
      <c r="AU536" t="inlineStr"/>
      <c r="AV536" t="n">
        <v>0</v>
      </c>
      <c r="AW536" t="n">
        <v>2</v>
      </c>
      <c r="AX536" t="n">
        <v>78872345</v>
      </c>
      <c r="AY536" t="n">
        <v>1</v>
      </c>
      <c r="AZ536" t="n">
        <v>0</v>
      </c>
      <c r="BA536" t="n">
        <v>492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ROUND(Y536*Source!I1127,7)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ROW(Source!A1127)</f>
        <v/>
      </c>
      <c r="B537" t="n">
        <v>78869116</v>
      </c>
      <c r="C537" t="n">
        <v>78872340</v>
      </c>
      <c r="D537" t="n">
        <v>29169828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509-6744</t>
        </is>
      </c>
      <c r="J537" t="inlineStr">
        <is>
          <t>ТССЦ Московской обл., 509-6744, приказ Минстроя России №675/пр от 28.02.2017 № 258/пр</t>
        </is>
      </c>
      <c r="K537" t="inlineStr">
        <is>
          <t>Лампы люминесцентные компактные энергосберегающие с цоколем Е27 мощностью 55 Вт</t>
        </is>
      </c>
      <c r="L537" t="n">
        <v>1354</v>
      </c>
      <c r="N537" t="n">
        <v>1010</v>
      </c>
      <c r="O537" t="inlineStr">
        <is>
          <t>шт.</t>
        </is>
      </c>
      <c r="P537" t="inlineStr">
        <is>
          <t>шт.</t>
        </is>
      </c>
      <c r="Q537" t="n">
        <v>1</v>
      </c>
      <c r="W537" t="n">
        <v>0</v>
      </c>
      <c r="X537" t="n">
        <v>-228955380</v>
      </c>
      <c r="Y537">
        <f>AT537</f>
        <v/>
      </c>
      <c r="AA537" t="n">
        <v>237.77</v>
      </c>
      <c r="AB537" t="n">
        <v>0</v>
      </c>
      <c r="AC537" t="n">
        <v>0</v>
      </c>
      <c r="AD537" t="n">
        <v>0</v>
      </c>
      <c r="AE537" t="n">
        <v>140.69</v>
      </c>
      <c r="AF537" t="n">
        <v>0</v>
      </c>
      <c r="AG537" t="n">
        <v>0</v>
      </c>
      <c r="AH537" t="n">
        <v>0</v>
      </c>
      <c r="AI537" t="n">
        <v>1.69</v>
      </c>
      <c r="AJ537" t="n">
        <v>1</v>
      </c>
      <c r="AK537" t="n">
        <v>1</v>
      </c>
      <c r="AL537" t="n">
        <v>1</v>
      </c>
      <c r="AM537" t="n">
        <v>0</v>
      </c>
      <c r="AN537" t="n">
        <v>0</v>
      </c>
      <c r="AO537" t="n">
        <v>0</v>
      </c>
      <c r="AP537" t="n">
        <v>1</v>
      </c>
      <c r="AQ537" t="n">
        <v>0</v>
      </c>
      <c r="AR537" t="n">
        <v>0</v>
      </c>
      <c r="AS537" t="inlineStr"/>
      <c r="AT537" t="n">
        <v>100</v>
      </c>
      <c r="AU537" t="inlineStr"/>
      <c r="AV537" t="n">
        <v>0</v>
      </c>
      <c r="AW537" t="n">
        <v>1</v>
      </c>
      <c r="AX537" t="n">
        <v>-1</v>
      </c>
      <c r="AY537" t="n">
        <v>0</v>
      </c>
      <c r="AZ537" t="n">
        <v>0</v>
      </c>
      <c r="BA537" t="inlineStr"/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ROUND(Y537*Source!I1127,7)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ROW(Source!A1167)</f>
        <v/>
      </c>
      <c r="B538" t="n">
        <v>78869116</v>
      </c>
      <c r="C538" t="n">
        <v>78872410</v>
      </c>
      <c r="D538" t="n">
        <v>18442827</v>
      </c>
      <c r="E538" t="n">
        <v>1</v>
      </c>
      <c r="F538" t="n">
        <v>1</v>
      </c>
      <c r="G538" t="n">
        <v>1</v>
      </c>
      <c r="H538" t="n">
        <v>1</v>
      </c>
      <c r="I538" t="inlineStr">
        <is>
          <t>1-1053-90</t>
        </is>
      </c>
      <c r="J538" t="inlineStr"/>
      <c r="K538" t="inlineStr">
        <is>
          <t>Рабочий строитель среднего разряда 5,3</t>
        </is>
      </c>
      <c r="L538" t="n">
        <v>1369</v>
      </c>
      <c r="N538" t="n">
        <v>1013</v>
      </c>
      <c r="O538" t="inlineStr">
        <is>
          <t>чел.-ч</t>
        </is>
      </c>
      <c r="P538" t="inlineStr">
        <is>
          <t>чел.-ч</t>
        </is>
      </c>
      <c r="Q538" t="n">
        <v>1</v>
      </c>
      <c r="W538" t="n">
        <v>0</v>
      </c>
      <c r="X538" t="n">
        <v>717490484</v>
      </c>
      <c r="Y538">
        <f>(AT538*ROUND(6,7))</f>
        <v/>
      </c>
      <c r="AA538" t="n">
        <v>0</v>
      </c>
      <c r="AB538" t="n">
        <v>0</v>
      </c>
      <c r="AC538" t="n">
        <v>0</v>
      </c>
      <c r="AD538" t="n">
        <v>11.64</v>
      </c>
      <c r="AE538" t="n">
        <v>0</v>
      </c>
      <c r="AF538" t="n">
        <v>0</v>
      </c>
      <c r="AG538" t="n">
        <v>0</v>
      </c>
      <c r="AH538" t="n">
        <v>11.64</v>
      </c>
      <c r="AI538" t="n">
        <v>1</v>
      </c>
      <c r="AJ538" t="n">
        <v>1</v>
      </c>
      <c r="AK538" t="n">
        <v>1</v>
      </c>
      <c r="AL538" t="n">
        <v>1</v>
      </c>
      <c r="AM538" t="n">
        <v>-2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5.01</v>
      </c>
      <c r="AU538" t="inlineStr">
        <is>
          <t>)*6</t>
        </is>
      </c>
      <c r="AV538" t="n">
        <v>1</v>
      </c>
      <c r="AW538" t="n">
        <v>2</v>
      </c>
      <c r="AX538" t="n">
        <v>78872417</v>
      </c>
      <c r="AY538" t="n">
        <v>1</v>
      </c>
      <c r="AZ538" t="n">
        <v>0</v>
      </c>
      <c r="BA538" t="n">
        <v>493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U538">
        <f>ROUND(AT538*Source!I1167*AH538*AL538,0)</f>
        <v/>
      </c>
      <c r="CV538">
        <f>ROUND(Y538*Source!I1167,7)</f>
        <v/>
      </c>
      <c r="CW538" t="n">
        <v>0</v>
      </c>
      <c r="CX538">
        <f>ROUND(Y538*Source!I1167,7)</f>
        <v/>
      </c>
      <c r="CY538">
        <f>AD538</f>
        <v/>
      </c>
      <c r="CZ538">
        <f>AH538</f>
        <v/>
      </c>
      <c r="DA538">
        <f>AL538</f>
        <v/>
      </c>
      <c r="DB538">
        <f>ROUND((ROUND(AT538*CZ538,2)*ROUND(6,7)),2)</f>
        <v/>
      </c>
      <c r="DC538">
        <f>ROUND((ROUND(AT538*AG538,2)*ROUND(6,7)),2)</f>
        <v/>
      </c>
      <c r="DD538" t="inlineStr"/>
      <c r="DE538" t="inlineStr"/>
      <c r="DF538">
        <f>ROUND(ROUND(AE538,0)*CX538,0)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DI538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ROW(Source!A1167)</f>
        <v/>
      </c>
      <c r="B539" t="n">
        <v>78869116</v>
      </c>
      <c r="C539" t="n">
        <v>78872410</v>
      </c>
      <c r="D539" t="n">
        <v>29172703</v>
      </c>
      <c r="E539" t="n">
        <v>1</v>
      </c>
      <c r="F539" t="n">
        <v>1</v>
      </c>
      <c r="G539" t="n">
        <v>1</v>
      </c>
      <c r="H539" t="n">
        <v>2</v>
      </c>
      <c r="I539" t="inlineStr">
        <is>
          <t>042900</t>
        </is>
      </c>
      <c r="J539" t="inlineStr">
        <is>
          <t>ТСЭМ Московской обл., 042900, приказ Минстроя России №675/пр от 28.02.2017 № 264/пр</t>
        </is>
      </c>
      <c r="K53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9" t="n">
        <v>1368</v>
      </c>
      <c r="N539" t="n">
        <v>1011</v>
      </c>
      <c r="O539" t="inlineStr">
        <is>
          <t>маш.-ч</t>
        </is>
      </c>
      <c r="P539" t="inlineStr">
        <is>
          <t>маш.-ч</t>
        </is>
      </c>
      <c r="Q539" t="n">
        <v>1</v>
      </c>
      <c r="W539" t="n">
        <v>0</v>
      </c>
      <c r="X539" t="n">
        <v>1695838894</v>
      </c>
      <c r="Y539">
        <f>(AT539*ROUND(6,7))</f>
        <v/>
      </c>
      <c r="AA539" t="n">
        <v>0</v>
      </c>
      <c r="AB539" t="n">
        <v>177.13</v>
      </c>
      <c r="AC539" t="n">
        <v>0</v>
      </c>
      <c r="AD539" t="n">
        <v>0</v>
      </c>
      <c r="AE539" t="n">
        <v>0</v>
      </c>
      <c r="AF539" t="n">
        <v>29.67</v>
      </c>
      <c r="AG539" t="n">
        <v>0</v>
      </c>
      <c r="AH539" t="n">
        <v>0</v>
      </c>
      <c r="AI539" t="n">
        <v>1</v>
      </c>
      <c r="AJ539" t="n">
        <v>5.97</v>
      </c>
      <c r="AK539" t="n">
        <v>52.25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1.5</v>
      </c>
      <c r="AU539" t="inlineStr">
        <is>
          <t>)*6</t>
        </is>
      </c>
      <c r="AV539" t="n">
        <v>0</v>
      </c>
      <c r="AW539" t="n">
        <v>2</v>
      </c>
      <c r="AX539" t="n">
        <v>78872418</v>
      </c>
      <c r="AY539" t="n">
        <v>1</v>
      </c>
      <c r="AZ539" t="n">
        <v>0</v>
      </c>
      <c r="BA539" t="n">
        <v>494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>
        <f>ROUND(Y539*Source!I1167*DO539,7)</f>
        <v/>
      </c>
      <c r="CX539">
        <f>ROUND(Y539*Source!I1167,7)</f>
        <v/>
      </c>
      <c r="CY539">
        <f>AB539</f>
        <v/>
      </c>
      <c r="CZ539">
        <f>AF539</f>
        <v/>
      </c>
      <c r="DA539">
        <f>AJ539</f>
        <v/>
      </c>
      <c r="DB539">
        <f>ROUND((ROUND(AT539*CZ539,2)*ROUND(6,7)),2)</f>
        <v/>
      </c>
      <c r="DC539">
        <f>ROUND((ROUND(AT539*AG539,2)*ROUND(6,7)),2)</f>
        <v/>
      </c>
      <c r="DD539" t="inlineStr"/>
      <c r="DE539" t="inlineStr"/>
      <c r="DF539">
        <f>ROUND(ROUND(AE539,0)*CX539,0)</f>
        <v/>
      </c>
      <c r="DG539">
        <f>ROUND(ROUND(AF539*AJ539,0)*CX539,0)</f>
        <v/>
      </c>
      <c r="DH539">
        <f>ROUND(ROUND(AG539*AK539,0)*CX539,0)</f>
        <v/>
      </c>
      <c r="DI539">
        <f>ROUND(ROUND(AH539,0)*CX539,0)</f>
        <v/>
      </c>
      <c r="DJ539">
        <f>DG539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ROW(Source!A1167)</f>
        <v/>
      </c>
      <c r="B540" t="n">
        <v>78869116</v>
      </c>
      <c r="C540" t="n">
        <v>78872410</v>
      </c>
      <c r="D540" t="n">
        <v>29110398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101-0388</t>
        </is>
      </c>
      <c r="J540" t="inlineStr">
        <is>
          <t>ТССЦ Московской обл., 101-0388, приказ Минстроя России №675/пр от 28.02.2017 № 254/пр</t>
        </is>
      </c>
      <c r="K540" t="inlineStr">
        <is>
          <t>Краски масляные земляные марки МА-0115 мумия, сурик железный</t>
        </is>
      </c>
      <c r="L540" t="n">
        <v>1348</v>
      </c>
      <c r="N540" t="n">
        <v>1009</v>
      </c>
      <c r="O540" t="inlineStr">
        <is>
          <t>т</t>
        </is>
      </c>
      <c r="P540" t="inlineStr">
        <is>
          <t>т</t>
        </is>
      </c>
      <c r="Q540" t="n">
        <v>1000</v>
      </c>
      <c r="W540" t="n">
        <v>0</v>
      </c>
      <c r="X540" t="n">
        <v>1625292450</v>
      </c>
      <c r="Y540">
        <f>(AT540*ROUND(6,7))</f>
        <v/>
      </c>
      <c r="AA540" t="n">
        <v>76804.47</v>
      </c>
      <c r="AB540" t="n">
        <v>0</v>
      </c>
      <c r="AC540" t="n">
        <v>0</v>
      </c>
      <c r="AD540" t="n">
        <v>0</v>
      </c>
      <c r="AE540" t="n">
        <v>15118.99</v>
      </c>
      <c r="AF540" t="n">
        <v>0</v>
      </c>
      <c r="AG540" t="n">
        <v>0</v>
      </c>
      <c r="AH540" t="n">
        <v>0</v>
      </c>
      <c r="AI540" t="n">
        <v>5.08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5e-05</v>
      </c>
      <c r="AU540" t="inlineStr">
        <is>
          <t>)*6</t>
        </is>
      </c>
      <c r="AV540" t="n">
        <v>0</v>
      </c>
      <c r="AW540" t="n">
        <v>2</v>
      </c>
      <c r="AX540" t="n">
        <v>78872419</v>
      </c>
      <c r="AY540" t="n">
        <v>1</v>
      </c>
      <c r="AZ540" t="n">
        <v>2048</v>
      </c>
      <c r="BA540" t="n">
        <v>495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ROUND(Y540*Source!I1167,7)</f>
        <v/>
      </c>
      <c r="CY540">
        <f>AA540</f>
        <v/>
      </c>
      <c r="CZ540">
        <f>AE540</f>
        <v/>
      </c>
      <c r="DA540">
        <f>AI540</f>
        <v/>
      </c>
      <c r="DB540">
        <f>ROUND((ROUND(AT540*CZ540,2)*ROUND(6,7)),2)</f>
        <v/>
      </c>
      <c r="DC540">
        <f>ROUND((ROUND(AT540*AG540,2)*ROUND(6,7)),2)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ROW(Source!A1167)</f>
        <v/>
      </c>
      <c r="B541" t="n">
        <v>78869116</v>
      </c>
      <c r="C541" t="n">
        <v>78872410</v>
      </c>
      <c r="D541" t="n">
        <v>29110573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101-0628</t>
        </is>
      </c>
      <c r="J541" t="inlineStr">
        <is>
          <t>ТССЦ Московской обл., 101-0628, приказ Минстроя России №675/пр от 28.02.2017 № 254/пр</t>
        </is>
      </c>
      <c r="K541" t="inlineStr">
        <is>
          <t>Олифа комбинированная, марки К-3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W541" t="n">
        <v>0</v>
      </c>
      <c r="X541" t="n">
        <v>24062879</v>
      </c>
      <c r="Y541">
        <f>(AT541*ROUND(6,7))</f>
        <v/>
      </c>
      <c r="AA541" t="n">
        <v>87631.5</v>
      </c>
      <c r="AB541" t="n">
        <v>0</v>
      </c>
      <c r="AC541" t="n">
        <v>0</v>
      </c>
      <c r="AD541" t="n">
        <v>0</v>
      </c>
      <c r="AE541" t="n">
        <v>16950</v>
      </c>
      <c r="AF541" t="n">
        <v>0</v>
      </c>
      <c r="AG541" t="n">
        <v>0</v>
      </c>
      <c r="AH541" t="n">
        <v>0</v>
      </c>
      <c r="AI541" t="n">
        <v>5.17</v>
      </c>
      <c r="AJ541" t="n">
        <v>1</v>
      </c>
      <c r="AK541" t="n">
        <v>1</v>
      </c>
      <c r="AL541" t="n">
        <v>1</v>
      </c>
      <c r="AM541" t="n">
        <v>2</v>
      </c>
      <c r="AN541" t="n">
        <v>0</v>
      </c>
      <c r="AO541" t="n">
        <v>1</v>
      </c>
      <c r="AP541" t="n">
        <v>1</v>
      </c>
      <c r="AQ541" t="n">
        <v>0</v>
      </c>
      <c r="AR541" t="n">
        <v>0</v>
      </c>
      <c r="AS541" t="inlineStr"/>
      <c r="AT541" t="n">
        <v>2e-05</v>
      </c>
      <c r="AU541" t="inlineStr">
        <is>
          <t>)*6</t>
        </is>
      </c>
      <c r="AV541" t="n">
        <v>0</v>
      </c>
      <c r="AW541" t="n">
        <v>2</v>
      </c>
      <c r="AX541" t="n">
        <v>78872420</v>
      </c>
      <c r="AY541" t="n">
        <v>1</v>
      </c>
      <c r="AZ541" t="n">
        <v>2048</v>
      </c>
      <c r="BA541" t="n">
        <v>496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V541" t="n">
        <v>0</v>
      </c>
      <c r="CW541" t="n">
        <v>0</v>
      </c>
      <c r="CX541">
        <f>ROUND(Y541*Source!I1167,7)</f>
        <v/>
      </c>
      <c r="CY541">
        <f>AA541</f>
        <v/>
      </c>
      <c r="CZ541">
        <f>AE541</f>
        <v/>
      </c>
      <c r="DA541">
        <f>AI541</f>
        <v/>
      </c>
      <c r="DB541">
        <f>ROUND((ROUND(AT541*CZ541,2)*ROUND(6,7)),2)</f>
        <v/>
      </c>
      <c r="DC541">
        <f>ROUND((ROUND(AT541*AG541,2)*ROUND(6,7)),2)</f>
        <v/>
      </c>
      <c r="DD541" t="inlineStr"/>
      <c r="DE541" t="inlineStr"/>
      <c r="DF541">
        <f>ROUND(ROUND(AE541*AI541,0)*CX541,0)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DF541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ROW(Source!A1167)</f>
        <v/>
      </c>
      <c r="B542" t="n">
        <v>78869116</v>
      </c>
      <c r="C542" t="n">
        <v>78872410</v>
      </c>
      <c r="D542" t="n">
        <v>29107963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101-1669</t>
        </is>
      </c>
      <c r="J542" t="inlineStr">
        <is>
          <t>ТССЦ Московской обл., 101-1669, приказ Минстроя России №675/пр от 28.02.2017 № 254/пр</t>
        </is>
      </c>
      <c r="K542" t="inlineStr">
        <is>
          <t>Очес льняной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W542" t="n">
        <v>0</v>
      </c>
      <c r="X542" t="n">
        <v>-2113933962</v>
      </c>
      <c r="Y542">
        <f>(AT542*ROUND(6,7))</f>
        <v/>
      </c>
      <c r="AA542" t="n">
        <v>590.67</v>
      </c>
      <c r="AB542" t="n">
        <v>0</v>
      </c>
      <c r="AC542" t="n">
        <v>0</v>
      </c>
      <c r="AD542" t="n">
        <v>0</v>
      </c>
      <c r="AE542" t="n">
        <v>37.29</v>
      </c>
      <c r="AF542" t="n">
        <v>0</v>
      </c>
      <c r="AG542" t="n">
        <v>0</v>
      </c>
      <c r="AH542" t="n">
        <v>0</v>
      </c>
      <c r="AI542" t="n">
        <v>15.84</v>
      </c>
      <c r="AJ542" t="n">
        <v>1</v>
      </c>
      <c r="AK542" t="n">
        <v>1</v>
      </c>
      <c r="AL542" t="n">
        <v>1</v>
      </c>
      <c r="AM542" t="n">
        <v>2</v>
      </c>
      <c r="AN542" t="n">
        <v>0</v>
      </c>
      <c r="AO542" t="n">
        <v>1</v>
      </c>
      <c r="AP542" t="n">
        <v>1</v>
      </c>
      <c r="AQ542" t="n">
        <v>0</v>
      </c>
      <c r="AR542" t="n">
        <v>0</v>
      </c>
      <c r="AS542" t="inlineStr"/>
      <c r="AT542" t="n">
        <v>0.02</v>
      </c>
      <c r="AU542" t="inlineStr">
        <is>
          <t>)*6</t>
        </is>
      </c>
      <c r="AV542" t="n">
        <v>0</v>
      </c>
      <c r="AW542" t="n">
        <v>2</v>
      </c>
      <c r="AX542" t="n">
        <v>78872421</v>
      </c>
      <c r="AY542" t="n">
        <v>1</v>
      </c>
      <c r="AZ542" t="n">
        <v>0</v>
      </c>
      <c r="BA542" t="n">
        <v>497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ROUND(Y542*Source!I1167,7)</f>
        <v/>
      </c>
      <c r="CY542">
        <f>AA542</f>
        <v/>
      </c>
      <c r="CZ542">
        <f>AE542</f>
        <v/>
      </c>
      <c r="DA542">
        <f>AI542</f>
        <v/>
      </c>
      <c r="DB542">
        <f>ROUND((ROUND(AT542*CZ542,2)*ROUND(6,7)),2)</f>
        <v/>
      </c>
      <c r="DC542">
        <f>ROUND((ROUND(AT542*AG542,2)*ROUND(6,7)),2)</f>
        <v/>
      </c>
      <c r="DD542" t="inlineStr"/>
      <c r="DE542" t="inlineStr"/>
      <c r="DF542">
        <f>ROUND(ROUND(AE542*AI542,0)*CX542,0)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DF542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ROW(Source!A1167)</f>
        <v/>
      </c>
      <c r="B543" t="n">
        <v>78869116</v>
      </c>
      <c r="C543" t="n">
        <v>78872410</v>
      </c>
      <c r="D543" t="n">
        <v>29150040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411-0001</t>
        </is>
      </c>
      <c r="J543" t="inlineStr">
        <is>
          <t>ТССЦ Московской обл., 411-0001, приказ Минстроя России №675/пр от 28.02.2017 № 257/пр</t>
        </is>
      </c>
      <c r="K543" t="inlineStr">
        <is>
          <t>Вода</t>
        </is>
      </c>
      <c r="L543" t="n">
        <v>1339</v>
      </c>
      <c r="N543" t="n">
        <v>1007</v>
      </c>
      <c r="O543" t="inlineStr">
        <is>
          <t>м3</t>
        </is>
      </c>
      <c r="P543" t="inlineStr">
        <is>
          <t>м3</t>
        </is>
      </c>
      <c r="Q543" t="n">
        <v>1</v>
      </c>
      <c r="W543" t="n">
        <v>0</v>
      </c>
      <c r="X543" t="n">
        <v>619799737</v>
      </c>
      <c r="Y543">
        <f>(AT543*ROUND(6,7))</f>
        <v/>
      </c>
      <c r="AA543" t="n">
        <v>31.28</v>
      </c>
      <c r="AB543" t="n">
        <v>0</v>
      </c>
      <c r="AC543" t="n">
        <v>0</v>
      </c>
      <c r="AD543" t="n">
        <v>0</v>
      </c>
      <c r="AE543" t="n">
        <v>2.44</v>
      </c>
      <c r="AF543" t="n">
        <v>0</v>
      </c>
      <c r="AG543" t="n">
        <v>0</v>
      </c>
      <c r="AH543" t="n">
        <v>0</v>
      </c>
      <c r="AI543" t="n">
        <v>12.82</v>
      </c>
      <c r="AJ543" t="n">
        <v>1</v>
      </c>
      <c r="AK543" t="n">
        <v>1</v>
      </c>
      <c r="AL543" t="n">
        <v>1</v>
      </c>
      <c r="AM543" t="n">
        <v>2</v>
      </c>
      <c r="AN543" t="n">
        <v>0</v>
      </c>
      <c r="AO543" t="n">
        <v>1</v>
      </c>
      <c r="AP543" t="n">
        <v>1</v>
      </c>
      <c r="AQ543" t="n">
        <v>0</v>
      </c>
      <c r="AR543" t="n">
        <v>0</v>
      </c>
      <c r="AS543" t="inlineStr"/>
      <c r="AT543" t="n">
        <v>1</v>
      </c>
      <c r="AU543" t="inlineStr">
        <is>
          <t>)*6</t>
        </is>
      </c>
      <c r="AV543" t="n">
        <v>0</v>
      </c>
      <c r="AW543" t="n">
        <v>2</v>
      </c>
      <c r="AX543" t="n">
        <v>78872422</v>
      </c>
      <c r="AY543" t="n">
        <v>1</v>
      </c>
      <c r="AZ543" t="n">
        <v>0</v>
      </c>
      <c r="BA543" t="n">
        <v>498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 t="n">
        <v>0</v>
      </c>
      <c r="CX543">
        <f>ROUND(Y543*Source!I1167,7)</f>
        <v/>
      </c>
      <c r="CY543">
        <f>AA543</f>
        <v/>
      </c>
      <c r="CZ543">
        <f>AE543</f>
        <v/>
      </c>
      <c r="DA543">
        <f>AI543</f>
        <v/>
      </c>
      <c r="DB543">
        <f>ROUND((ROUND(AT543*CZ543,2)*ROUND(6,7)),2)</f>
        <v/>
      </c>
      <c r="DC543">
        <f>ROUND((ROUND(AT543*AG543,2)*ROUND(6,7)),2)</f>
        <v/>
      </c>
      <c r="DD543" t="inlineStr"/>
      <c r="DE543" t="inlineStr"/>
      <c r="DF543">
        <f>ROUND(ROUND(AE543*AI543,0)*CX543,0)</f>
        <v/>
      </c>
      <c r="DG543">
        <f>ROUND(ROUND(AF543,0)*CX543,0)</f>
        <v/>
      </c>
      <c r="DH543">
        <f>ROUND(ROUND(AG543,0)*CX543,0)</f>
        <v/>
      </c>
      <c r="DI543">
        <f>ROUND(ROUND(AH543,0)*CX543,0)</f>
        <v/>
      </c>
      <c r="DJ543">
        <f>DF543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ROW(Source!A1206)</f>
        <v/>
      </c>
      <c r="B544" t="n">
        <v>78869116</v>
      </c>
      <c r="C544" t="n">
        <v>78872486</v>
      </c>
      <c r="D544" t="n">
        <v>18408291</v>
      </c>
      <c r="E544" t="n">
        <v>1</v>
      </c>
      <c r="F544" t="n">
        <v>1</v>
      </c>
      <c r="G544" t="n">
        <v>1</v>
      </c>
      <c r="H544" t="n">
        <v>1</v>
      </c>
      <c r="I544" t="inlineStr">
        <is>
          <t>1-1025-90</t>
        </is>
      </c>
      <c r="J544" t="inlineStr"/>
      <c r="K544" t="inlineStr">
        <is>
          <t>Рабочий строитель среднего разряда 2,5</t>
        </is>
      </c>
      <c r="L544" t="n">
        <v>1369</v>
      </c>
      <c r="N544" t="n">
        <v>1013</v>
      </c>
      <c r="O544" t="inlineStr">
        <is>
          <t>чел.-ч</t>
        </is>
      </c>
      <c r="P544" t="inlineStr">
        <is>
          <t>чел.-ч</t>
        </is>
      </c>
      <c r="Q544" t="n">
        <v>1</v>
      </c>
      <c r="W544" t="n">
        <v>0</v>
      </c>
      <c r="X544" t="n">
        <v>1933892413</v>
      </c>
      <c r="Y544">
        <f>AT544</f>
        <v/>
      </c>
      <c r="AA544" t="n">
        <v>0</v>
      </c>
      <c r="AB544" t="n">
        <v>0</v>
      </c>
      <c r="AC544" t="n">
        <v>0</v>
      </c>
      <c r="AD544" t="n">
        <v>8.17</v>
      </c>
      <c r="AE544" t="n">
        <v>0</v>
      </c>
      <c r="AF544" t="n">
        <v>0</v>
      </c>
      <c r="AG544" t="n">
        <v>0</v>
      </c>
      <c r="AH544" t="n">
        <v>8.17</v>
      </c>
      <c r="AI544" t="n">
        <v>1</v>
      </c>
      <c r="AJ544" t="n">
        <v>1</v>
      </c>
      <c r="AK544" t="n">
        <v>1</v>
      </c>
      <c r="AL544" t="n">
        <v>1</v>
      </c>
      <c r="AM544" t="n">
        <v>-2</v>
      </c>
      <c r="AN544" t="n">
        <v>0</v>
      </c>
      <c r="AO544" t="n">
        <v>1</v>
      </c>
      <c r="AP544" t="n">
        <v>1</v>
      </c>
      <c r="AQ544" t="n">
        <v>0</v>
      </c>
      <c r="AR544" t="n">
        <v>0</v>
      </c>
      <c r="AS544" t="inlineStr"/>
      <c r="AT544" t="n">
        <v>32.2</v>
      </c>
      <c r="AU544" t="inlineStr"/>
      <c r="AV544" t="n">
        <v>1</v>
      </c>
      <c r="AW544" t="n">
        <v>2</v>
      </c>
      <c r="AX544" t="n">
        <v>78872492</v>
      </c>
      <c r="AY544" t="n">
        <v>1</v>
      </c>
      <c r="AZ544" t="n">
        <v>0</v>
      </c>
      <c r="BA544" t="n">
        <v>499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U544">
        <f>ROUND(AT544*Source!I1206*AH544*AL544,0)</f>
        <v/>
      </c>
      <c r="CV544">
        <f>ROUND(Y544*Source!I1206,7)</f>
        <v/>
      </c>
      <c r="CW544" t="n">
        <v>0</v>
      </c>
      <c r="CX544">
        <f>ROUND(Y544*Source!I1206,7)</f>
        <v/>
      </c>
      <c r="CY544">
        <f>AD544</f>
        <v/>
      </c>
      <c r="CZ544">
        <f>AH544</f>
        <v/>
      </c>
      <c r="DA544">
        <f>AL544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DI544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ROW(Source!A1206)</f>
        <v/>
      </c>
      <c r="B545" t="n">
        <v>78869116</v>
      </c>
      <c r="C545" t="n">
        <v>78872486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W545" t="n">
        <v>0</v>
      </c>
      <c r="X545" t="n">
        <v>1230759911</v>
      </c>
      <c r="Y545">
        <f>AT545</f>
        <v/>
      </c>
      <c r="AA545" t="n">
        <v>0</v>
      </c>
      <c r="AB545" t="n">
        <v>2177.51</v>
      </c>
      <c r="AC545" t="n">
        <v>606.1</v>
      </c>
      <c r="AD545" t="n">
        <v>0</v>
      </c>
      <c r="AE545" t="n">
        <v>0</v>
      </c>
      <c r="AF545" t="n">
        <v>87.17</v>
      </c>
      <c r="AG545" t="n">
        <v>11.6</v>
      </c>
      <c r="AH545" t="n">
        <v>0</v>
      </c>
      <c r="AI545" t="n">
        <v>1</v>
      </c>
      <c r="AJ545" t="n">
        <v>24.98</v>
      </c>
      <c r="AK545" t="n">
        <v>52.25</v>
      </c>
      <c r="AL545" t="n">
        <v>1</v>
      </c>
      <c r="AM545" t="n">
        <v>2</v>
      </c>
      <c r="AN545" t="n">
        <v>0</v>
      </c>
      <c r="AO545" t="n">
        <v>1</v>
      </c>
      <c r="AP545" t="n">
        <v>1</v>
      </c>
      <c r="AQ545" t="n">
        <v>0</v>
      </c>
      <c r="AR545" t="n">
        <v>0</v>
      </c>
      <c r="AS545" t="inlineStr"/>
      <c r="AT545" t="n">
        <v>0.01</v>
      </c>
      <c r="AU545" t="inlineStr"/>
      <c r="AV545" t="n">
        <v>0</v>
      </c>
      <c r="AW545" t="n">
        <v>2</v>
      </c>
      <c r="AX545" t="n">
        <v>78872493</v>
      </c>
      <c r="AY545" t="n">
        <v>1</v>
      </c>
      <c r="AZ545" t="n">
        <v>0</v>
      </c>
      <c r="BA545" t="n">
        <v>500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>
        <f>ROUND(Y545*Source!I1206*DO545,7)</f>
        <v/>
      </c>
      <c r="CX545">
        <f>ROUND(Y545*Source!I1206,7)</f>
        <v/>
      </c>
      <c r="CY545">
        <f>AB545</f>
        <v/>
      </c>
      <c r="CZ545">
        <f>AF545</f>
        <v/>
      </c>
      <c r="DA545">
        <f>AJ545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ROUND(ROUND(AE545,0)*CX545,0)</f>
        <v/>
      </c>
      <c r="DG545">
        <f>ROUND(ROUND(AF545*AJ545,0)*CX545,0)</f>
        <v/>
      </c>
      <c r="DH545">
        <f>ROUND(ROUND(AG545*AK545,0)*CX545,0)</f>
        <v/>
      </c>
      <c r="DI545">
        <f>ROUND(ROUND(AH545,0)*CX545,0)</f>
        <v/>
      </c>
      <c r="DJ545">
        <f>DG545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ROW(Source!A1206)</f>
        <v/>
      </c>
      <c r="B546" t="n">
        <v>78869116</v>
      </c>
      <c r="C546" t="n">
        <v>78872486</v>
      </c>
      <c r="D546" t="n">
        <v>29110139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101-1703</t>
        </is>
      </c>
      <c r="J546" t="inlineStr">
        <is>
          <t>ТССЦ Московской обл., 101-1703, приказ Минстроя России №675/пр от 28.02.2017 № 254/пр</t>
        </is>
      </c>
      <c r="K546" t="inlineStr">
        <is>
          <t>Прокладки резиновые (пластина техническая прессованная)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-1947909329</v>
      </c>
      <c r="Y546">
        <f>AT546</f>
        <v/>
      </c>
      <c r="AA546" t="n">
        <v>341.04</v>
      </c>
      <c r="AB546" t="n">
        <v>0</v>
      </c>
      <c r="AC546" t="n">
        <v>0</v>
      </c>
      <c r="AD546" t="n">
        <v>0</v>
      </c>
      <c r="AE546" t="n">
        <v>23.09</v>
      </c>
      <c r="AF546" t="n">
        <v>0</v>
      </c>
      <c r="AG546" t="n">
        <v>0</v>
      </c>
      <c r="AH546" t="n">
        <v>0</v>
      </c>
      <c r="AI546" t="n">
        <v>14.77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1</v>
      </c>
      <c r="AQ546" t="n">
        <v>0</v>
      </c>
      <c r="AR546" t="n">
        <v>0</v>
      </c>
      <c r="AS546" t="inlineStr"/>
      <c r="AT546" t="n">
        <v>2</v>
      </c>
      <c r="AU546" t="inlineStr"/>
      <c r="AV546" t="n">
        <v>0</v>
      </c>
      <c r="AW546" t="n">
        <v>2</v>
      </c>
      <c r="AX546" t="n">
        <v>78872494</v>
      </c>
      <c r="AY546" t="n">
        <v>1</v>
      </c>
      <c r="AZ546" t="n">
        <v>0</v>
      </c>
      <c r="BA546" t="n">
        <v>501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ROUND(Y546*Source!I1206,7)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ROW(Source!A1206)</f>
        <v/>
      </c>
      <c r="B547" t="n">
        <v>78869116</v>
      </c>
      <c r="C547" t="n">
        <v>78872486</v>
      </c>
      <c r="D547" t="n">
        <v>29114240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101-2576</t>
        </is>
      </c>
      <c r="J547" t="inlineStr">
        <is>
          <t>ТССЦ Московской обл., 101-2576, приказ Минстроя России №675/пр от 28.02.2017 № 254/пр</t>
        </is>
      </c>
      <c r="K547" t="inlineStr">
        <is>
          <t>Болты с гайками и шайбами для санитарно-технических работ диаметром 16 мм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W547" t="n">
        <v>0</v>
      </c>
      <c r="X547" t="n">
        <v>-1701539228</v>
      </c>
      <c r="Y547">
        <f>AT547</f>
        <v/>
      </c>
      <c r="AA547" t="n">
        <v>145037.4</v>
      </c>
      <c r="AB547" t="n">
        <v>0</v>
      </c>
      <c r="AC547" t="n">
        <v>0</v>
      </c>
      <c r="AD547" t="n">
        <v>0</v>
      </c>
      <c r="AE547" t="n">
        <v>14830</v>
      </c>
      <c r="AF547" t="n">
        <v>0</v>
      </c>
      <c r="AG547" t="n">
        <v>0</v>
      </c>
      <c r="AH547" t="n">
        <v>0</v>
      </c>
      <c r="AI547" t="n">
        <v>9.779999999999999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1</v>
      </c>
      <c r="AQ547" t="n">
        <v>0</v>
      </c>
      <c r="AR547" t="n">
        <v>0</v>
      </c>
      <c r="AS547" t="inlineStr"/>
      <c r="AT547" t="n">
        <v>0.005</v>
      </c>
      <c r="AU547" t="inlineStr"/>
      <c r="AV547" t="n">
        <v>0</v>
      </c>
      <c r="AW547" t="n">
        <v>2</v>
      </c>
      <c r="AX547" t="n">
        <v>78872495</v>
      </c>
      <c r="AY547" t="n">
        <v>1</v>
      </c>
      <c r="AZ547" t="n">
        <v>0</v>
      </c>
      <c r="BA547" t="n">
        <v>502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ROUND(Y547*Source!I1206,7)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ROW(Source!A1206)</f>
        <v/>
      </c>
      <c r="B548" t="n">
        <v>78869116</v>
      </c>
      <c r="C548" t="n">
        <v>78872486</v>
      </c>
      <c r="D548" t="n">
        <v>29150040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411-0001</t>
        </is>
      </c>
      <c r="J548" t="inlineStr">
        <is>
          <t>ТССЦ Московской обл., 411-0001, приказ Минстроя России №675/пр от 28.02.2017 № 257/пр</t>
        </is>
      </c>
      <c r="K548" t="inlineStr">
        <is>
          <t>Вода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W548" t="n">
        <v>0</v>
      </c>
      <c r="X548" t="n">
        <v>619799737</v>
      </c>
      <c r="Y548">
        <f>AT548</f>
        <v/>
      </c>
      <c r="AA548" t="n">
        <v>31.28</v>
      </c>
      <c r="AB548" t="n">
        <v>0</v>
      </c>
      <c r="AC548" t="n">
        <v>0</v>
      </c>
      <c r="AD548" t="n">
        <v>0</v>
      </c>
      <c r="AE548" t="n">
        <v>2.44</v>
      </c>
      <c r="AF548" t="n">
        <v>0</v>
      </c>
      <c r="AG548" t="n">
        <v>0</v>
      </c>
      <c r="AH548" t="n">
        <v>0</v>
      </c>
      <c r="AI548" t="n">
        <v>12.82</v>
      </c>
      <c r="AJ548" t="n">
        <v>1</v>
      </c>
      <c r="AK548" t="n">
        <v>1</v>
      </c>
      <c r="AL548" t="n">
        <v>1</v>
      </c>
      <c r="AM548" t="n">
        <v>2</v>
      </c>
      <c r="AN548" t="n">
        <v>0</v>
      </c>
      <c r="AO548" t="n">
        <v>1</v>
      </c>
      <c r="AP548" t="n">
        <v>1</v>
      </c>
      <c r="AQ548" t="n">
        <v>0</v>
      </c>
      <c r="AR548" t="n">
        <v>0</v>
      </c>
      <c r="AS548" t="inlineStr"/>
      <c r="AT548" t="n">
        <v>7.8</v>
      </c>
      <c r="AU548" t="inlineStr"/>
      <c r="AV548" t="n">
        <v>0</v>
      </c>
      <c r="AW548" t="n">
        <v>2</v>
      </c>
      <c r="AX548" t="n">
        <v>78872496</v>
      </c>
      <c r="AY548" t="n">
        <v>1</v>
      </c>
      <c r="AZ548" t="n">
        <v>0</v>
      </c>
      <c r="BA548" t="n">
        <v>503</v>
      </c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ROUND(Y548*Source!I1206,7)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ROW(Source!A1207)</f>
        <v/>
      </c>
      <c r="B549" t="n">
        <v>78869116</v>
      </c>
      <c r="C549" t="n">
        <v>78872497</v>
      </c>
      <c r="D549" t="n">
        <v>18407150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1-1030-90</t>
        </is>
      </c>
      <c r="J549" t="inlineStr"/>
      <c r="K549" t="inlineStr">
        <is>
          <t>Рабочий строитель среднего разряда 3</t>
        </is>
      </c>
      <c r="L549" t="n">
        <v>1369</v>
      </c>
      <c r="N549" t="n">
        <v>1013</v>
      </c>
      <c r="O549" t="inlineStr">
        <is>
          <t>чел.-ч</t>
        </is>
      </c>
      <c r="P549" t="inlineStr">
        <is>
          <t>чел.-ч</t>
        </is>
      </c>
      <c r="Q549" t="n">
        <v>1</v>
      </c>
      <c r="W549" t="n">
        <v>0</v>
      </c>
      <c r="X549" t="n">
        <v>-931037793</v>
      </c>
      <c r="Y549">
        <f>AT549</f>
        <v/>
      </c>
      <c r="AA549" t="n">
        <v>0</v>
      </c>
      <c r="AB549" t="n">
        <v>0</v>
      </c>
      <c r="AC549" t="n">
        <v>0</v>
      </c>
      <c r="AD549" t="n">
        <v>8.529999999999999</v>
      </c>
      <c r="AE549" t="n">
        <v>0</v>
      </c>
      <c r="AF549" t="n">
        <v>0</v>
      </c>
      <c r="AG549" t="n">
        <v>0</v>
      </c>
      <c r="AH549" t="n">
        <v>8.529999999999999</v>
      </c>
      <c r="AI549" t="n">
        <v>1</v>
      </c>
      <c r="AJ549" t="n">
        <v>1</v>
      </c>
      <c r="AK549" t="n">
        <v>1</v>
      </c>
      <c r="AL549" t="n">
        <v>1</v>
      </c>
      <c r="AM549" t="n">
        <v>-2</v>
      </c>
      <c r="AN549" t="n">
        <v>0</v>
      </c>
      <c r="AO549" t="n">
        <v>1</v>
      </c>
      <c r="AP549" t="n">
        <v>0</v>
      </c>
      <c r="AQ549" t="n">
        <v>0</v>
      </c>
      <c r="AR549" t="n">
        <v>0</v>
      </c>
      <c r="AS549" t="inlineStr"/>
      <c r="AT549" t="n">
        <v>13.9</v>
      </c>
      <c r="AU549" t="inlineStr"/>
      <c r="AV549" t="n">
        <v>1</v>
      </c>
      <c r="AW549" t="n">
        <v>2</v>
      </c>
      <c r="AX549" t="n">
        <v>78872501</v>
      </c>
      <c r="AY549" t="n">
        <v>1</v>
      </c>
      <c r="AZ549" t="n">
        <v>0</v>
      </c>
      <c r="BA549" t="n">
        <v>504</v>
      </c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U549">
        <f>ROUND(AT549*Source!I1207*AH549*AL549,0)</f>
        <v/>
      </c>
      <c r="CV549">
        <f>ROUND(Y549*Source!I1207,7)</f>
        <v/>
      </c>
      <c r="CW549" t="n">
        <v>0</v>
      </c>
      <c r="CX549">
        <f>ROUND(Y549*Source!I1207,7)</f>
        <v/>
      </c>
      <c r="CY549">
        <f>AD549</f>
        <v/>
      </c>
      <c r="CZ549">
        <f>AH549</f>
        <v/>
      </c>
      <c r="DA549">
        <f>AL549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DI549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ROW(Source!A1207)</f>
        <v/>
      </c>
      <c r="B550" t="n">
        <v>78869116</v>
      </c>
      <c r="C550" t="n">
        <v>78872497</v>
      </c>
      <c r="D550" t="n">
        <v>29169821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509-0696</t>
        </is>
      </c>
      <c r="J550" t="inlineStr">
        <is>
          <t>ТССЦ Московской обл., 509-0696, приказ Минстроя России №675/пр от 28.02.2017 № 258/пр</t>
        </is>
      </c>
      <c r="K550" t="inlineStr">
        <is>
          <t>Лампы люминесцентные ртутные низкого давления типа ЛБ, ЛД, ЛДЦ, ЛТВ, ЛБХ 20</t>
        </is>
      </c>
      <c r="L550" t="n">
        <v>1358</v>
      </c>
      <c r="N550" t="n">
        <v>1010</v>
      </c>
      <c r="O550" t="inlineStr">
        <is>
          <t>10 шт.</t>
        </is>
      </c>
      <c r="P550" t="inlineStr">
        <is>
          <t>10 шт.</t>
        </is>
      </c>
      <c r="Q550" t="n">
        <v>10</v>
      </c>
      <c r="W550" t="n">
        <v>0</v>
      </c>
      <c r="X550" t="n">
        <v>-1187244712</v>
      </c>
      <c r="Y550">
        <f>AT550</f>
        <v/>
      </c>
      <c r="AA550" t="n">
        <v>352.73</v>
      </c>
      <c r="AB550" t="n">
        <v>0</v>
      </c>
      <c r="AC550" t="n">
        <v>0</v>
      </c>
      <c r="AD550" t="n">
        <v>0</v>
      </c>
      <c r="AE550" t="n">
        <v>85.2</v>
      </c>
      <c r="AF550" t="n">
        <v>0</v>
      </c>
      <c r="AG550" t="n">
        <v>0</v>
      </c>
      <c r="AH550" t="n">
        <v>0</v>
      </c>
      <c r="AI550" t="n">
        <v>4.14</v>
      </c>
      <c r="AJ550" t="n">
        <v>1</v>
      </c>
      <c r="AK550" t="n">
        <v>1</v>
      </c>
      <c r="AL550" t="n">
        <v>1</v>
      </c>
      <c r="AM550" t="n">
        <v>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10</v>
      </c>
      <c r="AU550" t="inlineStr"/>
      <c r="AV550" t="n">
        <v>0</v>
      </c>
      <c r="AW550" t="n">
        <v>2</v>
      </c>
      <c r="AX550" t="n">
        <v>78872502</v>
      </c>
      <c r="AY550" t="n">
        <v>1</v>
      </c>
      <c r="AZ550" t="n">
        <v>0</v>
      </c>
      <c r="BA550" t="n">
        <v>505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V550" t="n">
        <v>0</v>
      </c>
      <c r="CW550" t="n">
        <v>0</v>
      </c>
      <c r="CX550">
        <f>ROUND(Y550*Source!I1207,7)</f>
        <v/>
      </c>
      <c r="CY550">
        <f>AA550</f>
        <v/>
      </c>
      <c r="CZ550">
        <f>AE550</f>
        <v/>
      </c>
      <c r="DA550">
        <f>AI550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ROUND(ROUND(AE550*AI550,0)*CX550,0)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DF550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ROW(Source!A1207)</f>
        <v/>
      </c>
      <c r="B551" t="n">
        <v>78869116</v>
      </c>
      <c r="C551" t="n">
        <v>78872497</v>
      </c>
      <c r="D551" t="n">
        <v>29169828</v>
      </c>
      <c r="E551" t="n">
        <v>1</v>
      </c>
      <c r="F551" t="n">
        <v>1</v>
      </c>
      <c r="G551" t="n">
        <v>1</v>
      </c>
      <c r="H551" t="n">
        <v>3</v>
      </c>
      <c r="I551" t="inlineStr">
        <is>
          <t>509-6744</t>
        </is>
      </c>
      <c r="J551" t="inlineStr">
        <is>
          <t>ТССЦ Московской обл., 509-6744, приказ Минстроя России №675/пр от 28.02.2017 № 258/пр</t>
        </is>
      </c>
      <c r="K551" t="inlineStr">
        <is>
          <t>Лампы люминесцентные компактные энергосберегающие с цоколем Е27 мощностью 55 Вт</t>
        </is>
      </c>
      <c r="L551" t="n">
        <v>1354</v>
      </c>
      <c r="N551" t="n">
        <v>1010</v>
      </c>
      <c r="O551" t="inlineStr">
        <is>
          <t>шт.</t>
        </is>
      </c>
      <c r="P551" t="inlineStr">
        <is>
          <t>шт.</t>
        </is>
      </c>
      <c r="Q551" t="n">
        <v>1</v>
      </c>
      <c r="W551" t="n">
        <v>0</v>
      </c>
      <c r="X551" t="n">
        <v>-228955380</v>
      </c>
      <c r="Y551">
        <f>AT551</f>
        <v/>
      </c>
      <c r="AA551" t="n">
        <v>237.77</v>
      </c>
      <c r="AB551" t="n">
        <v>0</v>
      </c>
      <c r="AC551" t="n">
        <v>0</v>
      </c>
      <c r="AD551" t="n">
        <v>0</v>
      </c>
      <c r="AE551" t="n">
        <v>140.69</v>
      </c>
      <c r="AF551" t="n">
        <v>0</v>
      </c>
      <c r="AG551" t="n">
        <v>0</v>
      </c>
      <c r="AH551" t="n">
        <v>0</v>
      </c>
      <c r="AI551" t="n">
        <v>1.69</v>
      </c>
      <c r="AJ551" t="n">
        <v>1</v>
      </c>
      <c r="AK551" t="n">
        <v>1</v>
      </c>
      <c r="AL551" t="n">
        <v>1</v>
      </c>
      <c r="AM551" t="n">
        <v>0</v>
      </c>
      <c r="AN551" t="n">
        <v>0</v>
      </c>
      <c r="AO551" t="n">
        <v>0</v>
      </c>
      <c r="AP551" t="n">
        <v>1</v>
      </c>
      <c r="AQ551" t="n">
        <v>0</v>
      </c>
      <c r="AR551" t="n">
        <v>0</v>
      </c>
      <c r="AS551" t="inlineStr"/>
      <c r="AT551" t="n">
        <v>100</v>
      </c>
      <c r="AU551" t="inlineStr"/>
      <c r="AV551" t="n">
        <v>0</v>
      </c>
      <c r="AW551" t="n">
        <v>1</v>
      </c>
      <c r="AX551" t="n">
        <v>-1</v>
      </c>
      <c r="AY551" t="n">
        <v>0</v>
      </c>
      <c r="AZ551" t="n">
        <v>0</v>
      </c>
      <c r="BA551" t="inlineStr"/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 t="n">
        <v>0</v>
      </c>
      <c r="CX551">
        <f>ROUND(Y551*Source!I1207,7)</f>
        <v/>
      </c>
      <c r="CY551">
        <f>AA551</f>
        <v/>
      </c>
      <c r="CZ551">
        <f>AE551</f>
        <v/>
      </c>
      <c r="DA551">
        <f>AI551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ROUND(ROUND(AE551*AI551,0)*CX551,0)</f>
        <v/>
      </c>
      <c r="DG551">
        <f>ROUND(ROUND(AF551,0)*CX551,0)</f>
        <v/>
      </c>
      <c r="DH551">
        <f>ROUND(ROUND(AG551,0)*CX551,0)</f>
        <v/>
      </c>
      <c r="DI551">
        <f>ROUND(ROUND(AH551,0)*CX551,0)</f>
        <v/>
      </c>
      <c r="DJ551">
        <f>DF551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ROW(Source!A1209)</f>
        <v/>
      </c>
      <c r="B552" t="n">
        <v>78869116</v>
      </c>
      <c r="C552" t="n">
        <v>78872644</v>
      </c>
      <c r="D552" t="n">
        <v>18406804</v>
      </c>
      <c r="E552" t="n">
        <v>1</v>
      </c>
      <c r="F552" t="n">
        <v>1</v>
      </c>
      <c r="G552" t="n">
        <v>1</v>
      </c>
      <c r="H552" t="n">
        <v>1</v>
      </c>
      <c r="I552" t="inlineStr">
        <is>
          <t>1-1020-90</t>
        </is>
      </c>
      <c r="J552" t="inlineStr"/>
      <c r="K552" t="inlineStr">
        <is>
          <t>Рабочий строитель среднего разряда 2</t>
        </is>
      </c>
      <c r="L552" t="n">
        <v>1369</v>
      </c>
      <c r="N552" t="n">
        <v>1013</v>
      </c>
      <c r="O552" t="inlineStr">
        <is>
          <t>чел.-ч</t>
        </is>
      </c>
      <c r="P552" t="inlineStr">
        <is>
          <t>чел.-ч</t>
        </is>
      </c>
      <c r="Q552" t="n">
        <v>1</v>
      </c>
      <c r="W552" t="n">
        <v>0</v>
      </c>
      <c r="X552" t="n">
        <v>254330056</v>
      </c>
      <c r="Y552">
        <f>AT552</f>
        <v/>
      </c>
      <c r="AA552" t="n">
        <v>0</v>
      </c>
      <c r="AB552" t="n">
        <v>0</v>
      </c>
      <c r="AC552" t="n">
        <v>0</v>
      </c>
      <c r="AD552" t="n">
        <v>7.8</v>
      </c>
      <c r="AE552" t="n">
        <v>0</v>
      </c>
      <c r="AF552" t="n">
        <v>0</v>
      </c>
      <c r="AG552" t="n">
        <v>0</v>
      </c>
      <c r="AH552" t="n">
        <v>7.8</v>
      </c>
      <c r="AI552" t="n">
        <v>1</v>
      </c>
      <c r="AJ552" t="n">
        <v>1</v>
      </c>
      <c r="AK552" t="n">
        <v>1</v>
      </c>
      <c r="AL552" t="n">
        <v>1</v>
      </c>
      <c r="AM552" t="n">
        <v>-2</v>
      </c>
      <c r="AN552" t="n">
        <v>0</v>
      </c>
      <c r="AO552" t="n">
        <v>1</v>
      </c>
      <c r="AP552" t="n">
        <v>1</v>
      </c>
      <c r="AQ552" t="n">
        <v>0</v>
      </c>
      <c r="AR552" t="n">
        <v>0</v>
      </c>
      <c r="AS552" t="inlineStr"/>
      <c r="AT552" t="n">
        <v>2.54</v>
      </c>
      <c r="AU552" t="inlineStr"/>
      <c r="AV552" t="n">
        <v>1</v>
      </c>
      <c r="AW552" t="n">
        <v>2</v>
      </c>
      <c r="AX552" t="n">
        <v>78872647</v>
      </c>
      <c r="AY552" t="n">
        <v>1</v>
      </c>
      <c r="AZ552" t="n">
        <v>0</v>
      </c>
      <c r="BA552" t="n">
        <v>506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U552">
        <f>ROUND(AT552*Source!I1209*AH552*AL552,0)</f>
        <v/>
      </c>
      <c r="CV552">
        <f>ROUND(Y552*Source!I1209,7)</f>
        <v/>
      </c>
      <c r="CW552" t="n">
        <v>0</v>
      </c>
      <c r="CX552">
        <f>ROUND(Y552*Source!I1209,7)</f>
        <v/>
      </c>
      <c r="CY552">
        <f>AD552</f>
        <v/>
      </c>
      <c r="CZ552">
        <f>AH552</f>
        <v/>
      </c>
      <c r="DA552">
        <f>AL552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DI552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ROW(Source!A1209)</f>
        <v/>
      </c>
      <c r="B553" t="n">
        <v>78869116</v>
      </c>
      <c r="C553" t="n">
        <v>78872644</v>
      </c>
      <c r="D553" t="n">
        <v>29164349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509-9900</t>
        </is>
      </c>
      <c r="J553" t="inlineStr">
        <is>
          <t>ТССЦ Московской обл., 509-9900, приказ Минстроя России №675/пр от 28.02.2017 № 258/пр</t>
        </is>
      </c>
      <c r="K553" t="inlineStr">
        <is>
          <t>Строительный мусор</t>
        </is>
      </c>
      <c r="L553" t="n">
        <v>1348</v>
      </c>
      <c r="N553" t="n">
        <v>1009</v>
      </c>
      <c r="O553" t="inlineStr">
        <is>
          <t>т</t>
        </is>
      </c>
      <c r="P553" t="inlineStr">
        <is>
          <t>т</t>
        </is>
      </c>
      <c r="Q553" t="n">
        <v>1000</v>
      </c>
      <c r="W553" t="n">
        <v>0</v>
      </c>
      <c r="X553" t="n">
        <v>1876412176</v>
      </c>
      <c r="Y553">
        <f>AT553</f>
        <v/>
      </c>
      <c r="AA553" t="n">
        <v>0</v>
      </c>
      <c r="AB553" t="n">
        <v>0</v>
      </c>
      <c r="AC553" t="n">
        <v>0</v>
      </c>
      <c r="AD553" t="n">
        <v>0</v>
      </c>
      <c r="AE553" t="n">
        <v>0</v>
      </c>
      <c r="AF553" t="n">
        <v>0</v>
      </c>
      <c r="AG553" t="n">
        <v>0</v>
      </c>
      <c r="AH553" t="n">
        <v>0</v>
      </c>
      <c r="AI553" t="n">
        <v>1</v>
      </c>
      <c r="AJ553" t="n">
        <v>1</v>
      </c>
      <c r="AK553" t="n">
        <v>1</v>
      </c>
      <c r="AL553" t="n">
        <v>1</v>
      </c>
      <c r="AM553" t="n">
        <v>0</v>
      </c>
      <c r="AN553" t="n">
        <v>0</v>
      </c>
      <c r="AO553" t="n">
        <v>0</v>
      </c>
      <c r="AP553" t="n">
        <v>1</v>
      </c>
      <c r="AQ553" t="n">
        <v>0</v>
      </c>
      <c r="AR553" t="n">
        <v>0</v>
      </c>
      <c r="AS553" t="inlineStr"/>
      <c r="AT553" t="n">
        <v>0.004</v>
      </c>
      <c r="AU553" t="inlineStr"/>
      <c r="AV553" t="n">
        <v>0</v>
      </c>
      <c r="AW553" t="n">
        <v>2</v>
      </c>
      <c r="AX553" t="n">
        <v>78872648</v>
      </c>
      <c r="AY553" t="n">
        <v>1</v>
      </c>
      <c r="AZ553" t="n">
        <v>0</v>
      </c>
      <c r="BA553" t="n">
        <v>507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ROUND(Y553*Source!I1209,7)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ROW(Source!A1211)</f>
        <v/>
      </c>
      <c r="B554" t="n">
        <v>78869116</v>
      </c>
      <c r="C554" t="n">
        <v>78872621</v>
      </c>
      <c r="D554" t="n">
        <v>29361034</v>
      </c>
      <c r="E554" t="n">
        <v>1</v>
      </c>
      <c r="F554" t="n">
        <v>1</v>
      </c>
      <c r="G554" t="n">
        <v>1</v>
      </c>
      <c r="H554" t="n">
        <v>1</v>
      </c>
      <c r="I554" t="inlineStr">
        <is>
          <t>1-2038-90</t>
        </is>
      </c>
      <c r="J554" t="inlineStr"/>
      <c r="K554" t="inlineStr">
        <is>
          <t>Рабочий монтажник среднего разряда 3,8</t>
        </is>
      </c>
      <c r="L554" t="n">
        <v>1369</v>
      </c>
      <c r="N554" t="n">
        <v>1013</v>
      </c>
      <c r="O554" t="inlineStr">
        <is>
          <t>чел.-ч</t>
        </is>
      </c>
      <c r="P554" t="inlineStr">
        <is>
          <t>чел.-ч</t>
        </is>
      </c>
      <c r="Q554" t="n">
        <v>1</v>
      </c>
      <c r="W554" t="n">
        <v>0</v>
      </c>
      <c r="X554" t="n">
        <v>184923391</v>
      </c>
      <c r="Y554">
        <f>AT554</f>
        <v/>
      </c>
      <c r="AA554" t="n">
        <v>0</v>
      </c>
      <c r="AB554" t="n">
        <v>0</v>
      </c>
      <c r="AC554" t="n">
        <v>0</v>
      </c>
      <c r="AD554" t="n">
        <v>9.4</v>
      </c>
      <c r="AE554" t="n">
        <v>0</v>
      </c>
      <c r="AF554" t="n">
        <v>0</v>
      </c>
      <c r="AG554" t="n">
        <v>0</v>
      </c>
      <c r="AH554" t="n">
        <v>9.4</v>
      </c>
      <c r="AI554" t="n">
        <v>1</v>
      </c>
      <c r="AJ554" t="n">
        <v>1</v>
      </c>
      <c r="AK554" t="n">
        <v>1</v>
      </c>
      <c r="AL554" t="n">
        <v>1</v>
      </c>
      <c r="AM554" t="n">
        <v>-2</v>
      </c>
      <c r="AN554" t="n">
        <v>0</v>
      </c>
      <c r="AO554" t="n">
        <v>1</v>
      </c>
      <c r="AP554" t="n">
        <v>1</v>
      </c>
      <c r="AQ554" t="n">
        <v>0</v>
      </c>
      <c r="AR554" t="n">
        <v>0</v>
      </c>
      <c r="AS554" t="inlineStr"/>
      <c r="AT554" t="n">
        <v>16.5</v>
      </c>
      <c r="AU554" t="inlineStr"/>
      <c r="AV554" t="n">
        <v>1</v>
      </c>
      <c r="AW554" t="n">
        <v>2</v>
      </c>
      <c r="AX554" t="n">
        <v>78872633</v>
      </c>
      <c r="AY554" t="n">
        <v>1</v>
      </c>
      <c r="AZ554" t="n">
        <v>0</v>
      </c>
      <c r="BA554" t="n">
        <v>508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U554">
        <f>ROUND(AT554*Source!I1211*AH554*AL554,0)</f>
        <v/>
      </c>
      <c r="CV554">
        <f>ROUND(Y554*Source!I1211,7)</f>
        <v/>
      </c>
      <c r="CW554" t="n">
        <v>0</v>
      </c>
      <c r="CX554">
        <f>ROUND(Y554*Source!I1211,7)</f>
        <v/>
      </c>
      <c r="CY554">
        <f>AD554</f>
        <v/>
      </c>
      <c r="CZ554">
        <f>AH554</f>
        <v/>
      </c>
      <c r="DA554">
        <f>AL554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DI554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ROW(Source!A1211)</f>
        <v/>
      </c>
      <c r="B555" t="n">
        <v>78869116</v>
      </c>
      <c r="C555" t="n">
        <v>78872621</v>
      </c>
      <c r="D555" t="n">
        <v>121548</v>
      </c>
      <c r="E555" t="n">
        <v>1</v>
      </c>
      <c r="F555" t="n">
        <v>1</v>
      </c>
      <c r="G555" t="n">
        <v>1</v>
      </c>
      <c r="H555" t="n">
        <v>1</v>
      </c>
      <c r="I555" t="inlineStr">
        <is>
          <t>2</t>
        </is>
      </c>
      <c r="J555" t="inlineStr"/>
      <c r="K555" t="inlineStr">
        <is>
          <t>Затраты труда машинистов</t>
        </is>
      </c>
      <c r="L555" t="n">
        <v>608254</v>
      </c>
      <c r="N555" t="n">
        <v>1013</v>
      </c>
      <c r="O555" t="inlineStr">
        <is>
          <t>чел.час</t>
        </is>
      </c>
      <c r="P555" t="inlineStr">
        <is>
          <t>чел.час</t>
        </is>
      </c>
      <c r="Q555" t="n">
        <v>1</v>
      </c>
      <c r="W555" t="n">
        <v>0</v>
      </c>
      <c r="X555" t="n">
        <v>-185737400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-2</v>
      </c>
      <c r="AN555" t="n">
        <v>0</v>
      </c>
      <c r="AO555" t="n">
        <v>1</v>
      </c>
      <c r="AP555" t="n">
        <v>1</v>
      </c>
      <c r="AQ555" t="n">
        <v>0</v>
      </c>
      <c r="AR555" t="n">
        <v>0</v>
      </c>
      <c r="AS555" t="inlineStr"/>
      <c r="AT555" t="n">
        <v>0.02</v>
      </c>
      <c r="AU555" t="inlineStr"/>
      <c r="AV555" t="n">
        <v>2</v>
      </c>
      <c r="AW555" t="n">
        <v>2</v>
      </c>
      <c r="AX555" t="n">
        <v>78872634</v>
      </c>
      <c r="AY555" t="n">
        <v>1</v>
      </c>
      <c r="AZ555" t="n">
        <v>0</v>
      </c>
      <c r="BA555" t="n">
        <v>509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ROUND(Y555*Source!I1211,7)</f>
        <v/>
      </c>
      <c r="CY555">
        <f>AD555</f>
        <v/>
      </c>
      <c r="CZ555">
        <f>AH555</f>
        <v/>
      </c>
      <c r="DA555">
        <f>AL555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DI555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ROW(Source!A1211)</f>
        <v/>
      </c>
      <c r="B556" t="n">
        <v>78869116</v>
      </c>
      <c r="C556" t="n">
        <v>78872621</v>
      </c>
      <c r="D556" t="n">
        <v>29172362</v>
      </c>
      <c r="E556" t="n">
        <v>1</v>
      </c>
      <c r="F556" t="n">
        <v>1</v>
      </c>
      <c r="G556" t="n">
        <v>1</v>
      </c>
      <c r="H556" t="n">
        <v>2</v>
      </c>
      <c r="I556" t="inlineStr">
        <is>
          <t>021102</t>
        </is>
      </c>
      <c r="J556" t="inlineStr">
        <is>
          <t>ТСЭМ Московской обл., 021102, приказ Минстроя России №675/пр от 28.02.2017 № 264/пр</t>
        </is>
      </c>
      <c r="K556" t="inlineStr">
        <is>
          <t>Краны на автомобильном ходу при работе на монтаже технологического оборудования 10 т</t>
        </is>
      </c>
      <c r="L556" t="n">
        <v>1368</v>
      </c>
      <c r="N556" t="n">
        <v>1011</v>
      </c>
      <c r="O556" t="inlineStr">
        <is>
          <t>маш.-ч</t>
        </is>
      </c>
      <c r="P556" t="inlineStr">
        <is>
          <t>маш.-ч</t>
        </is>
      </c>
      <c r="Q556" t="n">
        <v>1</v>
      </c>
      <c r="W556" t="n">
        <v>0</v>
      </c>
      <c r="X556" t="n">
        <v>783836208</v>
      </c>
      <c r="Y556">
        <f>AT556</f>
        <v/>
      </c>
      <c r="AA556" t="n">
        <v>0</v>
      </c>
      <c r="AB556" t="n">
        <v>1504.04</v>
      </c>
      <c r="AC556" t="n">
        <v>705.38</v>
      </c>
      <c r="AD556" t="n">
        <v>0</v>
      </c>
      <c r="AE556" t="n">
        <v>0</v>
      </c>
      <c r="AF556" t="n">
        <v>134.65</v>
      </c>
      <c r="AG556" t="n">
        <v>13.5</v>
      </c>
      <c r="AH556" t="n">
        <v>0</v>
      </c>
      <c r="AI556" t="n">
        <v>1</v>
      </c>
      <c r="AJ556" t="n">
        <v>11.17</v>
      </c>
      <c r="AK556" t="n">
        <v>52.25</v>
      </c>
      <c r="AL556" t="n">
        <v>1</v>
      </c>
      <c r="AM556" t="n">
        <v>2</v>
      </c>
      <c r="AN556" t="n">
        <v>0</v>
      </c>
      <c r="AO556" t="n">
        <v>1</v>
      </c>
      <c r="AP556" t="n">
        <v>1</v>
      </c>
      <c r="AQ556" t="n">
        <v>0</v>
      </c>
      <c r="AR556" t="n">
        <v>0</v>
      </c>
      <c r="AS556" t="inlineStr"/>
      <c r="AT556" t="n">
        <v>0.02</v>
      </c>
      <c r="AU556" t="inlineStr"/>
      <c r="AV556" t="n">
        <v>0</v>
      </c>
      <c r="AW556" t="n">
        <v>2</v>
      </c>
      <c r="AX556" t="n">
        <v>78872635</v>
      </c>
      <c r="AY556" t="n">
        <v>1</v>
      </c>
      <c r="AZ556" t="n">
        <v>0</v>
      </c>
      <c r="BA556" t="n">
        <v>510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V556" t="n">
        <v>0</v>
      </c>
      <c r="CW556">
        <f>ROUND(Y556*Source!I1211*DO556,7)</f>
        <v/>
      </c>
      <c r="CX556">
        <f>ROUND(Y556*Source!I1211,7)</f>
        <v/>
      </c>
      <c r="CY556">
        <f>AB556</f>
        <v/>
      </c>
      <c r="CZ556">
        <f>AF556</f>
        <v/>
      </c>
      <c r="DA556">
        <f>AJ556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ROUND(ROUND(AF556*AJ556,0)*CX556,0)</f>
        <v/>
      </c>
      <c r="DH556">
        <f>ROUND(ROUND(AG556*AK556,0)*CX556,0)</f>
        <v/>
      </c>
      <c r="DI556">
        <f>ROUND(ROUND(AH556,0)*CX556,0)</f>
        <v/>
      </c>
      <c r="DJ556">
        <f>DG556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ROW(Source!A1211)</f>
        <v/>
      </c>
      <c r="B557" t="n">
        <v>78869116</v>
      </c>
      <c r="C557" t="n">
        <v>78872621</v>
      </c>
      <c r="D557" t="n">
        <v>29174913</v>
      </c>
      <c r="E557" t="n">
        <v>1</v>
      </c>
      <c r="F557" t="n">
        <v>1</v>
      </c>
      <c r="G557" t="n">
        <v>1</v>
      </c>
      <c r="H557" t="n">
        <v>2</v>
      </c>
      <c r="I557" t="inlineStr">
        <is>
          <t>400001</t>
        </is>
      </c>
      <c r="J557" t="inlineStr">
        <is>
          <t>ТСЭМ Московской обл., 400001, приказ Минстроя России №675/пр от 28.02.2017 № 264/пр</t>
        </is>
      </c>
      <c r="K557" t="inlineStr">
        <is>
          <t>Автомобили бортовые, грузоподъемность до 5 т</t>
        </is>
      </c>
      <c r="L557" t="n">
        <v>1368</v>
      </c>
      <c r="N557" t="n">
        <v>1011</v>
      </c>
      <c r="O557" t="inlineStr">
        <is>
          <t>маш.-ч</t>
        </is>
      </c>
      <c r="P557" t="inlineStr">
        <is>
          <t>маш.-ч</t>
        </is>
      </c>
      <c r="Q557" t="n">
        <v>1</v>
      </c>
      <c r="W557" t="n">
        <v>0</v>
      </c>
      <c r="X557" t="n">
        <v>1230759911</v>
      </c>
      <c r="Y557">
        <f>AT557</f>
        <v/>
      </c>
      <c r="AA557" t="n">
        <v>0</v>
      </c>
      <c r="AB557" t="n">
        <v>2177.51</v>
      </c>
      <c r="AC557" t="n">
        <v>606.1</v>
      </c>
      <c r="AD557" t="n">
        <v>0</v>
      </c>
      <c r="AE557" t="n">
        <v>0</v>
      </c>
      <c r="AF557" t="n">
        <v>87.17</v>
      </c>
      <c r="AG557" t="n">
        <v>11.6</v>
      </c>
      <c r="AH557" t="n">
        <v>0</v>
      </c>
      <c r="AI557" t="n">
        <v>1</v>
      </c>
      <c r="AJ557" t="n">
        <v>24.98</v>
      </c>
      <c r="AK557" t="n">
        <v>52.25</v>
      </c>
      <c r="AL557" t="n">
        <v>1</v>
      </c>
      <c r="AM557" t="n">
        <v>2</v>
      </c>
      <c r="AN557" t="n">
        <v>0</v>
      </c>
      <c r="AO557" t="n">
        <v>1</v>
      </c>
      <c r="AP557" t="n">
        <v>1</v>
      </c>
      <c r="AQ557" t="n">
        <v>0</v>
      </c>
      <c r="AR557" t="n">
        <v>0</v>
      </c>
      <c r="AS557" t="inlineStr"/>
      <c r="AT557" t="n">
        <v>0.02</v>
      </c>
      <c r="AU557" t="inlineStr"/>
      <c r="AV557" t="n">
        <v>0</v>
      </c>
      <c r="AW557" t="n">
        <v>2</v>
      </c>
      <c r="AX557" t="n">
        <v>78872636</v>
      </c>
      <c r="AY557" t="n">
        <v>1</v>
      </c>
      <c r="AZ557" t="n">
        <v>0</v>
      </c>
      <c r="BA557" t="n">
        <v>511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>
        <f>ROUND(Y557*Source!I1211*DO557,7)</f>
        <v/>
      </c>
      <c r="CX557">
        <f>ROUND(Y557*Source!I1211,7)</f>
        <v/>
      </c>
      <c r="CY557">
        <f>AB557</f>
        <v/>
      </c>
      <c r="CZ557">
        <f>AF557</f>
        <v/>
      </c>
      <c r="DA557">
        <f>AJ557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ROUND(ROUND(AF557*AJ557,0)*CX557,0)</f>
        <v/>
      </c>
      <c r="DH557">
        <f>ROUND(ROUND(AG557*AK557,0)*CX557,0)</f>
        <v/>
      </c>
      <c r="DI557">
        <f>ROUND(ROUND(AH557,0)*CX557,0)</f>
        <v/>
      </c>
      <c r="DJ557">
        <f>DG557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ROW(Source!A1211)</f>
        <v/>
      </c>
      <c r="B558" t="n">
        <v>78869116</v>
      </c>
      <c r="C558" t="n">
        <v>78872621</v>
      </c>
      <c r="D558" t="n">
        <v>29110426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101-2143</t>
        </is>
      </c>
      <c r="J558" t="inlineStr">
        <is>
          <t>ТССЦ Московской обл., 101-2143, приказ Минстроя России №675/пр от 28.02.2017 № 254/пр</t>
        </is>
      </c>
      <c r="K558" t="inlineStr">
        <is>
          <t>Краска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W558" t="n">
        <v>0</v>
      </c>
      <c r="X558" t="n">
        <v>-1768004575</v>
      </c>
      <c r="Y558">
        <f>AT558</f>
        <v/>
      </c>
      <c r="AA558" t="n">
        <v>76.84</v>
      </c>
      <c r="AB558" t="n">
        <v>0</v>
      </c>
      <c r="AC558" t="n">
        <v>0</v>
      </c>
      <c r="AD558" t="n">
        <v>0</v>
      </c>
      <c r="AE558" t="n">
        <v>28.67</v>
      </c>
      <c r="AF558" t="n">
        <v>0</v>
      </c>
      <c r="AG558" t="n">
        <v>0</v>
      </c>
      <c r="AH558" t="n">
        <v>0</v>
      </c>
      <c r="AI558" t="n">
        <v>2.68</v>
      </c>
      <c r="AJ558" t="n">
        <v>1</v>
      </c>
      <c r="AK558" t="n">
        <v>1</v>
      </c>
      <c r="AL558" t="n">
        <v>1</v>
      </c>
      <c r="AM558" t="n">
        <v>2</v>
      </c>
      <c r="AN558" t="n">
        <v>0</v>
      </c>
      <c r="AO558" t="n">
        <v>1</v>
      </c>
      <c r="AP558" t="n">
        <v>1</v>
      </c>
      <c r="AQ558" t="n">
        <v>0</v>
      </c>
      <c r="AR558" t="n">
        <v>0</v>
      </c>
      <c r="AS558" t="inlineStr"/>
      <c r="AT558" t="n">
        <v>0.3</v>
      </c>
      <c r="AU558" t="inlineStr"/>
      <c r="AV558" t="n">
        <v>0</v>
      </c>
      <c r="AW558" t="n">
        <v>2</v>
      </c>
      <c r="AX558" t="n">
        <v>78872637</v>
      </c>
      <c r="AY558" t="n">
        <v>1</v>
      </c>
      <c r="AZ558" t="n">
        <v>0</v>
      </c>
      <c r="BA558" t="n">
        <v>512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 t="n">
        <v>0</v>
      </c>
      <c r="CX558">
        <f>ROUND(Y558*Source!I1211,7)</f>
        <v/>
      </c>
      <c r="CY558">
        <f>AA558</f>
        <v/>
      </c>
      <c r="CZ558">
        <f>AE558</f>
        <v/>
      </c>
      <c r="DA558">
        <f>AI558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ROUND(ROUND(AE558*AI558,0)*CX558,0)</f>
        <v/>
      </c>
      <c r="DG558">
        <f>ROUND(ROUND(AF558,0)*CX558,0)</f>
        <v/>
      </c>
      <c r="DH558">
        <f>ROUND(ROUND(AG558,0)*CX558,0)</f>
        <v/>
      </c>
      <c r="DI558">
        <f>ROUND(ROUND(AH558,0)*CX558,0)</f>
        <v/>
      </c>
      <c r="DJ558">
        <f>DF558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ROW(Source!A1211)</f>
        <v/>
      </c>
      <c r="B559" t="n">
        <v>78869116</v>
      </c>
      <c r="C559" t="n">
        <v>78872621</v>
      </c>
      <c r="D559" t="n">
        <v>29149204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405-0219</t>
        </is>
      </c>
      <c r="J559" t="inlineStr">
        <is>
          <t>ТССЦ Московской обл., 405-0219, приказ Минстроя России №675/пр от 28.02.2017 № 257/пр</t>
        </is>
      </c>
      <c r="K559" t="inlineStr">
        <is>
          <t>Гипсовые вяжущие, марка Г3</t>
        </is>
      </c>
      <c r="L559" t="n">
        <v>1348</v>
      </c>
      <c r="N559" t="n">
        <v>1009</v>
      </c>
      <c r="O559" t="inlineStr">
        <is>
          <t>т</t>
        </is>
      </c>
      <c r="P559" t="inlineStr">
        <is>
          <t>т</t>
        </is>
      </c>
      <c r="Q559" t="n">
        <v>1000</v>
      </c>
      <c r="W559" t="n">
        <v>0</v>
      </c>
      <c r="X559" t="n">
        <v>-601557392</v>
      </c>
      <c r="Y559">
        <f>AT559</f>
        <v/>
      </c>
      <c r="AA559" t="n">
        <v>5482.15</v>
      </c>
      <c r="AB559" t="n">
        <v>0</v>
      </c>
      <c r="AC559" t="n">
        <v>0</v>
      </c>
      <c r="AD559" t="n">
        <v>0</v>
      </c>
      <c r="AE559" t="n">
        <v>729.98</v>
      </c>
      <c r="AF559" t="n">
        <v>0</v>
      </c>
      <c r="AG559" t="n">
        <v>0</v>
      </c>
      <c r="AH559" t="n">
        <v>0</v>
      </c>
      <c r="AI559" t="n">
        <v>7.51</v>
      </c>
      <c r="AJ559" t="n">
        <v>1</v>
      </c>
      <c r="AK559" t="n">
        <v>1</v>
      </c>
      <c r="AL559" t="n">
        <v>1</v>
      </c>
      <c r="AM559" t="n">
        <v>2</v>
      </c>
      <c r="AN559" t="n">
        <v>0</v>
      </c>
      <c r="AO559" t="n">
        <v>1</v>
      </c>
      <c r="AP559" t="n">
        <v>1</v>
      </c>
      <c r="AQ559" t="n">
        <v>0</v>
      </c>
      <c r="AR559" t="n">
        <v>0</v>
      </c>
      <c r="AS559" t="inlineStr"/>
      <c r="AT559" t="n">
        <v>0.01</v>
      </c>
      <c r="AU559" t="inlineStr"/>
      <c r="AV559" t="n">
        <v>0</v>
      </c>
      <c r="AW559" t="n">
        <v>2</v>
      </c>
      <c r="AX559" t="n">
        <v>78872638</v>
      </c>
      <c r="AY559" t="n">
        <v>1</v>
      </c>
      <c r="AZ559" t="n">
        <v>0</v>
      </c>
      <c r="BA559" t="n">
        <v>513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 t="n">
        <v>0</v>
      </c>
      <c r="CX559">
        <f>ROUND(Y559*Source!I1211,7)</f>
        <v/>
      </c>
      <c r="CY559">
        <f>AA559</f>
        <v/>
      </c>
      <c r="CZ559">
        <f>AE559</f>
        <v/>
      </c>
      <c r="DA559">
        <f>AI559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ROUND(ROUND(AE559*AI559,0)*CX559,0)</f>
        <v/>
      </c>
      <c r="DG559">
        <f>ROUND(ROUND(AF559,0)*CX559,0)</f>
        <v/>
      </c>
      <c r="DH559">
        <f>ROUND(ROUND(AG559,0)*CX559,0)</f>
        <v/>
      </c>
      <c r="DI559">
        <f>ROUND(ROUND(AH559,0)*CX559,0)</f>
        <v/>
      </c>
      <c r="DJ559">
        <f>DF559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ROW(Source!A1211)</f>
        <v/>
      </c>
      <c r="B560" t="n">
        <v>78869116</v>
      </c>
      <c r="C560" t="n">
        <v>78872621</v>
      </c>
      <c r="D560" t="n">
        <v>29152127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501-8647</t>
        </is>
      </c>
      <c r="J560" t="inlineStr">
        <is>
          <t>ТССЦ Московской обл., 501-8647, приказ Минстроя России №675/пр от 28.02.2017 № 258/пр</t>
        </is>
      </c>
      <c r="K56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560" t="n">
        <v>1477</v>
      </c>
      <c r="N560" t="n">
        <v>1013</v>
      </c>
      <c r="O560" t="inlineStr">
        <is>
          <t>1000 м</t>
        </is>
      </c>
      <c r="P560" t="inlineStr">
        <is>
          <t>1000 М</t>
        </is>
      </c>
      <c r="Q560" t="n">
        <v>1</v>
      </c>
      <c r="W560" t="n">
        <v>0</v>
      </c>
      <c r="X560" t="n">
        <v>1820439132</v>
      </c>
      <c r="Y560">
        <f>AT560</f>
        <v/>
      </c>
      <c r="AA560" t="n">
        <v>53866.36</v>
      </c>
      <c r="AB560" t="n">
        <v>0</v>
      </c>
      <c r="AC560" t="n">
        <v>0</v>
      </c>
      <c r="AD560" t="n">
        <v>0</v>
      </c>
      <c r="AE560" t="n">
        <v>3379.32</v>
      </c>
      <c r="AF560" t="n">
        <v>0</v>
      </c>
      <c r="AG560" t="n">
        <v>0</v>
      </c>
      <c r="AH560" t="n">
        <v>0</v>
      </c>
      <c r="AI560" t="n">
        <v>15.94</v>
      </c>
      <c r="AJ560" t="n">
        <v>1</v>
      </c>
      <c r="AK560" t="n">
        <v>1</v>
      </c>
      <c r="AL560" t="n">
        <v>1</v>
      </c>
      <c r="AM560" t="n">
        <v>0</v>
      </c>
      <c r="AN560" t="n">
        <v>0</v>
      </c>
      <c r="AO560" t="n">
        <v>0</v>
      </c>
      <c r="AP560" t="n">
        <v>1</v>
      </c>
      <c r="AQ560" t="n">
        <v>0</v>
      </c>
      <c r="AR560" t="n">
        <v>0</v>
      </c>
      <c r="AS560" t="inlineStr"/>
      <c r="AT560" t="n">
        <v>1</v>
      </c>
      <c r="AU560" t="inlineStr"/>
      <c r="AV560" t="n">
        <v>0</v>
      </c>
      <c r="AW560" t="n">
        <v>1</v>
      </c>
      <c r="AX560" t="n">
        <v>-1</v>
      </c>
      <c r="AY560" t="n">
        <v>0</v>
      </c>
      <c r="AZ560" t="n">
        <v>0</v>
      </c>
      <c r="BA560" t="inlineStr"/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ROUND(Y560*Source!I1211,7)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ROW(Source!A1211)</f>
        <v/>
      </c>
      <c r="B561" t="n">
        <v>78869116</v>
      </c>
      <c r="C561" t="n">
        <v>78872621</v>
      </c>
      <c r="D561" t="n">
        <v>29159012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507-0700</t>
        </is>
      </c>
      <c r="J561" t="inlineStr">
        <is>
          <t>ТССЦ Московской обл., 507-0700, приказ Минстроя России №675/пр от 28.02.2017 № 258/пр</t>
        </is>
      </c>
      <c r="K561" t="inlineStr">
        <is>
          <t>Трубка поливинилхлоридная ХВТ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W561" t="n">
        <v>0</v>
      </c>
      <c r="X561" t="n">
        <v>-821506530</v>
      </c>
      <c r="Y561">
        <f>AT561</f>
        <v/>
      </c>
      <c r="AA561" t="n">
        <v>202.83</v>
      </c>
      <c r="AB561" t="n">
        <v>0</v>
      </c>
      <c r="AC561" t="n">
        <v>0</v>
      </c>
      <c r="AD561" t="n">
        <v>0</v>
      </c>
      <c r="AE561" t="n">
        <v>41.82</v>
      </c>
      <c r="AF561" t="n">
        <v>0</v>
      </c>
      <c r="AG561" t="n">
        <v>0</v>
      </c>
      <c r="AH561" t="n">
        <v>0</v>
      </c>
      <c r="AI561" t="n">
        <v>4.85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1</v>
      </c>
      <c r="AQ561" t="n">
        <v>0</v>
      </c>
      <c r="AR561" t="n">
        <v>0</v>
      </c>
      <c r="AS561" t="inlineStr"/>
      <c r="AT561" t="n">
        <v>0.53</v>
      </c>
      <c r="AU561" t="inlineStr"/>
      <c r="AV561" t="n">
        <v>0</v>
      </c>
      <c r="AW561" t="n">
        <v>2</v>
      </c>
      <c r="AX561" t="n">
        <v>78872639</v>
      </c>
      <c r="AY561" t="n">
        <v>1</v>
      </c>
      <c r="AZ561" t="n">
        <v>0</v>
      </c>
      <c r="BA561" t="n">
        <v>514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ROUND(Y561*Source!I1211,7)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ROW(Source!A1211)</f>
        <v/>
      </c>
      <c r="B562" t="n">
        <v>78869116</v>
      </c>
      <c r="C562" t="n">
        <v>78872621</v>
      </c>
      <c r="D562" t="n">
        <v>29171808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999-9950</t>
        </is>
      </c>
      <c r="J562" t="inlineStr">
        <is>
          <t>ТССЦ Московской обл., 999-9950, приказ Минстроя России №675/пр от 21.09.2015 г.</t>
        </is>
      </c>
      <c r="K562" t="inlineStr">
        <is>
          <t>Вспомогательные ненормируемые материалы (2% от ОЗП)</t>
        </is>
      </c>
      <c r="L562" t="n">
        <v>1374</v>
      </c>
      <c r="N562" t="n">
        <v>1013</v>
      </c>
      <c r="O562" t="inlineStr">
        <is>
          <t>РУБ</t>
        </is>
      </c>
      <c r="P562" t="inlineStr">
        <is>
          <t>РУБ</t>
        </is>
      </c>
      <c r="Q562" t="n">
        <v>1</v>
      </c>
      <c r="W562" t="n">
        <v>0</v>
      </c>
      <c r="X562" t="n">
        <v>-915781824</v>
      </c>
      <c r="Y562">
        <f>AT562</f>
        <v/>
      </c>
      <c r="AA562" t="n">
        <v>1</v>
      </c>
      <c r="AB562" t="n">
        <v>0</v>
      </c>
      <c r="AC562" t="n">
        <v>0</v>
      </c>
      <c r="AD562" t="n">
        <v>0</v>
      </c>
      <c r="AE562" t="n">
        <v>1</v>
      </c>
      <c r="AF562" t="n">
        <v>0</v>
      </c>
      <c r="AG562" t="n">
        <v>0</v>
      </c>
      <c r="AH562" t="n">
        <v>0</v>
      </c>
      <c r="AI562" t="n">
        <v>1</v>
      </c>
      <c r="AJ562" t="n">
        <v>1</v>
      </c>
      <c r="AK562" t="n">
        <v>1</v>
      </c>
      <c r="AL562" t="n">
        <v>1</v>
      </c>
      <c r="AM562" t="n">
        <v>-2</v>
      </c>
      <c r="AN562" t="n">
        <v>0</v>
      </c>
      <c r="AO562" t="n">
        <v>1</v>
      </c>
      <c r="AP562" t="n">
        <v>1</v>
      </c>
      <c r="AQ562" t="n">
        <v>0</v>
      </c>
      <c r="AR562" t="n">
        <v>0</v>
      </c>
      <c r="AS562" t="inlineStr"/>
      <c r="AT562" t="n">
        <v>3.1</v>
      </c>
      <c r="AU562" t="inlineStr"/>
      <c r="AV562" t="n">
        <v>0</v>
      </c>
      <c r="AW562" t="n">
        <v>2</v>
      </c>
      <c r="AX562" t="n">
        <v>78872640</v>
      </c>
      <c r="AY562" t="n">
        <v>1</v>
      </c>
      <c r="AZ562" t="n">
        <v>0</v>
      </c>
      <c r="BA562" t="n">
        <v>515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ROUND(Y562*Source!I1211,7)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ROW(Source!A1213)</f>
        <v/>
      </c>
      <c r="B563" t="n">
        <v>78869116</v>
      </c>
      <c r="C563" t="n">
        <v>78872504</v>
      </c>
      <c r="D563" t="n">
        <v>18442827</v>
      </c>
      <c r="E563" t="n">
        <v>1</v>
      </c>
      <c r="F563" t="n">
        <v>1</v>
      </c>
      <c r="G563" t="n">
        <v>1</v>
      </c>
      <c r="H563" t="n">
        <v>1</v>
      </c>
      <c r="I563" t="inlineStr">
        <is>
          <t>1-1053-90</t>
        </is>
      </c>
      <c r="J563" t="inlineStr"/>
      <c r="K563" t="inlineStr">
        <is>
          <t>Рабочий строитель среднего разряда 5,3</t>
        </is>
      </c>
      <c r="L563" t="n">
        <v>1369</v>
      </c>
      <c r="N563" t="n">
        <v>1013</v>
      </c>
      <c r="O563" t="inlineStr">
        <is>
          <t>чел.-ч</t>
        </is>
      </c>
      <c r="P563" t="inlineStr">
        <is>
          <t>чел.-ч</t>
        </is>
      </c>
      <c r="Q563" t="n">
        <v>1</v>
      </c>
      <c r="W563" t="n">
        <v>0</v>
      </c>
      <c r="X563" t="n">
        <v>717490484</v>
      </c>
      <c r="Y563">
        <f>(AT563*ROUND(7,7))</f>
        <v/>
      </c>
      <c r="AA563" t="n">
        <v>0</v>
      </c>
      <c r="AB563" t="n">
        <v>0</v>
      </c>
      <c r="AC563" t="n">
        <v>0</v>
      </c>
      <c r="AD563" t="n">
        <v>11.64</v>
      </c>
      <c r="AE563" t="n">
        <v>0</v>
      </c>
      <c r="AF563" t="n">
        <v>0</v>
      </c>
      <c r="AG563" t="n">
        <v>0</v>
      </c>
      <c r="AH563" t="n">
        <v>11.64</v>
      </c>
      <c r="AI563" t="n">
        <v>1</v>
      </c>
      <c r="AJ563" t="n">
        <v>1</v>
      </c>
      <c r="AK563" t="n">
        <v>1</v>
      </c>
      <c r="AL563" t="n">
        <v>1</v>
      </c>
      <c r="AM563" t="n">
        <v>-2</v>
      </c>
      <c r="AN563" t="n">
        <v>0</v>
      </c>
      <c r="AO563" t="n">
        <v>1</v>
      </c>
      <c r="AP563" t="n">
        <v>1</v>
      </c>
      <c r="AQ563" t="n">
        <v>0</v>
      </c>
      <c r="AR563" t="n">
        <v>0</v>
      </c>
      <c r="AS563" t="inlineStr"/>
      <c r="AT563" t="n">
        <v>5.01</v>
      </c>
      <c r="AU563" t="inlineStr">
        <is>
          <t>)*7</t>
        </is>
      </c>
      <c r="AV563" t="n">
        <v>1</v>
      </c>
      <c r="AW563" t="n">
        <v>2</v>
      </c>
      <c r="AX563" t="n">
        <v>78872511</v>
      </c>
      <c r="AY563" t="n">
        <v>1</v>
      </c>
      <c r="AZ563" t="n">
        <v>0</v>
      </c>
      <c r="BA563" t="n">
        <v>516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U563">
        <f>ROUND(AT563*Source!I1213*AH563*AL563,0)</f>
        <v/>
      </c>
      <c r="CV563">
        <f>ROUND(Y563*Source!I1213,7)</f>
        <v/>
      </c>
      <c r="CW563" t="n">
        <v>0</v>
      </c>
      <c r="CX563">
        <f>ROUND(Y563*Source!I1213,7)</f>
        <v/>
      </c>
      <c r="CY563">
        <f>AD563</f>
        <v/>
      </c>
      <c r="CZ563">
        <f>AH563</f>
        <v/>
      </c>
      <c r="DA563">
        <f>AL563</f>
        <v/>
      </c>
      <c r="DB563">
        <f>ROUND((ROUND(AT563*CZ563,2)*ROUND(7,7)),2)</f>
        <v/>
      </c>
      <c r="DC563">
        <f>ROUND((ROUND(AT563*AG563,2)*ROUND(7,7)),2)</f>
        <v/>
      </c>
      <c r="DD563" t="inlineStr"/>
      <c r="DE563" t="inlineStr"/>
      <c r="DF563">
        <f>ROUND(ROUND(AE563,0)*CX563,0)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DI563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ROW(Source!A1213)</f>
        <v/>
      </c>
      <c r="B564" t="n">
        <v>78869116</v>
      </c>
      <c r="C564" t="n">
        <v>78872504</v>
      </c>
      <c r="D564" t="n">
        <v>29172703</v>
      </c>
      <c r="E564" t="n">
        <v>1</v>
      </c>
      <c r="F564" t="n">
        <v>1</v>
      </c>
      <c r="G564" t="n">
        <v>1</v>
      </c>
      <c r="H564" t="n">
        <v>2</v>
      </c>
      <c r="I564" t="inlineStr">
        <is>
          <t>042900</t>
        </is>
      </c>
      <c r="J564" t="inlineStr">
        <is>
          <t>ТСЭМ Московской обл., 042900, приказ Минстроя России №675/пр от 28.02.2017 № 264/пр</t>
        </is>
      </c>
      <c r="K56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4" t="n">
        <v>1368</v>
      </c>
      <c r="N564" t="n">
        <v>1011</v>
      </c>
      <c r="O564" t="inlineStr">
        <is>
          <t>маш.-ч</t>
        </is>
      </c>
      <c r="P564" t="inlineStr">
        <is>
          <t>маш.-ч</t>
        </is>
      </c>
      <c r="Q564" t="n">
        <v>1</v>
      </c>
      <c r="W564" t="n">
        <v>0</v>
      </c>
      <c r="X564" t="n">
        <v>1695838894</v>
      </c>
      <c r="Y564">
        <f>(AT564*ROUND(7,7))</f>
        <v/>
      </c>
      <c r="AA564" t="n">
        <v>0</v>
      </c>
      <c r="AB564" t="n">
        <v>177.13</v>
      </c>
      <c r="AC564" t="n">
        <v>0</v>
      </c>
      <c r="AD564" t="n">
        <v>0</v>
      </c>
      <c r="AE564" t="n">
        <v>0</v>
      </c>
      <c r="AF564" t="n">
        <v>29.67</v>
      </c>
      <c r="AG564" t="n">
        <v>0</v>
      </c>
      <c r="AH564" t="n">
        <v>0</v>
      </c>
      <c r="AI564" t="n">
        <v>1</v>
      </c>
      <c r="AJ564" t="n">
        <v>5.97</v>
      </c>
      <c r="AK564" t="n">
        <v>52.25</v>
      </c>
      <c r="AL564" t="n">
        <v>1</v>
      </c>
      <c r="AM564" t="n">
        <v>2</v>
      </c>
      <c r="AN564" t="n">
        <v>0</v>
      </c>
      <c r="AO564" t="n">
        <v>1</v>
      </c>
      <c r="AP564" t="n">
        <v>1</v>
      </c>
      <c r="AQ564" t="n">
        <v>0</v>
      </c>
      <c r="AR564" t="n">
        <v>0</v>
      </c>
      <c r="AS564" t="inlineStr"/>
      <c r="AT564" t="n">
        <v>1.5</v>
      </c>
      <c r="AU564" t="inlineStr">
        <is>
          <t>)*7</t>
        </is>
      </c>
      <c r="AV564" t="n">
        <v>0</v>
      </c>
      <c r="AW564" t="n">
        <v>2</v>
      </c>
      <c r="AX564" t="n">
        <v>78872512</v>
      </c>
      <c r="AY564" t="n">
        <v>1</v>
      </c>
      <c r="AZ564" t="n">
        <v>0</v>
      </c>
      <c r="BA564" t="n">
        <v>517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>
        <f>ROUND(Y564*Source!I1213*DO564,7)</f>
        <v/>
      </c>
      <c r="CX564">
        <f>ROUND(Y564*Source!I1213,7)</f>
        <v/>
      </c>
      <c r="CY564">
        <f>AB564</f>
        <v/>
      </c>
      <c r="CZ564">
        <f>AF564</f>
        <v/>
      </c>
      <c r="DA564">
        <f>AJ564</f>
        <v/>
      </c>
      <c r="DB564">
        <f>ROUND((ROUND(AT564*CZ564,2)*ROUND(7,7)),2)</f>
        <v/>
      </c>
      <c r="DC564">
        <f>ROUND((ROUND(AT564*AG564,2)*ROUND(7,7)),2)</f>
        <v/>
      </c>
      <c r="DD564" t="inlineStr"/>
      <c r="DE564" t="inlineStr"/>
      <c r="DF564">
        <f>ROUND(ROUND(AE564,0)*CX564,0)</f>
        <v/>
      </c>
      <c r="DG564">
        <f>ROUND(ROUND(AF564*AJ564,0)*CX564,0)</f>
        <v/>
      </c>
      <c r="DH564">
        <f>ROUND(ROUND(AG564*AK564,0)*CX564,0)</f>
        <v/>
      </c>
      <c r="DI564">
        <f>ROUND(ROUND(AH564,0)*CX564,0)</f>
        <v/>
      </c>
      <c r="DJ564">
        <f>DG564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ROW(Source!A1213)</f>
        <v/>
      </c>
      <c r="B565" t="n">
        <v>78869116</v>
      </c>
      <c r="C565" t="n">
        <v>78872504</v>
      </c>
      <c r="D565" t="n">
        <v>29110398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101-0388</t>
        </is>
      </c>
      <c r="J565" t="inlineStr">
        <is>
          <t>ТССЦ Московской обл., 101-0388, приказ Минстроя России №675/пр от 28.02.2017 № 254/пр</t>
        </is>
      </c>
      <c r="K565" t="inlineStr">
        <is>
          <t>Краски масляные земляные марки МА-0115 мумия, сурик железный</t>
        </is>
      </c>
      <c r="L565" t="n">
        <v>1348</v>
      </c>
      <c r="N565" t="n">
        <v>1009</v>
      </c>
      <c r="O565" t="inlineStr">
        <is>
          <t>т</t>
        </is>
      </c>
      <c r="P565" t="inlineStr">
        <is>
          <t>т</t>
        </is>
      </c>
      <c r="Q565" t="n">
        <v>1000</v>
      </c>
      <c r="W565" t="n">
        <v>0</v>
      </c>
      <c r="X565" t="n">
        <v>1625292450</v>
      </c>
      <c r="Y565">
        <f>(AT565*ROUND(7,7))</f>
        <v/>
      </c>
      <c r="AA565" t="n">
        <v>76804.47</v>
      </c>
      <c r="AB565" t="n">
        <v>0</v>
      </c>
      <c r="AC565" t="n">
        <v>0</v>
      </c>
      <c r="AD565" t="n">
        <v>0</v>
      </c>
      <c r="AE565" t="n">
        <v>15118.99</v>
      </c>
      <c r="AF565" t="n">
        <v>0</v>
      </c>
      <c r="AG565" t="n">
        <v>0</v>
      </c>
      <c r="AH565" t="n">
        <v>0</v>
      </c>
      <c r="AI565" t="n">
        <v>5.08</v>
      </c>
      <c r="AJ565" t="n">
        <v>1</v>
      </c>
      <c r="AK565" t="n">
        <v>1</v>
      </c>
      <c r="AL565" t="n">
        <v>1</v>
      </c>
      <c r="AM565" t="n">
        <v>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5e-05</v>
      </c>
      <c r="AU565" t="inlineStr">
        <is>
          <t>)*7</t>
        </is>
      </c>
      <c r="AV565" t="n">
        <v>0</v>
      </c>
      <c r="AW565" t="n">
        <v>2</v>
      </c>
      <c r="AX565" t="n">
        <v>78872513</v>
      </c>
      <c r="AY565" t="n">
        <v>1</v>
      </c>
      <c r="AZ565" t="n">
        <v>0</v>
      </c>
      <c r="BA565" t="n">
        <v>518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V565" t="n">
        <v>0</v>
      </c>
      <c r="CW565" t="n">
        <v>0</v>
      </c>
      <c r="CX565">
        <f>ROUND(Y565*Source!I1213,7)</f>
        <v/>
      </c>
      <c r="CY565">
        <f>AA565</f>
        <v/>
      </c>
      <c r="CZ565">
        <f>AE565</f>
        <v/>
      </c>
      <c r="DA565">
        <f>AI565</f>
        <v/>
      </c>
      <c r="DB565">
        <f>ROUND((ROUND(AT565*CZ565,2)*ROUND(7,7)),2)</f>
        <v/>
      </c>
      <c r="DC565">
        <f>ROUND((ROUND(AT565*AG565,2)*ROUND(7,7)),2)</f>
        <v/>
      </c>
      <c r="DD565" t="inlineStr"/>
      <c r="DE565" t="inlineStr"/>
      <c r="DF565">
        <f>ROUND(ROUND(AE565*AI565,0)*CX565,0)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DF565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ROW(Source!A1213)</f>
        <v/>
      </c>
      <c r="B566" t="n">
        <v>78869116</v>
      </c>
      <c r="C566" t="n">
        <v>78872504</v>
      </c>
      <c r="D566" t="n">
        <v>29110573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101-0628</t>
        </is>
      </c>
      <c r="J566" t="inlineStr">
        <is>
          <t>ТССЦ Московской обл., 101-0628, приказ Минстроя России №675/пр от 28.02.2017 № 254/пр</t>
        </is>
      </c>
      <c r="K566" t="inlineStr">
        <is>
          <t>Олифа комбинированная, марки К-3</t>
        </is>
      </c>
      <c r="L566" t="n">
        <v>1348</v>
      </c>
      <c r="N566" t="n">
        <v>1009</v>
      </c>
      <c r="O566" t="inlineStr">
        <is>
          <t>т</t>
        </is>
      </c>
      <c r="P566" t="inlineStr">
        <is>
          <t>т</t>
        </is>
      </c>
      <c r="Q566" t="n">
        <v>1000</v>
      </c>
      <c r="W566" t="n">
        <v>0</v>
      </c>
      <c r="X566" t="n">
        <v>24062879</v>
      </c>
      <c r="Y566">
        <f>(AT566*ROUND(7,7))</f>
        <v/>
      </c>
      <c r="AA566" t="n">
        <v>87631.5</v>
      </c>
      <c r="AB566" t="n">
        <v>0</v>
      </c>
      <c r="AC566" t="n">
        <v>0</v>
      </c>
      <c r="AD566" t="n">
        <v>0</v>
      </c>
      <c r="AE566" t="n">
        <v>16950</v>
      </c>
      <c r="AF566" t="n">
        <v>0</v>
      </c>
      <c r="AG566" t="n">
        <v>0</v>
      </c>
      <c r="AH566" t="n">
        <v>0</v>
      </c>
      <c r="AI566" t="n">
        <v>5.17</v>
      </c>
      <c r="AJ566" t="n">
        <v>1</v>
      </c>
      <c r="AK566" t="n">
        <v>1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2e-05</v>
      </c>
      <c r="AU566" t="inlineStr">
        <is>
          <t>)*7</t>
        </is>
      </c>
      <c r="AV566" t="n">
        <v>0</v>
      </c>
      <c r="AW566" t="n">
        <v>2</v>
      </c>
      <c r="AX566" t="n">
        <v>78872514</v>
      </c>
      <c r="AY566" t="n">
        <v>1</v>
      </c>
      <c r="AZ566" t="n">
        <v>2048</v>
      </c>
      <c r="BA566" t="n">
        <v>519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 t="n">
        <v>0</v>
      </c>
      <c r="CX566">
        <f>ROUND(Y566*Source!I1213,7)</f>
        <v/>
      </c>
      <c r="CY566">
        <f>AA566</f>
        <v/>
      </c>
      <c r="CZ566">
        <f>AE566</f>
        <v/>
      </c>
      <c r="DA566">
        <f>AI566</f>
        <v/>
      </c>
      <c r="DB566">
        <f>ROUND((ROUND(AT566*CZ566,2)*ROUND(7,7)),2)</f>
        <v/>
      </c>
      <c r="DC566">
        <f>ROUND((ROUND(AT566*AG566,2)*ROUND(7,7)),2)</f>
        <v/>
      </c>
      <c r="DD566" t="inlineStr"/>
      <c r="DE566" t="inlineStr"/>
      <c r="DF566">
        <f>ROUND(ROUND(AE566*AI566,0)*CX566,0)</f>
        <v/>
      </c>
      <c r="DG566">
        <f>ROUND(ROUND(AF566,0)*CX566,0)</f>
        <v/>
      </c>
      <c r="DH566">
        <f>ROUND(ROUND(AG566,0)*CX566,0)</f>
        <v/>
      </c>
      <c r="DI566">
        <f>ROUND(ROUND(AH566,0)*CX566,0)</f>
        <v/>
      </c>
      <c r="DJ566">
        <f>DF566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ROW(Source!A1213)</f>
        <v/>
      </c>
      <c r="B567" t="n">
        <v>78869116</v>
      </c>
      <c r="C567" t="n">
        <v>78872504</v>
      </c>
      <c r="D567" t="n">
        <v>29107963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101-1669</t>
        </is>
      </c>
      <c r="J567" t="inlineStr">
        <is>
          <t>ТССЦ Московской обл., 101-1669, приказ Минстроя России №675/пр от 28.02.2017 № 254/пр</t>
        </is>
      </c>
      <c r="K567" t="inlineStr">
        <is>
          <t>Очес льняной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-2113933962</v>
      </c>
      <c r="Y567">
        <f>(AT567*ROUND(7,7))</f>
        <v/>
      </c>
      <c r="AA567" t="n">
        <v>590.67</v>
      </c>
      <c r="AB567" t="n">
        <v>0</v>
      </c>
      <c r="AC567" t="n">
        <v>0</v>
      </c>
      <c r="AD567" t="n">
        <v>0</v>
      </c>
      <c r="AE567" t="n">
        <v>37.29</v>
      </c>
      <c r="AF567" t="n">
        <v>0</v>
      </c>
      <c r="AG567" t="n">
        <v>0</v>
      </c>
      <c r="AH567" t="n">
        <v>0</v>
      </c>
      <c r="AI567" t="n">
        <v>15.84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0.02</v>
      </c>
      <c r="AU567" t="inlineStr">
        <is>
          <t>)*7</t>
        </is>
      </c>
      <c r="AV567" t="n">
        <v>0</v>
      </c>
      <c r="AW567" t="n">
        <v>2</v>
      </c>
      <c r="AX567" t="n">
        <v>78872515</v>
      </c>
      <c r="AY567" t="n">
        <v>1</v>
      </c>
      <c r="AZ567" t="n">
        <v>0</v>
      </c>
      <c r="BA567" t="n">
        <v>520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ROUND(Y567*Source!I1213,7)</f>
        <v/>
      </c>
      <c r="CY567">
        <f>AA567</f>
        <v/>
      </c>
      <c r="CZ567">
        <f>AE567</f>
        <v/>
      </c>
      <c r="DA567">
        <f>AI567</f>
        <v/>
      </c>
      <c r="DB567">
        <f>ROUND((ROUND(AT567*CZ567,2)*ROUND(7,7)),2)</f>
        <v/>
      </c>
      <c r="DC567">
        <f>ROUND((ROUND(AT567*AG567,2)*ROUND(7,7)),2)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ROW(Source!A1213)</f>
        <v/>
      </c>
      <c r="B568" t="n">
        <v>78869116</v>
      </c>
      <c r="C568" t="n">
        <v>78872504</v>
      </c>
      <c r="D568" t="n">
        <v>29150040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411-0001</t>
        </is>
      </c>
      <c r="J568" t="inlineStr">
        <is>
          <t>ТССЦ Московской обл., 411-0001, приказ Минстроя России №675/пр от 28.02.2017 № 257/пр</t>
        </is>
      </c>
      <c r="K568" t="inlineStr">
        <is>
          <t>Вода</t>
        </is>
      </c>
      <c r="L568" t="n">
        <v>1339</v>
      </c>
      <c r="N568" t="n">
        <v>1007</v>
      </c>
      <c r="O568" t="inlineStr">
        <is>
          <t>м3</t>
        </is>
      </c>
      <c r="P568" t="inlineStr">
        <is>
          <t>м3</t>
        </is>
      </c>
      <c r="Q568" t="n">
        <v>1</v>
      </c>
      <c r="W568" t="n">
        <v>0</v>
      </c>
      <c r="X568" t="n">
        <v>619799737</v>
      </c>
      <c r="Y568">
        <f>(AT568*ROUND(7,7))</f>
        <v/>
      </c>
      <c r="AA568" t="n">
        <v>31.28</v>
      </c>
      <c r="AB568" t="n">
        <v>0</v>
      </c>
      <c r="AC568" t="n">
        <v>0</v>
      </c>
      <c r="AD568" t="n">
        <v>0</v>
      </c>
      <c r="AE568" t="n">
        <v>2.44</v>
      </c>
      <c r="AF568" t="n">
        <v>0</v>
      </c>
      <c r="AG568" t="n">
        <v>0</v>
      </c>
      <c r="AH568" t="n">
        <v>0</v>
      </c>
      <c r="AI568" t="n">
        <v>12.82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1</v>
      </c>
      <c r="AU568" t="inlineStr">
        <is>
          <t>)*7</t>
        </is>
      </c>
      <c r="AV568" t="n">
        <v>0</v>
      </c>
      <c r="AW568" t="n">
        <v>2</v>
      </c>
      <c r="AX568" t="n">
        <v>78872516</v>
      </c>
      <c r="AY568" t="n">
        <v>1</v>
      </c>
      <c r="AZ568" t="n">
        <v>0</v>
      </c>
      <c r="BA568" t="n">
        <v>521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ROUND(Y568*Source!I1213,7)</f>
        <v/>
      </c>
      <c r="CY568">
        <f>AA568</f>
        <v/>
      </c>
      <c r="CZ568">
        <f>AE568</f>
        <v/>
      </c>
      <c r="DA568">
        <f>AI568</f>
        <v/>
      </c>
      <c r="DB568">
        <f>ROUND((ROUND(AT568*CZ568,2)*ROUND(7,7)),2)</f>
        <v/>
      </c>
      <c r="DC568">
        <f>ROUND((ROUND(AT568*AG568,2)*ROUND(7,7)),2)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ROW(Source!A1214)</f>
        <v/>
      </c>
      <c r="B569" t="n">
        <v>78869116</v>
      </c>
      <c r="C569" t="n">
        <v>78872517</v>
      </c>
      <c r="D569" t="n">
        <v>18409850</v>
      </c>
      <c r="E569" t="n">
        <v>1</v>
      </c>
      <c r="F569" t="n">
        <v>1</v>
      </c>
      <c r="G569" t="n">
        <v>1</v>
      </c>
      <c r="H569" t="n">
        <v>1</v>
      </c>
      <c r="I569" t="inlineStr">
        <is>
          <t>1-1035-90</t>
        </is>
      </c>
      <c r="J569" t="inlineStr"/>
      <c r="K569" t="inlineStr">
        <is>
          <t>Рабочий строитель среднего разряда 3,5</t>
        </is>
      </c>
      <c r="L569" t="n">
        <v>1369</v>
      </c>
      <c r="N569" t="n">
        <v>1013</v>
      </c>
      <c r="O569" t="inlineStr">
        <is>
          <t>чел.-ч</t>
        </is>
      </c>
      <c r="P569" t="inlineStr">
        <is>
          <t>чел.-ч</t>
        </is>
      </c>
      <c r="Q569" t="n">
        <v>1</v>
      </c>
      <c r="W569" t="n">
        <v>0</v>
      </c>
      <c r="X569" t="n">
        <v>855544366</v>
      </c>
      <c r="Y569">
        <f>AT569</f>
        <v/>
      </c>
      <c r="AA569" t="n">
        <v>0</v>
      </c>
      <c r="AB569" t="n">
        <v>0</v>
      </c>
      <c r="AC569" t="n">
        <v>0</v>
      </c>
      <c r="AD569" t="n">
        <v>9.07</v>
      </c>
      <c r="AE569" t="n">
        <v>0</v>
      </c>
      <c r="AF569" t="n">
        <v>0</v>
      </c>
      <c r="AG569" t="n">
        <v>0</v>
      </c>
      <c r="AH569" t="n">
        <v>9.07</v>
      </c>
      <c r="AI569" t="n">
        <v>1</v>
      </c>
      <c r="AJ569" t="n">
        <v>1</v>
      </c>
      <c r="AK569" t="n">
        <v>1</v>
      </c>
      <c r="AL569" t="n">
        <v>1</v>
      </c>
      <c r="AM569" t="n">
        <v>-2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81</v>
      </c>
      <c r="AU569" t="inlineStr"/>
      <c r="AV569" t="n">
        <v>1</v>
      </c>
      <c r="AW569" t="n">
        <v>2</v>
      </c>
      <c r="AX569" t="n">
        <v>78872529</v>
      </c>
      <c r="AY569" t="n">
        <v>1</v>
      </c>
      <c r="AZ569" t="n">
        <v>0</v>
      </c>
      <c r="BA569" t="n">
        <v>522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U569">
        <f>ROUND(AT569*Source!I1214*AH569*AL569,0)</f>
        <v/>
      </c>
      <c r="CV569">
        <f>ROUND(Y569*Source!I1214,7)</f>
        <v/>
      </c>
      <c r="CW569" t="n">
        <v>0</v>
      </c>
      <c r="CX569">
        <f>ROUND(Y569*Source!I1214,7)</f>
        <v/>
      </c>
      <c r="CY569">
        <f>AD569</f>
        <v/>
      </c>
      <c r="CZ569">
        <f>AH569</f>
        <v/>
      </c>
      <c r="DA569">
        <f>AL569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DI569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ROW(Source!A1214)</f>
        <v/>
      </c>
      <c r="B570" t="n">
        <v>78869116</v>
      </c>
      <c r="C570" t="n">
        <v>78872517</v>
      </c>
      <c r="D570" t="n">
        <v>29174913</v>
      </c>
      <c r="E570" t="n">
        <v>1</v>
      </c>
      <c r="F570" t="n">
        <v>1</v>
      </c>
      <c r="G570" t="n">
        <v>1</v>
      </c>
      <c r="H570" t="n">
        <v>2</v>
      </c>
      <c r="I570" t="inlineStr">
        <is>
          <t>400001</t>
        </is>
      </c>
      <c r="J570" t="inlineStr">
        <is>
          <t>ТСЭМ Московской обл., 400001, приказ Минстроя России №675/пр от 28.02.2017 № 264/пр</t>
        </is>
      </c>
      <c r="K570" t="inlineStr">
        <is>
          <t>Автомобили бортовые, грузоподъемность до 5 т</t>
        </is>
      </c>
      <c r="L570" t="n">
        <v>1368</v>
      </c>
      <c r="N570" t="n">
        <v>1011</v>
      </c>
      <c r="O570" t="inlineStr">
        <is>
          <t>маш.-ч</t>
        </is>
      </c>
      <c r="P570" t="inlineStr">
        <is>
          <t>маш.-ч</t>
        </is>
      </c>
      <c r="Q570" t="n">
        <v>1</v>
      </c>
      <c r="W570" t="n">
        <v>0</v>
      </c>
      <c r="X570" t="n">
        <v>1230759911</v>
      </c>
      <c r="Y570">
        <f>AT570</f>
        <v/>
      </c>
      <c r="AA570" t="n">
        <v>0</v>
      </c>
      <c r="AB570" t="n">
        <v>2177.51</v>
      </c>
      <c r="AC570" t="n">
        <v>606.1</v>
      </c>
      <c r="AD570" t="n">
        <v>0</v>
      </c>
      <c r="AE570" t="n">
        <v>0</v>
      </c>
      <c r="AF570" t="n">
        <v>87.17</v>
      </c>
      <c r="AG570" t="n">
        <v>11.6</v>
      </c>
      <c r="AH570" t="n">
        <v>0</v>
      </c>
      <c r="AI570" t="n">
        <v>1</v>
      </c>
      <c r="AJ570" t="n">
        <v>24.98</v>
      </c>
      <c r="AK570" t="n">
        <v>52.25</v>
      </c>
      <c r="AL570" t="n">
        <v>1</v>
      </c>
      <c r="AM570" t="n">
        <v>2</v>
      </c>
      <c r="AN570" t="n">
        <v>0</v>
      </c>
      <c r="AO570" t="n">
        <v>1</v>
      </c>
      <c r="AP570" t="n">
        <v>1</v>
      </c>
      <c r="AQ570" t="n">
        <v>0</v>
      </c>
      <c r="AR570" t="n">
        <v>0</v>
      </c>
      <c r="AS570" t="inlineStr"/>
      <c r="AT570" t="n">
        <v>0.05</v>
      </c>
      <c r="AU570" t="inlineStr"/>
      <c r="AV570" t="n">
        <v>0</v>
      </c>
      <c r="AW570" t="n">
        <v>2</v>
      </c>
      <c r="AX570" t="n">
        <v>78872530</v>
      </c>
      <c r="AY570" t="n">
        <v>1</v>
      </c>
      <c r="AZ570" t="n">
        <v>0</v>
      </c>
      <c r="BA570" t="n">
        <v>523</v>
      </c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>
        <f>ROUND(Y570*Source!I1214*DO570,7)</f>
        <v/>
      </c>
      <c r="CX570">
        <f>ROUND(Y570*Source!I1214,7)</f>
        <v/>
      </c>
      <c r="CY570">
        <f>AB570</f>
        <v/>
      </c>
      <c r="CZ570">
        <f>AF570</f>
        <v/>
      </c>
      <c r="DA570">
        <f>AJ570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ROUND(ROUND(AF570*AJ570,0)*CX570,0)</f>
        <v/>
      </c>
      <c r="DH570">
        <f>ROUND(ROUND(AG570*AK570,0)*CX570,0)</f>
        <v/>
      </c>
      <c r="DI570">
        <f>ROUND(ROUND(AH570,0)*CX570,0)</f>
        <v/>
      </c>
      <c r="DJ570">
        <f>DG570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ROW(Source!A1214)</f>
        <v/>
      </c>
      <c r="B571" t="n">
        <v>78869116</v>
      </c>
      <c r="C571" t="n">
        <v>78872517</v>
      </c>
      <c r="D571" t="n">
        <v>29110398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101-0388</t>
        </is>
      </c>
      <c r="J571" t="inlineStr">
        <is>
          <t>ТССЦ Московской обл., 101-0388, приказ Минстроя России №675/пр от 28.02.2017 № 254/пр</t>
        </is>
      </c>
      <c r="K571" t="inlineStr">
        <is>
          <t>Краски масляные земляные марки МА-0115 мумия, сурик железный</t>
        </is>
      </c>
      <c r="L571" t="n">
        <v>1348</v>
      </c>
      <c r="N571" t="n">
        <v>1009</v>
      </c>
      <c r="O571" t="inlineStr">
        <is>
          <t>т</t>
        </is>
      </c>
      <c r="P571" t="inlineStr">
        <is>
          <t>т</t>
        </is>
      </c>
      <c r="Q571" t="n">
        <v>1000</v>
      </c>
      <c r="W571" t="n">
        <v>0</v>
      </c>
      <c r="X571" t="n">
        <v>1625292450</v>
      </c>
      <c r="Y571">
        <f>AT571</f>
        <v/>
      </c>
      <c r="AA571" t="n">
        <v>76804.47</v>
      </c>
      <c r="AB571" t="n">
        <v>0</v>
      </c>
      <c r="AC571" t="n">
        <v>0</v>
      </c>
      <c r="AD571" t="n">
        <v>0</v>
      </c>
      <c r="AE571" t="n">
        <v>15118.99</v>
      </c>
      <c r="AF571" t="n">
        <v>0</v>
      </c>
      <c r="AG571" t="n">
        <v>0</v>
      </c>
      <c r="AH571" t="n">
        <v>0</v>
      </c>
      <c r="AI571" t="n">
        <v>5.08</v>
      </c>
      <c r="AJ571" t="n">
        <v>1</v>
      </c>
      <c r="AK571" t="n">
        <v>1</v>
      </c>
      <c r="AL571" t="n">
        <v>1</v>
      </c>
      <c r="AM571" t="n">
        <v>2</v>
      </c>
      <c r="AN571" t="n">
        <v>0</v>
      </c>
      <c r="AO571" t="n">
        <v>1</v>
      </c>
      <c r="AP571" t="n">
        <v>1</v>
      </c>
      <c r="AQ571" t="n">
        <v>0</v>
      </c>
      <c r="AR571" t="n">
        <v>0</v>
      </c>
      <c r="AS571" t="inlineStr"/>
      <c r="AT571" t="n">
        <v>0.0014</v>
      </c>
      <c r="AU571" t="inlineStr"/>
      <c r="AV571" t="n">
        <v>0</v>
      </c>
      <c r="AW571" t="n">
        <v>2</v>
      </c>
      <c r="AX571" t="n">
        <v>78872531</v>
      </c>
      <c r="AY571" t="n">
        <v>1</v>
      </c>
      <c r="AZ571" t="n">
        <v>0</v>
      </c>
      <c r="BA571" t="n">
        <v>524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V571" t="n">
        <v>0</v>
      </c>
      <c r="CW571" t="n">
        <v>0</v>
      </c>
      <c r="CX571">
        <f>ROUND(Y571*Source!I1214,7)</f>
        <v/>
      </c>
      <c r="CY571">
        <f>AA571</f>
        <v/>
      </c>
      <c r="CZ571">
        <f>AE571</f>
        <v/>
      </c>
      <c r="DA571">
        <f>AI571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ROUND(ROUND(AE571*AI571,0)*CX571,0)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DF571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ROW(Source!A1214)</f>
        <v/>
      </c>
      <c r="B572" t="n">
        <v>78869116</v>
      </c>
      <c r="C572" t="n">
        <v>78872517</v>
      </c>
      <c r="D572" t="n">
        <v>29110573</v>
      </c>
      <c r="E572" t="n">
        <v>1</v>
      </c>
      <c r="F572" t="n">
        <v>1</v>
      </c>
      <c r="G572" t="n">
        <v>1</v>
      </c>
      <c r="H572" t="n">
        <v>3</v>
      </c>
      <c r="I572" t="inlineStr">
        <is>
          <t>101-0628</t>
        </is>
      </c>
      <c r="J572" t="inlineStr">
        <is>
          <t>ТССЦ Московской обл., 101-0628, приказ Минстроя России №675/пр от 28.02.2017 № 254/пр</t>
        </is>
      </c>
      <c r="K572" t="inlineStr">
        <is>
          <t>Олифа комбинированная, марки К-3</t>
        </is>
      </c>
      <c r="L572" t="n">
        <v>1348</v>
      </c>
      <c r="N572" t="n">
        <v>1009</v>
      </c>
      <c r="O572" t="inlineStr">
        <is>
          <t>т</t>
        </is>
      </c>
      <c r="P572" t="inlineStr">
        <is>
          <t>т</t>
        </is>
      </c>
      <c r="Q572" t="n">
        <v>1000</v>
      </c>
      <c r="W572" t="n">
        <v>0</v>
      </c>
      <c r="X572" t="n">
        <v>24062879</v>
      </c>
      <c r="Y572">
        <f>AT572</f>
        <v/>
      </c>
      <c r="AA572" t="n">
        <v>87631.5</v>
      </c>
      <c r="AB572" t="n">
        <v>0</v>
      </c>
      <c r="AC572" t="n">
        <v>0</v>
      </c>
      <c r="AD572" t="n">
        <v>0</v>
      </c>
      <c r="AE572" t="n">
        <v>16950</v>
      </c>
      <c r="AF572" t="n">
        <v>0</v>
      </c>
      <c r="AG572" t="n">
        <v>0</v>
      </c>
      <c r="AH572" t="n">
        <v>0</v>
      </c>
      <c r="AI572" t="n">
        <v>5.17</v>
      </c>
      <c r="AJ572" t="n">
        <v>1</v>
      </c>
      <c r="AK572" t="n">
        <v>1</v>
      </c>
      <c r="AL572" t="n">
        <v>1</v>
      </c>
      <c r="AM572" t="n">
        <v>2</v>
      </c>
      <c r="AN572" t="n">
        <v>0</v>
      </c>
      <c r="AO572" t="n">
        <v>1</v>
      </c>
      <c r="AP572" t="n">
        <v>1</v>
      </c>
      <c r="AQ572" t="n">
        <v>0</v>
      </c>
      <c r="AR572" t="n">
        <v>0</v>
      </c>
      <c r="AS572" t="inlineStr"/>
      <c r="AT572" t="n">
        <v>0.0007</v>
      </c>
      <c r="AU572" t="inlineStr"/>
      <c r="AV572" t="n">
        <v>0</v>
      </c>
      <c r="AW572" t="n">
        <v>2</v>
      </c>
      <c r="AX572" t="n">
        <v>78872532</v>
      </c>
      <c r="AY572" t="n">
        <v>1</v>
      </c>
      <c r="AZ572" t="n">
        <v>0</v>
      </c>
      <c r="BA572" t="n">
        <v>525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ROUND(Y572*Source!I1214,7)</f>
        <v/>
      </c>
      <c r="CY572">
        <f>AA572</f>
        <v/>
      </c>
      <c r="CZ572">
        <f>AE572</f>
        <v/>
      </c>
      <c r="DA572">
        <f>AI572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ROUND(ROUND(AE572*AI572,0)*CX572,0)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DF572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ROW(Source!A1214)</f>
        <v/>
      </c>
      <c r="B573" t="n">
        <v>78869116</v>
      </c>
      <c r="C573" t="n">
        <v>78872517</v>
      </c>
      <c r="D573" t="n">
        <v>29107963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101-1669</t>
        </is>
      </c>
      <c r="J573" t="inlineStr">
        <is>
          <t>ТССЦ Московской обл., 101-1669, приказ Минстроя России №675/пр от 28.02.2017 № 254/пр</t>
        </is>
      </c>
      <c r="K573" t="inlineStr">
        <is>
          <t>Очес льняной</t>
        </is>
      </c>
      <c r="L573" t="n">
        <v>1346</v>
      </c>
      <c r="N573" t="n">
        <v>1009</v>
      </c>
      <c r="O573" t="inlineStr">
        <is>
          <t>кг</t>
        </is>
      </c>
      <c r="P573" t="inlineStr">
        <is>
          <t>кг</t>
        </is>
      </c>
      <c r="Q573" t="n">
        <v>1</v>
      </c>
      <c r="W573" t="n">
        <v>0</v>
      </c>
      <c r="X573" t="n">
        <v>-2113933962</v>
      </c>
      <c r="Y573">
        <f>AT573</f>
        <v/>
      </c>
      <c r="AA573" t="n">
        <v>590.67</v>
      </c>
      <c r="AB573" t="n">
        <v>0</v>
      </c>
      <c r="AC573" t="n">
        <v>0</v>
      </c>
      <c r="AD573" t="n">
        <v>0</v>
      </c>
      <c r="AE573" t="n">
        <v>37.29</v>
      </c>
      <c r="AF573" t="n">
        <v>0</v>
      </c>
      <c r="AG573" t="n">
        <v>0</v>
      </c>
      <c r="AH573" t="n">
        <v>0</v>
      </c>
      <c r="AI573" t="n">
        <v>15.84</v>
      </c>
      <c r="AJ573" t="n">
        <v>1</v>
      </c>
      <c r="AK573" t="n">
        <v>1</v>
      </c>
      <c r="AL573" t="n">
        <v>1</v>
      </c>
      <c r="AM573" t="n">
        <v>2</v>
      </c>
      <c r="AN573" t="n">
        <v>0</v>
      </c>
      <c r="AO573" t="n">
        <v>1</v>
      </c>
      <c r="AP573" t="n">
        <v>1</v>
      </c>
      <c r="AQ573" t="n">
        <v>0</v>
      </c>
      <c r="AR573" t="n">
        <v>0</v>
      </c>
      <c r="AS573" t="inlineStr"/>
      <c r="AT573" t="n">
        <v>0.7</v>
      </c>
      <c r="AU573" t="inlineStr"/>
      <c r="AV573" t="n">
        <v>0</v>
      </c>
      <c r="AW573" t="n">
        <v>2</v>
      </c>
      <c r="AX573" t="n">
        <v>78872533</v>
      </c>
      <c r="AY573" t="n">
        <v>1</v>
      </c>
      <c r="AZ573" t="n">
        <v>0</v>
      </c>
      <c r="BA573" t="n">
        <v>526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 t="n">
        <v>0</v>
      </c>
      <c r="CX573">
        <f>ROUND(Y573*Source!I1214,7)</f>
        <v/>
      </c>
      <c r="CY573">
        <f>AA573</f>
        <v/>
      </c>
      <c r="CZ573">
        <f>AE573</f>
        <v/>
      </c>
      <c r="DA573">
        <f>AI573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ROUND(ROUND(AE573*AI573,0)*CX573,0)</f>
        <v/>
      </c>
      <c r="DG573">
        <f>ROUND(ROUND(AF573,0)*CX573,0)</f>
        <v/>
      </c>
      <c r="DH573">
        <f>ROUND(ROUND(AG573,0)*CX573,0)</f>
        <v/>
      </c>
      <c r="DI573">
        <f>ROUND(ROUND(AH573,0)*CX573,0)</f>
        <v/>
      </c>
      <c r="DJ573">
        <f>DF573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ROW(Source!A1214)</f>
        <v/>
      </c>
      <c r="B574" t="n">
        <v>78869116</v>
      </c>
      <c r="C574" t="n">
        <v>78872517</v>
      </c>
      <c r="D574" t="n">
        <v>29143378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302-0062</t>
        </is>
      </c>
      <c r="J574" t="inlineStr">
        <is>
          <t>ТССЦ Московской обл., 302-0062, приказ Минстроя России №675/пр от 28.02.2017 № 256/пр</t>
        </is>
      </c>
      <c r="K574" t="inlineStr">
        <is>
          <t>Кран шаровый муфтовый Valtec для воды диаметром 15 мм, тип в/в</t>
        </is>
      </c>
      <c r="L574" t="n">
        <v>1354</v>
      </c>
      <c r="N574" t="n">
        <v>1010</v>
      </c>
      <c r="O574" t="inlineStr">
        <is>
          <t>шт.</t>
        </is>
      </c>
      <c r="P574" t="inlineStr">
        <is>
          <t>шт.</t>
        </is>
      </c>
      <c r="Q574" t="n">
        <v>1</v>
      </c>
      <c r="W574" t="n">
        <v>0</v>
      </c>
      <c r="X574" t="n">
        <v>-1687406522</v>
      </c>
      <c r="Y574">
        <f>AT574</f>
        <v/>
      </c>
      <c r="AA574" t="n">
        <v>384.3</v>
      </c>
      <c r="AB574" t="n">
        <v>0</v>
      </c>
      <c r="AC574" t="n">
        <v>0</v>
      </c>
      <c r="AD574" t="n">
        <v>0</v>
      </c>
      <c r="AE574" t="n">
        <v>28.53</v>
      </c>
      <c r="AF574" t="n">
        <v>0</v>
      </c>
      <c r="AG574" t="n">
        <v>0</v>
      </c>
      <c r="AH574" t="n">
        <v>0</v>
      </c>
      <c r="AI574" t="n">
        <v>13.47</v>
      </c>
      <c r="AJ574" t="n">
        <v>1</v>
      </c>
      <c r="AK574" t="n">
        <v>1</v>
      </c>
      <c r="AL574" t="n">
        <v>1</v>
      </c>
      <c r="AM574" t="n">
        <v>0</v>
      </c>
      <c r="AN574" t="n">
        <v>0</v>
      </c>
      <c r="AO574" t="n">
        <v>0</v>
      </c>
      <c r="AP574" t="n">
        <v>1</v>
      </c>
      <c r="AQ574" t="n">
        <v>0</v>
      </c>
      <c r="AR574" t="n">
        <v>0</v>
      </c>
      <c r="AS574" t="inlineStr"/>
      <c r="AT574" t="n">
        <v>100</v>
      </c>
      <c r="AU574" t="inlineStr"/>
      <c r="AV574" t="n">
        <v>0</v>
      </c>
      <c r="AW574" t="n">
        <v>1</v>
      </c>
      <c r="AX574" t="n">
        <v>-1</v>
      </c>
      <c r="AY574" t="n">
        <v>0</v>
      </c>
      <c r="AZ574" t="n">
        <v>0</v>
      </c>
      <c r="BA574" t="inlineStr"/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 t="n">
        <v>0</v>
      </c>
      <c r="CX574">
        <f>ROUND(Y574*Source!I1214,7)</f>
        <v/>
      </c>
      <c r="CY574">
        <f>AA574</f>
        <v/>
      </c>
      <c r="CZ574">
        <f>AE574</f>
        <v/>
      </c>
      <c r="DA574">
        <f>AI574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ROUND(ROUND(AE574*AI574,0)*CX574,0)</f>
        <v/>
      </c>
      <c r="DG574">
        <f>ROUND(ROUND(AF574,0)*CX574,0)</f>
        <v/>
      </c>
      <c r="DH574">
        <f>ROUND(ROUND(AG574,0)*CX574,0)</f>
        <v/>
      </c>
      <c r="DI574">
        <f>ROUND(ROUND(AH574,0)*CX574,0)</f>
        <v/>
      </c>
      <c r="DJ574">
        <f>DF574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ROW(Source!A1214)</f>
        <v/>
      </c>
      <c r="B575" t="n">
        <v>78869116</v>
      </c>
      <c r="C575" t="n">
        <v>78872517</v>
      </c>
      <c r="D575" t="n">
        <v>29142465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302-1342</t>
        </is>
      </c>
      <c r="J575" t="inlineStr">
        <is>
          <t>ТССЦ Московской обл., 302-1342, приказ Минстроя России №675/пр от 28.02.2017 № 256/пр</t>
        </is>
      </c>
      <c r="K575" t="inlineStr">
        <is>
          <t>Вентили проходные муфтовые 15кч18п для воды давлением 1,6 МПа (16 кгс/см2), диаметром 20 мм</t>
        </is>
      </c>
      <c r="L575" t="n">
        <v>1354</v>
      </c>
      <c r="N575" t="n">
        <v>1010</v>
      </c>
      <c r="O575" t="inlineStr">
        <is>
          <t>шт.</t>
        </is>
      </c>
      <c r="P575" t="inlineStr">
        <is>
          <t>шт.</t>
        </is>
      </c>
      <c r="Q575" t="n">
        <v>1</v>
      </c>
      <c r="W575" t="n">
        <v>0</v>
      </c>
      <c r="X575" t="n">
        <v>-852705161</v>
      </c>
      <c r="Y575">
        <f>AT575</f>
        <v/>
      </c>
      <c r="AA575" t="n">
        <v>221.81</v>
      </c>
      <c r="AB575" t="n">
        <v>0</v>
      </c>
      <c r="AC575" t="n">
        <v>0</v>
      </c>
      <c r="AD575" t="n">
        <v>0</v>
      </c>
      <c r="AE575" t="n">
        <v>21.81</v>
      </c>
      <c r="AF575" t="n">
        <v>0</v>
      </c>
      <c r="AG575" t="n">
        <v>0</v>
      </c>
      <c r="AH575" t="n">
        <v>0</v>
      </c>
      <c r="AI575" t="n">
        <v>10.17</v>
      </c>
      <c r="AJ575" t="n">
        <v>1</v>
      </c>
      <c r="AK575" t="n">
        <v>1</v>
      </c>
      <c r="AL575" t="n">
        <v>1</v>
      </c>
      <c r="AM575" t="n">
        <v>2</v>
      </c>
      <c r="AN575" t="n">
        <v>0</v>
      </c>
      <c r="AO575" t="n">
        <v>1</v>
      </c>
      <c r="AP575" t="n">
        <v>1</v>
      </c>
      <c r="AQ575" t="n">
        <v>0</v>
      </c>
      <c r="AR575" t="n">
        <v>0</v>
      </c>
      <c r="AS575" t="inlineStr"/>
      <c r="AT575" t="n">
        <v>100</v>
      </c>
      <c r="AU575" t="inlineStr"/>
      <c r="AV575" t="n">
        <v>0</v>
      </c>
      <c r="AW575" t="n">
        <v>2</v>
      </c>
      <c r="AX575" t="n">
        <v>78872534</v>
      </c>
      <c r="AY575" t="n">
        <v>1</v>
      </c>
      <c r="AZ575" t="n">
        <v>0</v>
      </c>
      <c r="BA575" t="n">
        <v>527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 t="n">
        <v>0</v>
      </c>
      <c r="CX575">
        <f>ROUND(Y575*Source!I1214,7)</f>
        <v/>
      </c>
      <c r="CY575">
        <f>AA575</f>
        <v/>
      </c>
      <c r="CZ575">
        <f>AE575</f>
        <v/>
      </c>
      <c r="DA575">
        <f>AI575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ROUND(ROUND(AE575*AI575,0)*CX575,0)</f>
        <v/>
      </c>
      <c r="DG575">
        <f>ROUND(ROUND(AF575,0)*CX575,0)</f>
        <v/>
      </c>
      <c r="DH575">
        <f>ROUND(ROUND(AG575,0)*CX575,0)</f>
        <v/>
      </c>
      <c r="DI575">
        <f>ROUND(ROUND(AH575,0)*CX575,0)</f>
        <v/>
      </c>
      <c r="DJ575">
        <f>DF575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ROW(Source!A1214)</f>
        <v/>
      </c>
      <c r="B576" t="n">
        <v>78869116</v>
      </c>
      <c r="C576" t="n">
        <v>78872517</v>
      </c>
      <c r="D576" t="n">
        <v>29164350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509-9899</t>
        </is>
      </c>
      <c r="J576" t="inlineStr">
        <is>
          <t>ТССЦ Московской обл., 509-9899, приказ Минстроя России №675/пр от 28.02.2017 № 258/пр</t>
        </is>
      </c>
      <c r="K576" t="inlineStr">
        <is>
          <t>Строительный мусор и масса возвратных материалов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W576" t="n">
        <v>0</v>
      </c>
      <c r="X576" t="n">
        <v>1839160745</v>
      </c>
      <c r="Y576">
        <f>AT576</f>
        <v/>
      </c>
      <c r="AA576" t="n">
        <v>0</v>
      </c>
      <c r="AB576" t="n">
        <v>0</v>
      </c>
      <c r="AC576" t="n">
        <v>0</v>
      </c>
      <c r="AD576" t="n">
        <v>0</v>
      </c>
      <c r="AE576" t="n">
        <v>0</v>
      </c>
      <c r="AF576" t="n">
        <v>0</v>
      </c>
      <c r="AG576" t="n">
        <v>0</v>
      </c>
      <c r="AH576" t="n">
        <v>0</v>
      </c>
      <c r="AI576" t="n">
        <v>1</v>
      </c>
      <c r="AJ576" t="n">
        <v>1</v>
      </c>
      <c r="AK576" t="n">
        <v>1</v>
      </c>
      <c r="AL576" t="n">
        <v>1</v>
      </c>
      <c r="AM576" t="n">
        <v>0</v>
      </c>
      <c r="AN576" t="n">
        <v>0</v>
      </c>
      <c r="AO576" t="n">
        <v>0</v>
      </c>
      <c r="AP576" t="n">
        <v>1</v>
      </c>
      <c r="AQ576" t="n">
        <v>0</v>
      </c>
      <c r="AR576" t="n">
        <v>0</v>
      </c>
      <c r="AS576" t="inlineStr"/>
      <c r="AT576" t="n">
        <v>0.04</v>
      </c>
      <c r="AU576" t="inlineStr"/>
      <c r="AV576" t="n">
        <v>0</v>
      </c>
      <c r="AW576" t="n">
        <v>2</v>
      </c>
      <c r="AX576" t="n">
        <v>78872535</v>
      </c>
      <c r="AY576" t="n">
        <v>1</v>
      </c>
      <c r="AZ576" t="n">
        <v>0</v>
      </c>
      <c r="BA576" t="n">
        <v>528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ROUND(Y576*Source!I1214,7)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ROW(Source!A1217)</f>
        <v/>
      </c>
      <c r="B577" t="n">
        <v>78869116</v>
      </c>
      <c r="C577" t="n">
        <v>78872541</v>
      </c>
      <c r="D577" t="n">
        <v>29361307</v>
      </c>
      <c r="E577" t="n">
        <v>1</v>
      </c>
      <c r="F577" t="n">
        <v>1</v>
      </c>
      <c r="G577" t="n">
        <v>1</v>
      </c>
      <c r="H577" t="n">
        <v>1</v>
      </c>
      <c r="I577" t="inlineStr">
        <is>
          <t>1-2039-90</t>
        </is>
      </c>
      <c r="J577" t="inlineStr"/>
      <c r="K577" t="inlineStr">
        <is>
          <t>Рабочий монтажник среднего разряда 3,9</t>
        </is>
      </c>
      <c r="L577" t="n">
        <v>1369</v>
      </c>
      <c r="N577" t="n">
        <v>1013</v>
      </c>
      <c r="O577" t="inlineStr">
        <is>
          <t>чел.-ч</t>
        </is>
      </c>
      <c r="P577" t="inlineStr">
        <is>
          <t>чел.-ч</t>
        </is>
      </c>
      <c r="Q577" t="n">
        <v>1</v>
      </c>
      <c r="W577" t="n">
        <v>0</v>
      </c>
      <c r="X577" t="n">
        <v>357208865</v>
      </c>
      <c r="Y577">
        <f>(AT577*ROUND(0.2,7))</f>
        <v/>
      </c>
      <c r="AA577" t="n">
        <v>0</v>
      </c>
      <c r="AB577" t="n">
        <v>0</v>
      </c>
      <c r="AC577" t="n">
        <v>0</v>
      </c>
      <c r="AD577" t="n">
        <v>9.51</v>
      </c>
      <c r="AE577" t="n">
        <v>0</v>
      </c>
      <c r="AF577" t="n">
        <v>0</v>
      </c>
      <c r="AG577" t="n">
        <v>0</v>
      </c>
      <c r="AH577" t="n">
        <v>9.51</v>
      </c>
      <c r="AI577" t="n">
        <v>1</v>
      </c>
      <c r="AJ577" t="n">
        <v>1</v>
      </c>
      <c r="AK577" t="n">
        <v>1</v>
      </c>
      <c r="AL577" t="n">
        <v>1</v>
      </c>
      <c r="AM577" t="n">
        <v>-2</v>
      </c>
      <c r="AN577" t="n">
        <v>0</v>
      </c>
      <c r="AO577" t="n">
        <v>1</v>
      </c>
      <c r="AP577" t="n">
        <v>1</v>
      </c>
      <c r="AQ577" t="n">
        <v>0</v>
      </c>
      <c r="AR577" t="n">
        <v>0</v>
      </c>
      <c r="AS577" t="inlineStr"/>
      <c r="AT577" t="n">
        <v>2.32</v>
      </c>
      <c r="AU577" t="inlineStr">
        <is>
          <t>)*0,2</t>
        </is>
      </c>
      <c r="AV577" t="n">
        <v>1</v>
      </c>
      <c r="AW577" t="n">
        <v>2</v>
      </c>
      <c r="AX577" t="n">
        <v>78872561</v>
      </c>
      <c r="AY577" t="n">
        <v>1</v>
      </c>
      <c r="AZ577" t="n">
        <v>2048</v>
      </c>
      <c r="BA577" t="n">
        <v>529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U577">
        <f>ROUND(AT577*Source!I1217*AH577*AL577,0)</f>
        <v/>
      </c>
      <c r="CV577">
        <f>ROUND(Y577*Source!I1217,7)</f>
        <v/>
      </c>
      <c r="CW577" t="n">
        <v>0</v>
      </c>
      <c r="CX577">
        <f>ROUND(Y577*Source!I1217,7)</f>
        <v/>
      </c>
      <c r="CY577">
        <f>AD577</f>
        <v/>
      </c>
      <c r="CZ577">
        <f>AH577</f>
        <v/>
      </c>
      <c r="DA577">
        <f>AL577</f>
        <v/>
      </c>
      <c r="DB577">
        <f>ROUND((ROUND(AT577*CZ577,2)*ROUND(0.2,7)),2)</f>
        <v/>
      </c>
      <c r="DC577">
        <f>ROUND((ROUND(AT577*AG577,2)*ROUND(0.2,7)),2)</f>
        <v/>
      </c>
      <c r="DD577" t="inlineStr"/>
      <c r="DE577" t="inlineStr"/>
      <c r="DF577">
        <f>ROUND(ROUND(AE577,0)*CX577,0)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DI577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ROW(Source!A1217)</f>
        <v/>
      </c>
      <c r="B578" t="n">
        <v>78869116</v>
      </c>
      <c r="C578" t="n">
        <v>78872541</v>
      </c>
      <c r="D578" t="n">
        <v>121548</v>
      </c>
      <c r="E578" t="n">
        <v>1</v>
      </c>
      <c r="F578" t="n">
        <v>1</v>
      </c>
      <c r="G578" t="n">
        <v>1</v>
      </c>
      <c r="H578" t="n">
        <v>1</v>
      </c>
      <c r="I578" t="inlineStr">
        <is>
          <t>2</t>
        </is>
      </c>
      <c r="J578" t="inlineStr"/>
      <c r="K578" t="inlineStr">
        <is>
          <t>Затраты труда машинистов</t>
        </is>
      </c>
      <c r="L578" t="n">
        <v>608254</v>
      </c>
      <c r="N578" t="n">
        <v>1013</v>
      </c>
      <c r="O578" t="inlineStr">
        <is>
          <t>чел.час</t>
        </is>
      </c>
      <c r="P578" t="inlineStr">
        <is>
          <t>чел.час</t>
        </is>
      </c>
      <c r="Q578" t="n">
        <v>1</v>
      </c>
      <c r="W578" t="n">
        <v>0</v>
      </c>
      <c r="X578" t="n">
        <v>-185737400</v>
      </c>
      <c r="Y578">
        <f>(AT578*ROUND(0.2,7))</f>
        <v/>
      </c>
      <c r="AA578" t="n">
        <v>0</v>
      </c>
      <c r="AB578" t="n">
        <v>0</v>
      </c>
      <c r="AC578" t="n">
        <v>0</v>
      </c>
      <c r="AD578" t="n">
        <v>0</v>
      </c>
      <c r="AE578" t="n">
        <v>0</v>
      </c>
      <c r="AF578" t="n">
        <v>0</v>
      </c>
      <c r="AG578" t="n">
        <v>0</v>
      </c>
      <c r="AH578" t="n">
        <v>0</v>
      </c>
      <c r="AI578" t="n">
        <v>1</v>
      </c>
      <c r="AJ578" t="n">
        <v>1</v>
      </c>
      <c r="AK578" t="n">
        <v>1</v>
      </c>
      <c r="AL578" t="n">
        <v>1</v>
      </c>
      <c r="AM578" t="n">
        <v>-2</v>
      </c>
      <c r="AN578" t="n">
        <v>0</v>
      </c>
      <c r="AO578" t="n">
        <v>1</v>
      </c>
      <c r="AP578" t="n">
        <v>1</v>
      </c>
      <c r="AQ578" t="n">
        <v>0</v>
      </c>
      <c r="AR578" t="n">
        <v>0</v>
      </c>
      <c r="AS578" t="inlineStr"/>
      <c r="AT578" t="n">
        <v>0.01</v>
      </c>
      <c r="AU578" t="inlineStr">
        <is>
          <t>)*0,2</t>
        </is>
      </c>
      <c r="AV578" t="n">
        <v>2</v>
      </c>
      <c r="AW578" t="n">
        <v>2</v>
      </c>
      <c r="AX578" t="n">
        <v>78872562</v>
      </c>
      <c r="AY578" t="n">
        <v>1</v>
      </c>
      <c r="AZ578" t="n">
        <v>0</v>
      </c>
      <c r="BA578" t="n">
        <v>530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ROUND(Y578*Source!I1217,7)</f>
        <v/>
      </c>
      <c r="CY578">
        <f>AD578</f>
        <v/>
      </c>
      <c r="CZ578">
        <f>AH578</f>
        <v/>
      </c>
      <c r="DA578">
        <f>AL578</f>
        <v/>
      </c>
      <c r="DB578">
        <f>ROUND((ROUND(AT578*CZ578,2)*ROUND(0.2,7)),2)</f>
        <v/>
      </c>
      <c r="DC578">
        <f>ROUND((ROUND(AT578*AG578,2)*ROUND(0.2,7)),2)</f>
        <v/>
      </c>
      <c r="DD578" t="inlineStr"/>
      <c r="DE578" t="inlineStr"/>
      <c r="DF578">
        <f>ROUND(ROUND(AE578,0)*CX578,0)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DI578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ROW(Source!A1217)</f>
        <v/>
      </c>
      <c r="B579" t="n">
        <v>78869116</v>
      </c>
      <c r="C579" t="n">
        <v>78872541</v>
      </c>
      <c r="D579" t="n">
        <v>29172362</v>
      </c>
      <c r="E579" t="n">
        <v>1</v>
      </c>
      <c r="F579" t="n">
        <v>1</v>
      </c>
      <c r="G579" t="n">
        <v>1</v>
      </c>
      <c r="H579" t="n">
        <v>2</v>
      </c>
      <c r="I579" t="inlineStr">
        <is>
          <t>021102</t>
        </is>
      </c>
      <c r="J579" t="inlineStr">
        <is>
          <t>ТСЭМ Московской обл., 021102, приказ Минстроя России №675/пр от 28.02.2017 № 264/пр</t>
        </is>
      </c>
      <c r="K579" t="inlineStr">
        <is>
          <t>Краны на автомобильном ходу при работе на монтаже технологического оборудования 10 т</t>
        </is>
      </c>
      <c r="L579" t="n">
        <v>1368</v>
      </c>
      <c r="N579" t="n">
        <v>1011</v>
      </c>
      <c r="O579" t="inlineStr">
        <is>
          <t>маш.-ч</t>
        </is>
      </c>
      <c r="P579" t="inlineStr">
        <is>
          <t>маш.-ч</t>
        </is>
      </c>
      <c r="Q579" t="n">
        <v>1</v>
      </c>
      <c r="W579" t="n">
        <v>0</v>
      </c>
      <c r="X579" t="n">
        <v>783836208</v>
      </c>
      <c r="Y579">
        <f>(AT579*ROUND(0.2,7))</f>
        <v/>
      </c>
      <c r="AA579" t="n">
        <v>0</v>
      </c>
      <c r="AB579" t="n">
        <v>1504.04</v>
      </c>
      <c r="AC579" t="n">
        <v>705.38</v>
      </c>
      <c r="AD579" t="n">
        <v>0</v>
      </c>
      <c r="AE579" t="n">
        <v>0</v>
      </c>
      <c r="AF579" t="n">
        <v>134.65</v>
      </c>
      <c r="AG579" t="n">
        <v>13.5</v>
      </c>
      <c r="AH579" t="n">
        <v>0</v>
      </c>
      <c r="AI579" t="n">
        <v>1</v>
      </c>
      <c r="AJ579" t="n">
        <v>11.17</v>
      </c>
      <c r="AK579" t="n">
        <v>52.25</v>
      </c>
      <c r="AL579" t="n">
        <v>1</v>
      </c>
      <c r="AM579" t="n">
        <v>2</v>
      </c>
      <c r="AN579" t="n">
        <v>0</v>
      </c>
      <c r="AO579" t="n">
        <v>1</v>
      </c>
      <c r="AP579" t="n">
        <v>1</v>
      </c>
      <c r="AQ579" t="n">
        <v>0</v>
      </c>
      <c r="AR579" t="n">
        <v>0</v>
      </c>
      <c r="AS579" t="inlineStr"/>
      <c r="AT579" t="n">
        <v>0.01</v>
      </c>
      <c r="AU579" t="inlineStr">
        <is>
          <t>)*0,2</t>
        </is>
      </c>
      <c r="AV579" t="n">
        <v>0</v>
      </c>
      <c r="AW579" t="n">
        <v>2</v>
      </c>
      <c r="AX579" t="n">
        <v>78872563</v>
      </c>
      <c r="AY579" t="n">
        <v>1</v>
      </c>
      <c r="AZ579" t="n">
        <v>0</v>
      </c>
      <c r="BA579" t="n">
        <v>531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>
        <f>ROUND(Y579*Source!I1217*DO579,7)</f>
        <v/>
      </c>
      <c r="CX579">
        <f>ROUND(Y579*Source!I1217,7)</f>
        <v/>
      </c>
      <c r="CY579">
        <f>AB579</f>
        <v/>
      </c>
      <c r="CZ579">
        <f>AF579</f>
        <v/>
      </c>
      <c r="DA579">
        <f>AJ579</f>
        <v/>
      </c>
      <c r="DB579">
        <f>ROUND((ROUND(AT579*CZ579,2)*ROUND(0.2,7)),2)</f>
        <v/>
      </c>
      <c r="DC579">
        <f>ROUND((ROUND(AT579*AG579,2)*ROUND(0.2,7)),2)</f>
        <v/>
      </c>
      <c r="DD579" t="inlineStr"/>
      <c r="DE579" t="inlineStr"/>
      <c r="DF579">
        <f>ROUND(ROUND(AE579,0)*CX579,0)</f>
        <v/>
      </c>
      <c r="DG579">
        <f>ROUND(ROUND(AF579*AJ579,0)*CX579,0)</f>
        <v/>
      </c>
      <c r="DH579">
        <f>ROUND(ROUND(AG579*AK579,0)*CX579,0)</f>
        <v/>
      </c>
      <c r="DI579">
        <f>ROUND(ROUND(AH579,0)*CX579,0)</f>
        <v/>
      </c>
      <c r="DJ579">
        <f>DG579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ROW(Source!A1217)</f>
        <v/>
      </c>
      <c r="B580" t="n">
        <v>78869116</v>
      </c>
      <c r="C580" t="n">
        <v>78872541</v>
      </c>
      <c r="D580" t="n">
        <v>29172657</v>
      </c>
      <c r="E580" t="n">
        <v>1</v>
      </c>
      <c r="F580" t="n">
        <v>1</v>
      </c>
      <c r="G580" t="n">
        <v>1</v>
      </c>
      <c r="H580" t="n">
        <v>2</v>
      </c>
      <c r="I580" t="inlineStr">
        <is>
          <t>040502</t>
        </is>
      </c>
      <c r="J580" t="inlineStr">
        <is>
          <t>ТСЭМ Московской обл., 040502, приказ Минстроя России №675/пр от 28.02.2017 № 264/пр</t>
        </is>
      </c>
      <c r="K580" t="inlineStr">
        <is>
          <t>Установки для сварки ручной дуговой (постоянного тока)</t>
        </is>
      </c>
      <c r="L580" t="n">
        <v>1368</v>
      </c>
      <c r="N580" t="n">
        <v>1011</v>
      </c>
      <c r="O580" t="inlineStr">
        <is>
          <t>маш.-ч</t>
        </is>
      </c>
      <c r="P580" t="inlineStr">
        <is>
          <t>маш.-ч</t>
        </is>
      </c>
      <c r="Q580" t="n">
        <v>1</v>
      </c>
      <c r="W580" t="n">
        <v>0</v>
      </c>
      <c r="X580" t="n">
        <v>1474986261</v>
      </c>
      <c r="Y580">
        <f>(AT580*ROUND(0.2,7))</f>
        <v/>
      </c>
      <c r="AA580" t="n">
        <v>0</v>
      </c>
      <c r="AB580" t="n">
        <v>69.26000000000001</v>
      </c>
      <c r="AC580" t="n">
        <v>0</v>
      </c>
      <c r="AD580" t="n">
        <v>0</v>
      </c>
      <c r="AE580" t="n">
        <v>0</v>
      </c>
      <c r="AF580" t="n">
        <v>8.1</v>
      </c>
      <c r="AG580" t="n">
        <v>0</v>
      </c>
      <c r="AH580" t="n">
        <v>0</v>
      </c>
      <c r="AI580" t="n">
        <v>1</v>
      </c>
      <c r="AJ580" t="n">
        <v>8.550000000000001</v>
      </c>
      <c r="AK580" t="n">
        <v>52.25</v>
      </c>
      <c r="AL580" t="n">
        <v>1</v>
      </c>
      <c r="AM580" t="n">
        <v>2</v>
      </c>
      <c r="AN580" t="n">
        <v>0</v>
      </c>
      <c r="AO580" t="n">
        <v>1</v>
      </c>
      <c r="AP580" t="n">
        <v>1</v>
      </c>
      <c r="AQ580" t="n">
        <v>0</v>
      </c>
      <c r="AR580" t="n">
        <v>0</v>
      </c>
      <c r="AS580" t="inlineStr"/>
      <c r="AT580" t="n">
        <v>0.13</v>
      </c>
      <c r="AU580" t="inlineStr">
        <is>
          <t>)*0,2</t>
        </is>
      </c>
      <c r="AV580" t="n">
        <v>0</v>
      </c>
      <c r="AW580" t="n">
        <v>2</v>
      </c>
      <c r="AX580" t="n">
        <v>78872564</v>
      </c>
      <c r="AY580" t="n">
        <v>1</v>
      </c>
      <c r="AZ580" t="n">
        <v>2048</v>
      </c>
      <c r="BA580" t="n">
        <v>532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>
        <f>ROUND(Y580*Source!I1217*DO580,7)</f>
        <v/>
      </c>
      <c r="CX580">
        <f>ROUND(Y580*Source!I1217,7)</f>
        <v/>
      </c>
      <c r="CY580">
        <f>AB580</f>
        <v/>
      </c>
      <c r="CZ580">
        <f>AF580</f>
        <v/>
      </c>
      <c r="DA580">
        <f>AJ580</f>
        <v/>
      </c>
      <c r="DB580">
        <f>ROUND((ROUND(AT580*CZ580,2)*ROUND(0.2,7)),2)</f>
        <v/>
      </c>
      <c r="DC580">
        <f>ROUND((ROUND(AT580*AG580,2)*ROUND(0.2,7)),2)</f>
        <v/>
      </c>
      <c r="DD580" t="inlineStr"/>
      <c r="DE580" t="inlineStr"/>
      <c r="DF580">
        <f>ROUND(ROUND(AE580,0)*CX580,0)</f>
        <v/>
      </c>
      <c r="DG580">
        <f>ROUND(ROUND(AF580*AJ580,0)*CX580,0)</f>
        <v/>
      </c>
      <c r="DH580">
        <f>ROUND(ROUND(AG580*AK580,0)*CX580,0)</f>
        <v/>
      </c>
      <c r="DI580">
        <f>ROUND(ROUND(AH580,0)*CX580,0)</f>
        <v/>
      </c>
      <c r="DJ580">
        <f>DG580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ROW(Source!A1217)</f>
        <v/>
      </c>
      <c r="B581" t="n">
        <v>78869116</v>
      </c>
      <c r="C581" t="n">
        <v>78872541</v>
      </c>
      <c r="D581" t="n">
        <v>29174500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330206</t>
        </is>
      </c>
      <c r="J581" t="inlineStr">
        <is>
          <t>ТСЭМ Московской обл., 330206, приказ Минстроя России №675/пр от 28.02.2017 № 264/пр</t>
        </is>
      </c>
      <c r="K581" t="inlineStr">
        <is>
          <t>Дрели электрические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W581" t="n">
        <v>0</v>
      </c>
      <c r="X581" t="n">
        <v>-1867053656</v>
      </c>
      <c r="Y581">
        <f>(AT581*ROUND(0.2,7))</f>
        <v/>
      </c>
      <c r="AA581" t="n">
        <v>0</v>
      </c>
      <c r="AB581" t="n">
        <v>8.390000000000001</v>
      </c>
      <c r="AC581" t="n">
        <v>0</v>
      </c>
      <c r="AD581" t="n">
        <v>0</v>
      </c>
      <c r="AE581" t="n">
        <v>0</v>
      </c>
      <c r="AF581" t="n">
        <v>1.95</v>
      </c>
      <c r="AG581" t="n">
        <v>0</v>
      </c>
      <c r="AH581" t="n">
        <v>0</v>
      </c>
      <c r="AI581" t="n">
        <v>1</v>
      </c>
      <c r="AJ581" t="n">
        <v>4.3</v>
      </c>
      <c r="AK581" t="n">
        <v>52.25</v>
      </c>
      <c r="AL581" t="n">
        <v>1</v>
      </c>
      <c r="AM581" t="n">
        <v>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0.04</v>
      </c>
      <c r="AU581" t="inlineStr">
        <is>
          <t>)*0,2</t>
        </is>
      </c>
      <c r="AV581" t="n">
        <v>0</v>
      </c>
      <c r="AW581" t="n">
        <v>2</v>
      </c>
      <c r="AX581" t="n">
        <v>78872565</v>
      </c>
      <c r="AY581" t="n">
        <v>1</v>
      </c>
      <c r="AZ581" t="n">
        <v>0</v>
      </c>
      <c r="BA581" t="n">
        <v>533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V581" t="n">
        <v>0</v>
      </c>
      <c r="CW581">
        <f>ROUND(Y581*Source!I1217*DO581,7)</f>
        <v/>
      </c>
      <c r="CX581">
        <f>ROUND(Y581*Source!I1217,7)</f>
        <v/>
      </c>
      <c r="CY581">
        <f>AB581</f>
        <v/>
      </c>
      <c r="CZ581">
        <f>AF581</f>
        <v/>
      </c>
      <c r="DA581">
        <f>AJ581</f>
        <v/>
      </c>
      <c r="DB581">
        <f>ROUND((ROUND(AT581*CZ581,2)*ROUND(0.2,7)),2)</f>
        <v/>
      </c>
      <c r="DC581">
        <f>ROUND((ROUND(AT581*AG581,2)*ROUND(0.2,7)),2)</f>
        <v/>
      </c>
      <c r="DD581" t="inlineStr"/>
      <c r="DE581" t="inlineStr"/>
      <c r="DF581">
        <f>ROUND(ROUND(AE581,0)*CX581,0)</f>
        <v/>
      </c>
      <c r="DG581">
        <f>ROUND(ROUND(AF581*AJ581,0)*CX581,0)</f>
        <v/>
      </c>
      <c r="DH581">
        <f>ROUND(ROUND(AG581*AK581,0)*CX581,0)</f>
        <v/>
      </c>
      <c r="DI581">
        <f>ROUND(ROUND(AH581,0)*CX581,0)</f>
        <v/>
      </c>
      <c r="DJ581">
        <f>DG581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ROW(Source!A1217)</f>
        <v/>
      </c>
      <c r="B582" t="n">
        <v>78869116</v>
      </c>
      <c r="C582" t="n">
        <v>78872541</v>
      </c>
      <c r="D582" t="n">
        <v>29174689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350451</t>
        </is>
      </c>
      <c r="J582" t="inlineStr">
        <is>
          <t>ТСЭМ Московской обл., 350451, приказ Минстроя России №675/пр от 28.02.2017 № 264/пр</t>
        </is>
      </c>
      <c r="K582" t="inlineStr">
        <is>
          <t>Пресс гидравлический с электроприводом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-592654397</v>
      </c>
      <c r="Y582">
        <f>(AT582*ROUND(0.2,7))</f>
        <v/>
      </c>
      <c r="AA582" t="n">
        <v>0</v>
      </c>
      <c r="AB582" t="n">
        <v>6.54</v>
      </c>
      <c r="AC582" t="n">
        <v>0</v>
      </c>
      <c r="AD582" t="n">
        <v>0</v>
      </c>
      <c r="AE582" t="n">
        <v>0</v>
      </c>
      <c r="AF582" t="n">
        <v>1.11</v>
      </c>
      <c r="AG582" t="n">
        <v>0</v>
      </c>
      <c r="AH582" t="n">
        <v>0</v>
      </c>
      <c r="AI582" t="n">
        <v>1</v>
      </c>
      <c r="AJ582" t="n">
        <v>5.89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0.2</v>
      </c>
      <c r="AU582" t="inlineStr">
        <is>
          <t>)*0,2</t>
        </is>
      </c>
      <c r="AV582" t="n">
        <v>0</v>
      </c>
      <c r="AW582" t="n">
        <v>2</v>
      </c>
      <c r="AX582" t="n">
        <v>78872566</v>
      </c>
      <c r="AY582" t="n">
        <v>1</v>
      </c>
      <c r="AZ582" t="n">
        <v>2048</v>
      </c>
      <c r="BA582" t="n">
        <v>534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ROUND(Y582*Source!I1217*DO582,7)</f>
        <v/>
      </c>
      <c r="CX582">
        <f>ROUND(Y582*Source!I1217,7)</f>
        <v/>
      </c>
      <c r="CY582">
        <f>AB582</f>
        <v/>
      </c>
      <c r="CZ582">
        <f>AF582</f>
        <v/>
      </c>
      <c r="DA582">
        <f>AJ582</f>
        <v/>
      </c>
      <c r="DB582">
        <f>ROUND((ROUND(AT582*CZ582,2)*ROUND(0.2,7)),2)</f>
        <v/>
      </c>
      <c r="DC582">
        <f>ROUND((ROUND(AT582*AG582,2)*ROUND(0.2,7)),2)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ROW(Source!A1217)</f>
        <v/>
      </c>
      <c r="B583" t="n">
        <v>78869116</v>
      </c>
      <c r="C583" t="n">
        <v>78872541</v>
      </c>
      <c r="D583" t="n">
        <v>29174913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400001</t>
        </is>
      </c>
      <c r="J583" t="inlineStr">
        <is>
          <t>ТСЭМ Московской обл., 400001, приказ Минстроя России №675/пр от 28.02.2017 № 264/пр</t>
        </is>
      </c>
      <c r="K583" t="inlineStr">
        <is>
          <t>Автомобили бортовые, грузоподъемность до 5 т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W583" t="n">
        <v>0</v>
      </c>
      <c r="X583" t="n">
        <v>1230759911</v>
      </c>
      <c r="Y583">
        <f>(AT583*ROUND(0.2,7))</f>
        <v/>
      </c>
      <c r="AA583" t="n">
        <v>0</v>
      </c>
      <c r="AB583" t="n">
        <v>2177.51</v>
      </c>
      <c r="AC583" t="n">
        <v>606.1</v>
      </c>
      <c r="AD583" t="n">
        <v>0</v>
      </c>
      <c r="AE583" t="n">
        <v>0</v>
      </c>
      <c r="AF583" t="n">
        <v>87.17</v>
      </c>
      <c r="AG583" t="n">
        <v>11.6</v>
      </c>
      <c r="AH583" t="n">
        <v>0</v>
      </c>
      <c r="AI583" t="n">
        <v>1</v>
      </c>
      <c r="AJ583" t="n">
        <v>24.98</v>
      </c>
      <c r="AK583" t="n">
        <v>52.25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0.01</v>
      </c>
      <c r="AU583" t="inlineStr">
        <is>
          <t>)*0,2</t>
        </is>
      </c>
      <c r="AV583" t="n">
        <v>0</v>
      </c>
      <c r="AW583" t="n">
        <v>2</v>
      </c>
      <c r="AX583" t="n">
        <v>78872567</v>
      </c>
      <c r="AY583" t="n">
        <v>1</v>
      </c>
      <c r="AZ583" t="n">
        <v>0</v>
      </c>
      <c r="BA583" t="n">
        <v>535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>
        <f>ROUND(Y583*Source!I1217*DO583,7)</f>
        <v/>
      </c>
      <c r="CX583">
        <f>ROUND(Y583*Source!I1217,7)</f>
        <v/>
      </c>
      <c r="CY583">
        <f>AB583</f>
        <v/>
      </c>
      <c r="CZ583">
        <f>AF583</f>
        <v/>
      </c>
      <c r="DA583">
        <f>AJ583</f>
        <v/>
      </c>
      <c r="DB583">
        <f>ROUND((ROUND(AT583*CZ583,2)*ROUND(0.2,7)),2)</f>
        <v/>
      </c>
      <c r="DC583">
        <f>ROUND((ROUND(AT583*AG583,2)*ROUND(0.2,7)),2)</f>
        <v/>
      </c>
      <c r="DD583" t="inlineStr"/>
      <c r="DE583" t="inlineStr"/>
      <c r="DF583">
        <f>ROUND(ROUND(AE583,0)*CX583,0)</f>
        <v/>
      </c>
      <c r="DG583">
        <f>ROUND(ROUND(AF583*AJ583,0)*CX583,0)</f>
        <v/>
      </c>
      <c r="DH583">
        <f>ROUND(ROUND(AG583*AK583,0)*CX583,0)</f>
        <v/>
      </c>
      <c r="DI583">
        <f>ROUND(ROUND(AH583,0)*CX583,0)</f>
        <v/>
      </c>
      <c r="DJ583">
        <f>DG583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ROW(Source!A1217)</f>
        <v/>
      </c>
      <c r="B584" t="n">
        <v>78869116</v>
      </c>
      <c r="C584" t="n">
        <v>78872541</v>
      </c>
      <c r="D584" t="n">
        <v>29110546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101-1665</t>
        </is>
      </c>
      <c r="J584" t="inlineStr">
        <is>
          <t>ТССЦ Московской обл., 101-1665, приказ Минстроя России №675/пр от 28.02.2017 № 254/пр</t>
        </is>
      </c>
      <c r="K584" t="inlineStr">
        <is>
          <t>Лак электроизоляционный 318</t>
        </is>
      </c>
      <c r="L584" t="n">
        <v>1346</v>
      </c>
      <c r="N584" t="n">
        <v>1009</v>
      </c>
      <c r="O584" t="inlineStr">
        <is>
          <t>кг</t>
        </is>
      </c>
      <c r="P584" t="inlineStr">
        <is>
          <t>кг</t>
        </is>
      </c>
      <c r="Q584" t="n">
        <v>1</v>
      </c>
      <c r="W584" t="n">
        <v>0</v>
      </c>
      <c r="X584" t="n">
        <v>2102179917</v>
      </c>
      <c r="Y584">
        <f>(AT584*ROUND(0.2,7))</f>
        <v/>
      </c>
      <c r="AA584" t="n">
        <v>191.33</v>
      </c>
      <c r="AB584" t="n">
        <v>0</v>
      </c>
      <c r="AC584" t="n">
        <v>0</v>
      </c>
      <c r="AD584" t="n">
        <v>0</v>
      </c>
      <c r="AE584" t="n">
        <v>35.63</v>
      </c>
      <c r="AF584" t="n">
        <v>0</v>
      </c>
      <c r="AG584" t="n">
        <v>0</v>
      </c>
      <c r="AH584" t="n">
        <v>0</v>
      </c>
      <c r="AI584" t="n">
        <v>5.37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0.014</v>
      </c>
      <c r="AU584" t="inlineStr">
        <is>
          <t>)*0,2</t>
        </is>
      </c>
      <c r="AV584" t="n">
        <v>0</v>
      </c>
      <c r="AW584" t="n">
        <v>2</v>
      </c>
      <c r="AX584" t="n">
        <v>78872568</v>
      </c>
      <c r="AY584" t="n">
        <v>1</v>
      </c>
      <c r="AZ584" t="n">
        <v>2048</v>
      </c>
      <c r="BA584" t="n">
        <v>536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ROUND(Y584*Source!I1217,7)</f>
        <v/>
      </c>
      <c r="CY584">
        <f>AA584</f>
        <v/>
      </c>
      <c r="CZ584">
        <f>AE584</f>
        <v/>
      </c>
      <c r="DA584">
        <f>AI584</f>
        <v/>
      </c>
      <c r="DB584">
        <f>ROUND((ROUND(AT584*CZ584,2)*ROUND(0.2,7)),2)</f>
        <v/>
      </c>
      <c r="DC584">
        <f>ROUND((ROUND(AT584*AG584,2)*ROUND(0.2,7)),2)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ROW(Source!A1217)</f>
        <v/>
      </c>
      <c r="B585" t="n">
        <v>78869116</v>
      </c>
      <c r="C585" t="n">
        <v>78872541</v>
      </c>
      <c r="D585" t="n">
        <v>29113980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101-1924</t>
        </is>
      </c>
      <c r="J585" t="inlineStr">
        <is>
          <t>ТССЦ Московской обл., 101-1924, приказ Минстроя России №675/пр от 28.02.2017 № 254/пр</t>
        </is>
      </c>
      <c r="K585" t="inlineStr">
        <is>
          <t>Электроды диаметром 4 мм Э42А</t>
        </is>
      </c>
      <c r="L585" t="n">
        <v>1346</v>
      </c>
      <c r="N585" t="n">
        <v>1009</v>
      </c>
      <c r="O585" t="inlineStr">
        <is>
          <t>кг</t>
        </is>
      </c>
      <c r="P585" t="inlineStr">
        <is>
          <t>кг</t>
        </is>
      </c>
      <c r="Q585" t="n">
        <v>1</v>
      </c>
      <c r="W585" t="n">
        <v>0</v>
      </c>
      <c r="X585" t="n">
        <v>-1805966371</v>
      </c>
      <c r="Y585">
        <f>(AT585*ROUND(0.2,7))</f>
        <v/>
      </c>
      <c r="AA585" t="n">
        <v>179.3</v>
      </c>
      <c r="AB585" t="n">
        <v>0</v>
      </c>
      <c r="AC585" t="n">
        <v>0</v>
      </c>
      <c r="AD585" t="n">
        <v>0</v>
      </c>
      <c r="AE585" t="n">
        <v>14.31</v>
      </c>
      <c r="AF585" t="n">
        <v>0</v>
      </c>
      <c r="AG585" t="n">
        <v>0</v>
      </c>
      <c r="AH585" t="n">
        <v>0</v>
      </c>
      <c r="AI585" t="n">
        <v>12.53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0.07000000000000001</v>
      </c>
      <c r="AU585" t="inlineStr">
        <is>
          <t>)*0,2</t>
        </is>
      </c>
      <c r="AV585" t="n">
        <v>0</v>
      </c>
      <c r="AW585" t="n">
        <v>2</v>
      </c>
      <c r="AX585" t="n">
        <v>78872569</v>
      </c>
      <c r="AY585" t="n">
        <v>1</v>
      </c>
      <c r="AZ585" t="n">
        <v>2048</v>
      </c>
      <c r="BA585" t="n">
        <v>537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ROUND(Y585*Source!I1217,7)</f>
        <v/>
      </c>
      <c r="CY585">
        <f>AA585</f>
        <v/>
      </c>
      <c r="CZ585">
        <f>AE585</f>
        <v/>
      </c>
      <c r="DA585">
        <f>AI585</f>
        <v/>
      </c>
      <c r="DB585">
        <f>ROUND((ROUND(AT585*CZ585,2)*ROUND(0.2,7)),2)</f>
        <v/>
      </c>
      <c r="DC585">
        <f>ROUND((ROUND(AT585*AG585,2)*ROUND(0.2,7)),2)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ROW(Source!A1217)</f>
        <v/>
      </c>
      <c r="B586" t="n">
        <v>78869116</v>
      </c>
      <c r="C586" t="n">
        <v>78872541</v>
      </c>
      <c r="D586" t="n">
        <v>29108369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101-1964</t>
        </is>
      </c>
      <c r="J586" t="inlineStr">
        <is>
          <t>ТССЦ Московской обл., 101-1964, приказ Минстроя России №675/пр от 28.02.2017 № 254/пр</t>
        </is>
      </c>
      <c r="K586" t="inlineStr">
        <is>
          <t>Шпагат бумажный</t>
        </is>
      </c>
      <c r="L586" t="n">
        <v>1346</v>
      </c>
      <c r="N586" t="n">
        <v>1009</v>
      </c>
      <c r="O586" t="inlineStr">
        <is>
          <t>кг</t>
        </is>
      </c>
      <c r="P586" t="inlineStr">
        <is>
          <t>кг</t>
        </is>
      </c>
      <c r="Q586" t="n">
        <v>1</v>
      </c>
      <c r="W586" t="n">
        <v>0</v>
      </c>
      <c r="X586" t="n">
        <v>326902400</v>
      </c>
      <c r="Y586">
        <f>(AT586*ROUND(0.2,7))</f>
        <v/>
      </c>
      <c r="AA586" t="n">
        <v>260.82</v>
      </c>
      <c r="AB586" t="n">
        <v>0</v>
      </c>
      <c r="AC586" t="n">
        <v>0</v>
      </c>
      <c r="AD586" t="n">
        <v>0</v>
      </c>
      <c r="AE586" t="n">
        <v>18.9</v>
      </c>
      <c r="AF586" t="n">
        <v>0</v>
      </c>
      <c r="AG586" t="n">
        <v>0</v>
      </c>
      <c r="AH586" t="n">
        <v>0</v>
      </c>
      <c r="AI586" t="n">
        <v>13.8</v>
      </c>
      <c r="AJ586" t="n">
        <v>1</v>
      </c>
      <c r="AK586" t="n">
        <v>1</v>
      </c>
      <c r="AL586" t="n">
        <v>1</v>
      </c>
      <c r="AM586" t="n">
        <v>2</v>
      </c>
      <c r="AN586" t="n">
        <v>0</v>
      </c>
      <c r="AO586" t="n">
        <v>1</v>
      </c>
      <c r="AP586" t="n">
        <v>1</v>
      </c>
      <c r="AQ586" t="n">
        <v>0</v>
      </c>
      <c r="AR586" t="n">
        <v>0</v>
      </c>
      <c r="AS586" t="inlineStr"/>
      <c r="AT586" t="n">
        <v>0.004</v>
      </c>
      <c r="AU586" t="inlineStr">
        <is>
          <t>)*0,2</t>
        </is>
      </c>
      <c r="AV586" t="n">
        <v>0</v>
      </c>
      <c r="AW586" t="n">
        <v>2</v>
      </c>
      <c r="AX586" t="n">
        <v>78872570</v>
      </c>
      <c r="AY586" t="n">
        <v>1</v>
      </c>
      <c r="AZ586" t="n">
        <v>0</v>
      </c>
      <c r="BA586" t="n">
        <v>538</v>
      </c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ROUND(Y586*Source!I1217,7)</f>
        <v/>
      </c>
      <c r="CY586">
        <f>AA586</f>
        <v/>
      </c>
      <c r="CZ586">
        <f>AE586</f>
        <v/>
      </c>
      <c r="DA586">
        <f>AI586</f>
        <v/>
      </c>
      <c r="DB586">
        <f>ROUND((ROUND(AT586*CZ586,2)*ROUND(0.2,7)),2)</f>
        <v/>
      </c>
      <c r="DC586">
        <f>ROUND((ROUND(AT586*AG586,2)*ROUND(0.2,7)),2)</f>
        <v/>
      </c>
      <c r="DD586" t="inlineStr"/>
      <c r="DE586" t="inlineStr"/>
      <c r="DF586">
        <f>ROUND(ROUND(AE586*AI586,0)*CX586,0)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ROW(Source!A1217)</f>
        <v/>
      </c>
      <c r="B587" t="n">
        <v>78869116</v>
      </c>
      <c r="C587" t="n">
        <v>78872541</v>
      </c>
      <c r="D587" t="n">
        <v>29114246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101-1977</t>
        </is>
      </c>
      <c r="J587" t="inlineStr">
        <is>
          <t>ТССЦ Московской обл., 101-1977, приказ Минстроя России №675/пр от 28.02.2017 № 254/пр</t>
        </is>
      </c>
      <c r="K587" t="inlineStr">
        <is>
          <t>Болты с гайками и шайбами строительные</t>
        </is>
      </c>
      <c r="L587" t="n">
        <v>1346</v>
      </c>
      <c r="N587" t="n">
        <v>1009</v>
      </c>
      <c r="O587" t="inlineStr">
        <is>
          <t>кг</t>
        </is>
      </c>
      <c r="P587" t="inlineStr">
        <is>
          <t>кг</t>
        </is>
      </c>
      <c r="Q587" t="n">
        <v>1</v>
      </c>
      <c r="W587" t="n">
        <v>0</v>
      </c>
      <c r="X587" t="n">
        <v>30920770</v>
      </c>
      <c r="Y587">
        <f>(AT587*ROUND(0.2,7))</f>
        <v/>
      </c>
      <c r="AA587" t="n">
        <v>152.32</v>
      </c>
      <c r="AB587" t="n">
        <v>0</v>
      </c>
      <c r="AC587" t="n">
        <v>0</v>
      </c>
      <c r="AD587" t="n">
        <v>0</v>
      </c>
      <c r="AE587" t="n">
        <v>9.039999999999999</v>
      </c>
      <c r="AF587" t="n">
        <v>0</v>
      </c>
      <c r="AG587" t="n">
        <v>0</v>
      </c>
      <c r="AH587" t="n">
        <v>0</v>
      </c>
      <c r="AI587" t="n">
        <v>16.85</v>
      </c>
      <c r="AJ587" t="n">
        <v>1</v>
      </c>
      <c r="AK587" t="n">
        <v>1</v>
      </c>
      <c r="AL587" t="n">
        <v>1</v>
      </c>
      <c r="AM587" t="n">
        <v>2</v>
      </c>
      <c r="AN587" t="n">
        <v>0</v>
      </c>
      <c r="AO587" t="n">
        <v>1</v>
      </c>
      <c r="AP587" t="n">
        <v>1</v>
      </c>
      <c r="AQ587" t="n">
        <v>0</v>
      </c>
      <c r="AR587" t="n">
        <v>0</v>
      </c>
      <c r="AS587" t="inlineStr"/>
      <c r="AT587" t="n">
        <v>0.38</v>
      </c>
      <c r="AU587" t="inlineStr">
        <is>
          <t>)*0,2</t>
        </is>
      </c>
      <c r="AV587" t="n">
        <v>0</v>
      </c>
      <c r="AW587" t="n">
        <v>2</v>
      </c>
      <c r="AX587" t="n">
        <v>78872571</v>
      </c>
      <c r="AY587" t="n">
        <v>1</v>
      </c>
      <c r="AZ587" t="n">
        <v>2048</v>
      </c>
      <c r="BA587" t="n">
        <v>539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V587" t="n">
        <v>0</v>
      </c>
      <c r="CW587" t="n">
        <v>0</v>
      </c>
      <c r="CX587">
        <f>ROUND(Y587*Source!I1217,7)</f>
        <v/>
      </c>
      <c r="CY587">
        <f>AA587</f>
        <v/>
      </c>
      <c r="CZ587">
        <f>AE587</f>
        <v/>
      </c>
      <c r="DA587">
        <f>AI587</f>
        <v/>
      </c>
      <c r="DB587">
        <f>ROUND((ROUND(AT587*CZ587,2)*ROUND(0.2,7)),2)</f>
        <v/>
      </c>
      <c r="DC587">
        <f>ROUND((ROUND(AT587*AG587,2)*ROUND(0.2,7)),2)</f>
        <v/>
      </c>
      <c r="DD587" t="inlineStr"/>
      <c r="DE587" t="inlineStr"/>
      <c r="DF587">
        <f>ROUND(ROUND(AE587*AI587,0)*CX587,0)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DF587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ROW(Source!A1217)</f>
        <v/>
      </c>
      <c r="B588" t="n">
        <v>78869116</v>
      </c>
      <c r="C588" t="n">
        <v>78872541</v>
      </c>
      <c r="D588" t="n">
        <v>29110426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101-2143</t>
        </is>
      </c>
      <c r="J588" t="inlineStr">
        <is>
          <t>ТССЦ Московской обл., 101-2143, приказ Минстроя России №675/пр от 28.02.2017 № 254/пр</t>
        </is>
      </c>
      <c r="K588" t="inlineStr">
        <is>
          <t>Краска</t>
        </is>
      </c>
      <c r="L588" t="n">
        <v>1346</v>
      </c>
      <c r="N588" t="n">
        <v>1009</v>
      </c>
      <c r="O588" t="inlineStr">
        <is>
          <t>кг</t>
        </is>
      </c>
      <c r="P588" t="inlineStr">
        <is>
          <t>кг</t>
        </is>
      </c>
      <c r="Q588" t="n">
        <v>1</v>
      </c>
      <c r="W588" t="n">
        <v>0</v>
      </c>
      <c r="X588" t="n">
        <v>-1768004575</v>
      </c>
      <c r="Y588">
        <f>(AT588*ROUND(0.2,7))</f>
        <v/>
      </c>
      <c r="AA588" t="n">
        <v>76.84</v>
      </c>
      <c r="AB588" t="n">
        <v>0</v>
      </c>
      <c r="AC588" t="n">
        <v>0</v>
      </c>
      <c r="AD588" t="n">
        <v>0</v>
      </c>
      <c r="AE588" t="n">
        <v>28.67</v>
      </c>
      <c r="AF588" t="n">
        <v>0</v>
      </c>
      <c r="AG588" t="n">
        <v>0</v>
      </c>
      <c r="AH588" t="n">
        <v>0</v>
      </c>
      <c r="AI588" t="n">
        <v>2.68</v>
      </c>
      <c r="AJ588" t="n">
        <v>1</v>
      </c>
      <c r="AK588" t="n">
        <v>1</v>
      </c>
      <c r="AL588" t="n">
        <v>1</v>
      </c>
      <c r="AM588" t="n">
        <v>2</v>
      </c>
      <c r="AN588" t="n">
        <v>0</v>
      </c>
      <c r="AO588" t="n">
        <v>1</v>
      </c>
      <c r="AP588" t="n">
        <v>1</v>
      </c>
      <c r="AQ588" t="n">
        <v>0</v>
      </c>
      <c r="AR588" t="n">
        <v>0</v>
      </c>
      <c r="AS588" t="inlineStr"/>
      <c r="AT588" t="n">
        <v>0.047</v>
      </c>
      <c r="AU588" t="inlineStr">
        <is>
          <t>)*0,2</t>
        </is>
      </c>
      <c r="AV588" t="n">
        <v>0</v>
      </c>
      <c r="AW588" t="n">
        <v>2</v>
      </c>
      <c r="AX588" t="n">
        <v>78872572</v>
      </c>
      <c r="AY588" t="n">
        <v>1</v>
      </c>
      <c r="AZ588" t="n">
        <v>0</v>
      </c>
      <c r="BA588" t="n">
        <v>540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 t="n">
        <v>0</v>
      </c>
      <c r="CX588">
        <f>ROUND(Y588*Source!I1217,7)</f>
        <v/>
      </c>
      <c r="CY588">
        <f>AA588</f>
        <v/>
      </c>
      <c r="CZ588">
        <f>AE588</f>
        <v/>
      </c>
      <c r="DA588">
        <f>AI588</f>
        <v/>
      </c>
      <c r="DB588">
        <f>ROUND((ROUND(AT588*CZ588,2)*ROUND(0.2,7)),2)</f>
        <v/>
      </c>
      <c r="DC588">
        <f>ROUND((ROUND(AT588*AG588,2)*ROUND(0.2,7)),2)</f>
        <v/>
      </c>
      <c r="DD588" t="inlineStr"/>
      <c r="DE588" t="inlineStr"/>
      <c r="DF588">
        <f>ROUND(ROUND(AE588*AI588,0)*CX588,0)</f>
        <v/>
      </c>
      <c r="DG588">
        <f>ROUND(ROUND(AF588,0)*CX588,0)</f>
        <v/>
      </c>
      <c r="DH588">
        <f>ROUND(ROUND(AG588,0)*CX588,0)</f>
        <v/>
      </c>
      <c r="DI588">
        <f>ROUND(ROUND(AH588,0)*CX588,0)</f>
        <v/>
      </c>
      <c r="DJ588">
        <f>DF588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ROW(Source!A1217)</f>
        <v/>
      </c>
      <c r="B589" t="n">
        <v>78869116</v>
      </c>
      <c r="C589" t="n">
        <v>78872541</v>
      </c>
      <c r="D589" t="n">
        <v>29107961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101-2365</t>
        </is>
      </c>
      <c r="J589" t="inlineStr">
        <is>
          <t>ТССЦ Московской обл., 101-2365, приказ Минстроя России №675/пр от 28.02.2017 № 254/пр</t>
        </is>
      </c>
      <c r="K589" t="inlineStr">
        <is>
          <t>Нитки швейные</t>
        </is>
      </c>
      <c r="L589" t="n">
        <v>1346</v>
      </c>
      <c r="N589" t="n">
        <v>1009</v>
      </c>
      <c r="O589" t="inlineStr">
        <is>
          <t>кг</t>
        </is>
      </c>
      <c r="P589" t="inlineStr">
        <is>
          <t>кг</t>
        </is>
      </c>
      <c r="Q589" t="n">
        <v>1</v>
      </c>
      <c r="W589" t="n">
        <v>0</v>
      </c>
      <c r="X589" t="n">
        <v>-1088339451</v>
      </c>
      <c r="Y589">
        <f>(AT589*ROUND(0.2,7))</f>
        <v/>
      </c>
      <c r="AA589" t="n">
        <v>766.37</v>
      </c>
      <c r="AB589" t="n">
        <v>0</v>
      </c>
      <c r="AC589" t="n">
        <v>0</v>
      </c>
      <c r="AD589" t="n">
        <v>0</v>
      </c>
      <c r="AE589" t="n">
        <v>133.05</v>
      </c>
      <c r="AF589" t="n">
        <v>0</v>
      </c>
      <c r="AG589" t="n">
        <v>0</v>
      </c>
      <c r="AH589" t="n">
        <v>0</v>
      </c>
      <c r="AI589" t="n">
        <v>5.76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1</v>
      </c>
      <c r="AQ589" t="n">
        <v>0</v>
      </c>
      <c r="AR589" t="n">
        <v>0</v>
      </c>
      <c r="AS589" t="inlineStr"/>
      <c r="AT589" t="n">
        <v>0.002</v>
      </c>
      <c r="AU589" t="inlineStr">
        <is>
          <t>)*0,2</t>
        </is>
      </c>
      <c r="AV589" t="n">
        <v>0</v>
      </c>
      <c r="AW589" t="n">
        <v>2</v>
      </c>
      <c r="AX589" t="n">
        <v>78872573</v>
      </c>
      <c r="AY589" t="n">
        <v>1</v>
      </c>
      <c r="AZ589" t="n">
        <v>0</v>
      </c>
      <c r="BA589" t="n">
        <v>541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ROUND(Y589*Source!I1217,7)</f>
        <v/>
      </c>
      <c r="CY589">
        <f>AA589</f>
        <v/>
      </c>
      <c r="CZ589">
        <f>AE589</f>
        <v/>
      </c>
      <c r="DA589">
        <f>AI589</f>
        <v/>
      </c>
      <c r="DB589">
        <f>ROUND((ROUND(AT589*CZ589,2)*ROUND(0.2,7)),2)</f>
        <v/>
      </c>
      <c r="DC589">
        <f>ROUND((ROUND(AT589*AG589,2)*ROUND(0.2,7)),2)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ROW(Source!A1217)</f>
        <v/>
      </c>
      <c r="B590" t="n">
        <v>78869116</v>
      </c>
      <c r="C590" t="n">
        <v>78872541</v>
      </c>
      <c r="D590" t="n">
        <v>29110838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101-2499</t>
        </is>
      </c>
      <c r="J590" t="inlineStr">
        <is>
          <t>ТССЦ Московской обл., 101-2499, приказ Минстроя России №675/пр от 28.02.2017 № 254/пр</t>
        </is>
      </c>
      <c r="K590" t="inlineStr">
        <is>
          <t>Лента изоляционная прорезиненная односторонняя ширина 20 мм, толщина 0,25-0,35 мм</t>
        </is>
      </c>
      <c r="L590" t="n">
        <v>1346</v>
      </c>
      <c r="N590" t="n">
        <v>1009</v>
      </c>
      <c r="O590" t="inlineStr">
        <is>
          <t>кг</t>
        </is>
      </c>
      <c r="P590" t="inlineStr">
        <is>
          <t>кг</t>
        </is>
      </c>
      <c r="Q590" t="n">
        <v>1</v>
      </c>
      <c r="W590" t="n">
        <v>0</v>
      </c>
      <c r="X590" t="n">
        <v>-1294780295</v>
      </c>
      <c r="Y590">
        <f>(AT590*ROUND(0.2,7))</f>
        <v/>
      </c>
      <c r="AA590" t="n">
        <v>1090.07</v>
      </c>
      <c r="AB590" t="n">
        <v>0</v>
      </c>
      <c r="AC590" t="n">
        <v>0</v>
      </c>
      <c r="AD590" t="n">
        <v>0</v>
      </c>
      <c r="AE590" t="n">
        <v>30.5</v>
      </c>
      <c r="AF590" t="n">
        <v>0</v>
      </c>
      <c r="AG590" t="n">
        <v>0</v>
      </c>
      <c r="AH590" t="n">
        <v>0</v>
      </c>
      <c r="AI590" t="n">
        <v>35.74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1</v>
      </c>
      <c r="AQ590" t="n">
        <v>0</v>
      </c>
      <c r="AR590" t="n">
        <v>0</v>
      </c>
      <c r="AS590" t="inlineStr"/>
      <c r="AT590" t="n">
        <v>0.036</v>
      </c>
      <c r="AU590" t="inlineStr">
        <is>
          <t>)*0,2</t>
        </is>
      </c>
      <c r="AV590" t="n">
        <v>0</v>
      </c>
      <c r="AW590" t="n">
        <v>2</v>
      </c>
      <c r="AX590" t="n">
        <v>78872574</v>
      </c>
      <c r="AY590" t="n">
        <v>1</v>
      </c>
      <c r="AZ590" t="n">
        <v>0</v>
      </c>
      <c r="BA590" t="n">
        <v>542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ROUND(Y590*Source!I1217,7)</f>
        <v/>
      </c>
      <c r="CY590">
        <f>AA590</f>
        <v/>
      </c>
      <c r="CZ590">
        <f>AE590</f>
        <v/>
      </c>
      <c r="DA590">
        <f>AI590</f>
        <v/>
      </c>
      <c r="DB590">
        <f>ROUND((ROUND(AT590*CZ590,2)*ROUND(0.2,7)),2)</f>
        <v/>
      </c>
      <c r="DC590">
        <f>ROUND((ROUND(AT590*AG590,2)*ROUND(0.2,7)),2)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ROW(Source!A1217)</f>
        <v/>
      </c>
      <c r="B591" t="n">
        <v>78869116</v>
      </c>
      <c r="C591" t="n">
        <v>78872541</v>
      </c>
      <c r="D591" t="n">
        <v>29114470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101-3914</t>
        </is>
      </c>
      <c r="J591" t="inlineStr">
        <is>
          <t>ТССЦ Московской обл., 101-3914, приказ Минстроя России №675/пр от 28.02.2017 № 254/пр</t>
        </is>
      </c>
      <c r="K591" t="inlineStr">
        <is>
          <t>Дюбели распорные полипропиленовые</t>
        </is>
      </c>
      <c r="L591" t="n">
        <v>1355</v>
      </c>
      <c r="N591" t="n">
        <v>1010</v>
      </c>
      <c r="O591" t="inlineStr">
        <is>
          <t>100 шт.</t>
        </is>
      </c>
      <c r="P591" t="inlineStr">
        <is>
          <t>100 шт.</t>
        </is>
      </c>
      <c r="Q591" t="n">
        <v>100</v>
      </c>
      <c r="W591" t="n">
        <v>0</v>
      </c>
      <c r="X591" t="n">
        <v>1627582661</v>
      </c>
      <c r="Y591">
        <f>(AT591*ROUND(0.2,7))</f>
        <v/>
      </c>
      <c r="AA591" t="n">
        <v>78.48</v>
      </c>
      <c r="AB591" t="n">
        <v>0</v>
      </c>
      <c r="AC591" t="n">
        <v>0</v>
      </c>
      <c r="AD591" t="n">
        <v>0</v>
      </c>
      <c r="AE591" t="n">
        <v>86.23999999999999</v>
      </c>
      <c r="AF591" t="n">
        <v>0</v>
      </c>
      <c r="AG591" t="n">
        <v>0</v>
      </c>
      <c r="AH591" t="n">
        <v>0</v>
      </c>
      <c r="AI591" t="n">
        <v>0.91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1</v>
      </c>
      <c r="AQ591" t="n">
        <v>0</v>
      </c>
      <c r="AR591" t="n">
        <v>0</v>
      </c>
      <c r="AS591" t="inlineStr"/>
      <c r="AT591" t="n">
        <v>0.014</v>
      </c>
      <c r="AU591" t="inlineStr">
        <is>
          <t>)*0,2</t>
        </is>
      </c>
      <c r="AV591" t="n">
        <v>0</v>
      </c>
      <c r="AW591" t="n">
        <v>2</v>
      </c>
      <c r="AX591" t="n">
        <v>78872575</v>
      </c>
      <c r="AY591" t="n">
        <v>1</v>
      </c>
      <c r="AZ591" t="n">
        <v>2048</v>
      </c>
      <c r="BA591" t="n">
        <v>543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ROUND(Y591*Source!I1217,7)</f>
        <v/>
      </c>
      <c r="CY591">
        <f>AA591</f>
        <v/>
      </c>
      <c r="CZ591">
        <f>AE591</f>
        <v/>
      </c>
      <c r="DA591">
        <f>AI591</f>
        <v/>
      </c>
      <c r="DB591">
        <f>ROUND((ROUND(AT591*CZ591,2)*ROUND(0.2,7)),2)</f>
        <v/>
      </c>
      <c r="DC591">
        <f>ROUND((ROUND(AT591*AG591,2)*ROUND(0.2,7)),2)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ROW(Source!A1217)</f>
        <v/>
      </c>
      <c r="B592" t="n">
        <v>78869116</v>
      </c>
      <c r="C592" t="n">
        <v>78872541</v>
      </c>
      <c r="D592" t="n">
        <v>29129474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201-0843</t>
        </is>
      </c>
      <c r="J592" t="inlineStr">
        <is>
          <t>ТССЦ Московской обл., 201-0843, приказ Минстроя России №675/пр от 28.02.2017 № 255/пр</t>
        </is>
      </c>
      <c r="K592" t="inlineStr">
        <is>
          <t>Конструкции стальные индивидуальные решетчатые сварные массой до 0,1 т</t>
        </is>
      </c>
      <c r="L592" t="n">
        <v>1348</v>
      </c>
      <c r="N592" t="n">
        <v>1009</v>
      </c>
      <c r="O592" t="inlineStr">
        <is>
          <t>т</t>
        </is>
      </c>
      <c r="P592" t="inlineStr">
        <is>
          <t>т</t>
        </is>
      </c>
      <c r="Q592" t="n">
        <v>1000</v>
      </c>
      <c r="W592" t="n">
        <v>0</v>
      </c>
      <c r="X592" t="n">
        <v>-115984519</v>
      </c>
      <c r="Y592">
        <f>(AT592*ROUND(0.2,7))</f>
        <v/>
      </c>
      <c r="AA592" t="n">
        <v>118113.18</v>
      </c>
      <c r="AB592" t="n">
        <v>0</v>
      </c>
      <c r="AC592" t="n">
        <v>0</v>
      </c>
      <c r="AD592" t="n">
        <v>0</v>
      </c>
      <c r="AE592" t="n">
        <v>11534.49</v>
      </c>
      <c r="AF592" t="n">
        <v>0</v>
      </c>
      <c r="AG592" t="n">
        <v>0</v>
      </c>
      <c r="AH592" t="n">
        <v>0</v>
      </c>
      <c r="AI592" t="n">
        <v>10.24</v>
      </c>
      <c r="AJ592" t="n">
        <v>1</v>
      </c>
      <c r="AK592" t="n">
        <v>1</v>
      </c>
      <c r="AL592" t="n">
        <v>1</v>
      </c>
      <c r="AM592" t="n">
        <v>2</v>
      </c>
      <c r="AN592" t="n">
        <v>0</v>
      </c>
      <c r="AO592" t="n">
        <v>1</v>
      </c>
      <c r="AP592" t="n">
        <v>1</v>
      </c>
      <c r="AQ592" t="n">
        <v>0</v>
      </c>
      <c r="AR592" t="n">
        <v>0</v>
      </c>
      <c r="AS592" t="inlineStr"/>
      <c r="AT592" t="n">
        <v>0.002</v>
      </c>
      <c r="AU592" t="inlineStr">
        <is>
          <t>)*0,2</t>
        </is>
      </c>
      <c r="AV592" t="n">
        <v>0</v>
      </c>
      <c r="AW592" t="n">
        <v>2</v>
      </c>
      <c r="AX592" t="n">
        <v>78872576</v>
      </c>
      <c r="AY592" t="n">
        <v>1</v>
      </c>
      <c r="AZ592" t="n">
        <v>0</v>
      </c>
      <c r="BA592" t="n">
        <v>544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V592" t="n">
        <v>0</v>
      </c>
      <c r="CW592" t="n">
        <v>0</v>
      </c>
      <c r="CX592">
        <f>ROUND(Y592*Source!I1217,7)</f>
        <v/>
      </c>
      <c r="CY592">
        <f>AA592</f>
        <v/>
      </c>
      <c r="CZ592">
        <f>AE592</f>
        <v/>
      </c>
      <c r="DA592">
        <f>AI592</f>
        <v/>
      </c>
      <c r="DB592">
        <f>ROUND((ROUND(AT592*CZ592,2)*ROUND(0.2,7)),2)</f>
        <v/>
      </c>
      <c r="DC592">
        <f>ROUND((ROUND(AT592*AG592,2)*ROUND(0.2,7)),2)</f>
        <v/>
      </c>
      <c r="DD592" t="inlineStr"/>
      <c r="DE592" t="inlineStr"/>
      <c r="DF592">
        <f>ROUND(ROUND(AE592*AI592,0)*CX592,0)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DF592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ROW(Source!A1217)</f>
        <v/>
      </c>
      <c r="B593" t="n">
        <v>78869116</v>
      </c>
      <c r="C593" t="n">
        <v>78872541</v>
      </c>
      <c r="D593" t="n">
        <v>29165774</v>
      </c>
      <c r="E593" t="n">
        <v>1</v>
      </c>
      <c r="F593" t="n">
        <v>1</v>
      </c>
      <c r="G593" t="n">
        <v>1</v>
      </c>
      <c r="H593" t="n">
        <v>3</v>
      </c>
      <c r="I593" t="inlineStr">
        <is>
          <t>509-0090</t>
        </is>
      </c>
      <c r="J593" t="inlineStr">
        <is>
          <t>ТССЦ Московской обл., 509-0090, приказ Минстроя России №675/пр от 28.02.2017 № 258/пр</t>
        </is>
      </c>
      <c r="K593" t="inlineStr">
        <is>
          <t>Перемычки гибкие, тип ПГС-50</t>
        </is>
      </c>
      <c r="L593" t="n">
        <v>1358</v>
      </c>
      <c r="N593" t="n">
        <v>1010</v>
      </c>
      <c r="O593" t="inlineStr">
        <is>
          <t>10 шт.</t>
        </is>
      </c>
      <c r="P593" t="inlineStr">
        <is>
          <t>10 шт.</t>
        </is>
      </c>
      <c r="Q593" t="n">
        <v>10</v>
      </c>
      <c r="W593" t="n">
        <v>0</v>
      </c>
      <c r="X593" t="n">
        <v>-1035860104</v>
      </c>
      <c r="Y593">
        <f>(AT593*ROUND(0.2,7))</f>
        <v/>
      </c>
      <c r="AA593" t="n">
        <v>1258.9</v>
      </c>
      <c r="AB593" t="n">
        <v>0</v>
      </c>
      <c r="AC593" t="n">
        <v>0</v>
      </c>
      <c r="AD593" t="n">
        <v>0</v>
      </c>
      <c r="AE593" t="n">
        <v>40.9</v>
      </c>
      <c r="AF593" t="n">
        <v>0</v>
      </c>
      <c r="AG593" t="n">
        <v>0</v>
      </c>
      <c r="AH593" t="n">
        <v>0</v>
      </c>
      <c r="AI593" t="n">
        <v>30.78</v>
      </c>
      <c r="AJ593" t="n">
        <v>1</v>
      </c>
      <c r="AK593" t="n">
        <v>1</v>
      </c>
      <c r="AL593" t="n">
        <v>1</v>
      </c>
      <c r="AM593" t="n">
        <v>2</v>
      </c>
      <c r="AN593" t="n">
        <v>0</v>
      </c>
      <c r="AO593" t="n">
        <v>1</v>
      </c>
      <c r="AP593" t="n">
        <v>1</v>
      </c>
      <c r="AQ593" t="n">
        <v>0</v>
      </c>
      <c r="AR593" t="n">
        <v>0</v>
      </c>
      <c r="AS593" t="inlineStr"/>
      <c r="AT593" t="n">
        <v>0.1</v>
      </c>
      <c r="AU593" t="inlineStr">
        <is>
          <t>)*0,2</t>
        </is>
      </c>
      <c r="AV593" t="n">
        <v>0</v>
      </c>
      <c r="AW593" t="n">
        <v>2</v>
      </c>
      <c r="AX593" t="n">
        <v>78872577</v>
      </c>
      <c r="AY593" t="n">
        <v>1</v>
      </c>
      <c r="AZ593" t="n">
        <v>2048</v>
      </c>
      <c r="BA593" t="n">
        <v>545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 t="n">
        <v>0</v>
      </c>
      <c r="CX593">
        <f>ROUND(Y593*Source!I1217,7)</f>
        <v/>
      </c>
      <c r="CY593">
        <f>AA593</f>
        <v/>
      </c>
      <c r="CZ593">
        <f>AE593</f>
        <v/>
      </c>
      <c r="DA593">
        <f>AI593</f>
        <v/>
      </c>
      <c r="DB593">
        <f>ROUND((ROUND(AT593*CZ593,2)*ROUND(0.2,7)),2)</f>
        <v/>
      </c>
      <c r="DC593">
        <f>ROUND((ROUND(AT593*AG593,2)*ROUND(0.2,7)),2)</f>
        <v/>
      </c>
      <c r="DD593" t="inlineStr"/>
      <c r="DE593" t="inlineStr"/>
      <c r="DF593">
        <f>ROUND(ROUND(AE593*AI593,0)*CX593,0)</f>
        <v/>
      </c>
      <c r="DG593">
        <f>ROUND(ROUND(AF593,0)*CX593,0)</f>
        <v/>
      </c>
      <c r="DH593">
        <f>ROUND(ROUND(AG593,0)*CX593,0)</f>
        <v/>
      </c>
      <c r="DI593">
        <f>ROUND(ROUND(AH593,0)*CX593,0)</f>
        <v/>
      </c>
      <c r="DJ593">
        <f>DF593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ROW(Source!A1217)</f>
        <v/>
      </c>
      <c r="B594" t="n">
        <v>78869116</v>
      </c>
      <c r="C594" t="n">
        <v>78872541</v>
      </c>
      <c r="D594" t="n">
        <v>29171708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509-1210</t>
        </is>
      </c>
      <c r="J594" t="inlineStr">
        <is>
          <t>ТССЦ Московской обл., 509-1210, приказ Минстроя России №675/пр от 28.02.2017 № 258/пр</t>
        </is>
      </c>
      <c r="K594" t="inlineStr">
        <is>
          <t>Вазелин технический</t>
        </is>
      </c>
      <c r="L594" t="n">
        <v>1346</v>
      </c>
      <c r="N594" t="n">
        <v>1009</v>
      </c>
      <c r="O594" t="inlineStr">
        <is>
          <t>кг</t>
        </is>
      </c>
      <c r="P594" t="inlineStr">
        <is>
          <t>кг</t>
        </is>
      </c>
      <c r="Q594" t="n">
        <v>1</v>
      </c>
      <c r="W594" t="n">
        <v>0</v>
      </c>
      <c r="X594" t="n">
        <v>1015963907</v>
      </c>
      <c r="Y594">
        <f>(AT594*ROUND(0.2,7))</f>
        <v/>
      </c>
      <c r="AA594" t="n">
        <v>315.49</v>
      </c>
      <c r="AB594" t="n">
        <v>0</v>
      </c>
      <c r="AC594" t="n">
        <v>0</v>
      </c>
      <c r="AD594" t="n">
        <v>0</v>
      </c>
      <c r="AE594" t="n">
        <v>30.6</v>
      </c>
      <c r="AF594" t="n">
        <v>0</v>
      </c>
      <c r="AG594" t="n">
        <v>0</v>
      </c>
      <c r="AH594" t="n">
        <v>0</v>
      </c>
      <c r="AI594" t="n">
        <v>10.31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1</v>
      </c>
      <c r="AQ594" t="n">
        <v>0</v>
      </c>
      <c r="AR594" t="n">
        <v>0</v>
      </c>
      <c r="AS594" t="inlineStr"/>
      <c r="AT594" t="n">
        <v>0.008999999999999999</v>
      </c>
      <c r="AU594" t="inlineStr">
        <is>
          <t>)*0,2</t>
        </is>
      </c>
      <c r="AV594" t="n">
        <v>0</v>
      </c>
      <c r="AW594" t="n">
        <v>2</v>
      </c>
      <c r="AX594" t="n">
        <v>78872578</v>
      </c>
      <c r="AY594" t="n">
        <v>1</v>
      </c>
      <c r="AZ594" t="n">
        <v>0</v>
      </c>
      <c r="BA594" t="n">
        <v>546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ROUND(Y594*Source!I1217,7)</f>
        <v/>
      </c>
      <c r="CY594">
        <f>AA594</f>
        <v/>
      </c>
      <c r="CZ594">
        <f>AE594</f>
        <v/>
      </c>
      <c r="DA594">
        <f>AI594</f>
        <v/>
      </c>
      <c r="DB594">
        <f>ROUND((ROUND(AT594*CZ594,2)*ROUND(0.2,7)),2)</f>
        <v/>
      </c>
      <c r="DC594">
        <f>ROUND((ROUND(AT594*AG594,2)*ROUND(0.2,7)),2)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ROW(Source!A1217)</f>
        <v/>
      </c>
      <c r="B595" t="n">
        <v>78869116</v>
      </c>
      <c r="C595" t="n">
        <v>78872541</v>
      </c>
      <c r="D595" t="n">
        <v>29171808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999-9950</t>
        </is>
      </c>
      <c r="J595" t="inlineStr">
        <is>
          <t>ТССЦ Московской обл., 999-9950, приказ Минстроя России №675/пр от 21.09.2015 г.</t>
        </is>
      </c>
      <c r="K595" t="inlineStr">
        <is>
          <t>Вспомогательные ненормируемые материалы (2% от ОЗП)</t>
        </is>
      </c>
      <c r="L595" t="n">
        <v>1374</v>
      </c>
      <c r="N595" t="n">
        <v>1013</v>
      </c>
      <c r="O595" t="inlineStr">
        <is>
          <t>РУБ</t>
        </is>
      </c>
      <c r="P595" t="inlineStr">
        <is>
          <t>РУБ</t>
        </is>
      </c>
      <c r="Q595" t="n">
        <v>1</v>
      </c>
      <c r="W595" t="n">
        <v>0</v>
      </c>
      <c r="X595" t="n">
        <v>-915781824</v>
      </c>
      <c r="Y595">
        <f>(AT595*ROUND(0.2,7))</f>
        <v/>
      </c>
      <c r="AA595" t="n">
        <v>1</v>
      </c>
      <c r="AB595" t="n">
        <v>0</v>
      </c>
      <c r="AC595" t="n">
        <v>0</v>
      </c>
      <c r="AD595" t="n">
        <v>0</v>
      </c>
      <c r="AE595" t="n">
        <v>1</v>
      </c>
      <c r="AF595" t="n">
        <v>0</v>
      </c>
      <c r="AG595" t="n">
        <v>0</v>
      </c>
      <c r="AH595" t="n">
        <v>0</v>
      </c>
      <c r="AI595" t="n">
        <v>1</v>
      </c>
      <c r="AJ595" t="n">
        <v>1</v>
      </c>
      <c r="AK595" t="n">
        <v>1</v>
      </c>
      <c r="AL595" t="n">
        <v>1</v>
      </c>
      <c r="AM595" t="n">
        <v>-2</v>
      </c>
      <c r="AN595" t="n">
        <v>0</v>
      </c>
      <c r="AO595" t="n">
        <v>1</v>
      </c>
      <c r="AP595" t="n">
        <v>1</v>
      </c>
      <c r="AQ595" t="n">
        <v>0</v>
      </c>
      <c r="AR595" t="n">
        <v>0</v>
      </c>
      <c r="AS595" t="inlineStr"/>
      <c r="AT595" t="n">
        <v>0.44</v>
      </c>
      <c r="AU595" t="inlineStr">
        <is>
          <t>)*0,2</t>
        </is>
      </c>
      <c r="AV595" t="n">
        <v>0</v>
      </c>
      <c r="AW595" t="n">
        <v>2</v>
      </c>
      <c r="AX595" t="n">
        <v>78872579</v>
      </c>
      <c r="AY595" t="n">
        <v>1</v>
      </c>
      <c r="AZ595" t="n">
        <v>2048</v>
      </c>
      <c r="BA595" t="n">
        <v>547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ROUND(Y595*Source!I1217,7)</f>
        <v/>
      </c>
      <c r="CY595">
        <f>AA595</f>
        <v/>
      </c>
      <c r="CZ595">
        <f>AE595</f>
        <v/>
      </c>
      <c r="DA595">
        <f>AI595</f>
        <v/>
      </c>
      <c r="DB595">
        <f>ROUND((ROUND(AT595*CZ595,2)*ROUND(0.2,7)),2)</f>
        <v/>
      </c>
      <c r="DC595">
        <f>ROUND((ROUND(AT595*AG595,2)*ROUND(0.2,7)),2)</f>
        <v/>
      </c>
      <c r="DD595" t="inlineStr"/>
      <c r="DE595" t="inlineStr"/>
      <c r="DF595">
        <f>ROUND(ROUND(AE595,0)*CX595,0)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ROW(Source!A1218)</f>
        <v/>
      </c>
      <c r="B596" t="n">
        <v>78869116</v>
      </c>
      <c r="C596" t="n">
        <v>78872580</v>
      </c>
      <c r="D596" t="n">
        <v>29361307</v>
      </c>
      <c r="E596" t="n">
        <v>1</v>
      </c>
      <c r="F596" t="n">
        <v>1</v>
      </c>
      <c r="G596" t="n">
        <v>1</v>
      </c>
      <c r="H596" t="n">
        <v>1</v>
      </c>
      <c r="I596" t="inlineStr">
        <is>
          <t>1-2039-90</t>
        </is>
      </c>
      <c r="J596" t="inlineStr"/>
      <c r="K596" t="inlineStr">
        <is>
          <t>Рабочий монтажник среднего разряда 3,9</t>
        </is>
      </c>
      <c r="L596" t="n">
        <v>1369</v>
      </c>
      <c r="N596" t="n">
        <v>1013</v>
      </c>
      <c r="O596" t="inlineStr">
        <is>
          <t>чел.-ч</t>
        </is>
      </c>
      <c r="P596" t="inlineStr">
        <is>
          <t>чел.-ч</t>
        </is>
      </c>
      <c r="Q596" t="n">
        <v>1</v>
      </c>
      <c r="W596" t="n">
        <v>0</v>
      </c>
      <c r="X596" t="n">
        <v>357208865</v>
      </c>
      <c r="Y596">
        <f>AT596</f>
        <v/>
      </c>
      <c r="AA596" t="n">
        <v>0</v>
      </c>
      <c r="AB596" t="n">
        <v>0</v>
      </c>
      <c r="AC596" t="n">
        <v>0</v>
      </c>
      <c r="AD596" t="n">
        <v>9.51</v>
      </c>
      <c r="AE596" t="n">
        <v>0</v>
      </c>
      <c r="AF596" t="n">
        <v>0</v>
      </c>
      <c r="AG596" t="n">
        <v>0</v>
      </c>
      <c r="AH596" t="n">
        <v>9.51</v>
      </c>
      <c r="AI596" t="n">
        <v>1</v>
      </c>
      <c r="AJ596" t="n">
        <v>1</v>
      </c>
      <c r="AK596" t="n">
        <v>1</v>
      </c>
      <c r="AL596" t="n">
        <v>1</v>
      </c>
      <c r="AM596" t="n">
        <v>-2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2.32</v>
      </c>
      <c r="AU596" t="inlineStr"/>
      <c r="AV596" t="n">
        <v>1</v>
      </c>
      <c r="AW596" t="n">
        <v>2</v>
      </c>
      <c r="AX596" t="n">
        <v>78872601</v>
      </c>
      <c r="AY596" t="n">
        <v>1</v>
      </c>
      <c r="AZ596" t="n">
        <v>0</v>
      </c>
      <c r="BA596" t="n">
        <v>548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U596">
        <f>ROUND(AT596*Source!I1218*AH596*AL596,0)</f>
        <v/>
      </c>
      <c r="CV596">
        <f>ROUND(Y596*Source!I1218,7)</f>
        <v/>
      </c>
      <c r="CW596" t="n">
        <v>0</v>
      </c>
      <c r="CX596">
        <f>ROUND(Y596*Source!I1218,7)</f>
        <v/>
      </c>
      <c r="CY596">
        <f>AD596</f>
        <v/>
      </c>
      <c r="CZ596">
        <f>AH596</f>
        <v/>
      </c>
      <c r="DA596">
        <f>AL596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DI596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ROW(Source!A1218)</f>
        <v/>
      </c>
      <c r="B597" t="n">
        <v>78869116</v>
      </c>
      <c r="C597" t="n">
        <v>78872580</v>
      </c>
      <c r="D597" t="n">
        <v>121548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2</t>
        </is>
      </c>
      <c r="J597" t="inlineStr"/>
      <c r="K597" t="inlineStr">
        <is>
          <t>Затраты труда машинистов</t>
        </is>
      </c>
      <c r="L597" t="n">
        <v>608254</v>
      </c>
      <c r="N597" t="n">
        <v>1013</v>
      </c>
      <c r="O597" t="inlineStr">
        <is>
          <t>чел.час</t>
        </is>
      </c>
      <c r="P597" t="inlineStr">
        <is>
          <t>чел.час</t>
        </is>
      </c>
      <c r="Q597" t="n">
        <v>1</v>
      </c>
      <c r="W597" t="n">
        <v>0</v>
      </c>
      <c r="X597" t="n">
        <v>-185737400</v>
      </c>
      <c r="Y597">
        <f>AT597</f>
        <v/>
      </c>
      <c r="AA597" t="n">
        <v>0</v>
      </c>
      <c r="AB597" t="n">
        <v>0</v>
      </c>
      <c r="AC597" t="n">
        <v>0</v>
      </c>
      <c r="AD597" t="n">
        <v>0</v>
      </c>
      <c r="AE597" t="n">
        <v>0</v>
      </c>
      <c r="AF597" t="n">
        <v>0</v>
      </c>
      <c r="AG597" t="n">
        <v>0</v>
      </c>
      <c r="AH597" t="n">
        <v>0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0.01</v>
      </c>
      <c r="AU597" t="inlineStr"/>
      <c r="AV597" t="n">
        <v>2</v>
      </c>
      <c r="AW597" t="n">
        <v>2</v>
      </c>
      <c r="AX597" t="n">
        <v>78872602</v>
      </c>
      <c r="AY597" t="n">
        <v>1</v>
      </c>
      <c r="AZ597" t="n">
        <v>0</v>
      </c>
      <c r="BA597" t="n">
        <v>549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V597" t="n">
        <v>0</v>
      </c>
      <c r="CW597" t="n">
        <v>0</v>
      </c>
      <c r="CX597">
        <f>ROUND(Y597*Source!I1218,7)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ROW(Source!A1218)</f>
        <v/>
      </c>
      <c r="B598" t="n">
        <v>78869116</v>
      </c>
      <c r="C598" t="n">
        <v>78872580</v>
      </c>
      <c r="D598" t="n">
        <v>29172362</v>
      </c>
      <c r="E598" t="n">
        <v>1</v>
      </c>
      <c r="F598" t="n">
        <v>1</v>
      </c>
      <c r="G598" t="n">
        <v>1</v>
      </c>
      <c r="H598" t="n">
        <v>2</v>
      </c>
      <c r="I598" t="inlineStr">
        <is>
          <t>021102</t>
        </is>
      </c>
      <c r="J598" t="inlineStr">
        <is>
          <t>ТСЭМ Московской обл., 021102, приказ Минстроя России №675/пр от 28.02.2017 № 264/пр</t>
        </is>
      </c>
      <c r="K598" t="inlineStr">
        <is>
          <t>Краны на автомобильном ходу при работе на монтаже технологического оборудования 10 т</t>
        </is>
      </c>
      <c r="L598" t="n">
        <v>1368</v>
      </c>
      <c r="N598" t="n">
        <v>1011</v>
      </c>
      <c r="O598" t="inlineStr">
        <is>
          <t>маш.-ч</t>
        </is>
      </c>
      <c r="P598" t="inlineStr">
        <is>
          <t>маш.-ч</t>
        </is>
      </c>
      <c r="Q598" t="n">
        <v>1</v>
      </c>
      <c r="W598" t="n">
        <v>0</v>
      </c>
      <c r="X598" t="n">
        <v>783836208</v>
      </c>
      <c r="Y598">
        <f>AT598</f>
        <v/>
      </c>
      <c r="AA598" t="n">
        <v>0</v>
      </c>
      <c r="AB598" t="n">
        <v>1504.04</v>
      </c>
      <c r="AC598" t="n">
        <v>705.38</v>
      </c>
      <c r="AD598" t="n">
        <v>0</v>
      </c>
      <c r="AE598" t="n">
        <v>0</v>
      </c>
      <c r="AF598" t="n">
        <v>134.65</v>
      </c>
      <c r="AG598" t="n">
        <v>13.5</v>
      </c>
      <c r="AH598" t="n">
        <v>0</v>
      </c>
      <c r="AI598" t="n">
        <v>1</v>
      </c>
      <c r="AJ598" t="n">
        <v>11.17</v>
      </c>
      <c r="AK598" t="n">
        <v>52.25</v>
      </c>
      <c r="AL598" t="n">
        <v>1</v>
      </c>
      <c r="AM598" t="n">
        <v>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0.01</v>
      </c>
      <c r="AU598" t="inlineStr"/>
      <c r="AV598" t="n">
        <v>0</v>
      </c>
      <c r="AW598" t="n">
        <v>2</v>
      </c>
      <c r="AX598" t="n">
        <v>78872603</v>
      </c>
      <c r="AY598" t="n">
        <v>1</v>
      </c>
      <c r="AZ598" t="n">
        <v>0</v>
      </c>
      <c r="BA598" t="n">
        <v>550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>
        <f>ROUND(Y598*Source!I1218*DO598,7)</f>
        <v/>
      </c>
      <c r="CX598">
        <f>ROUND(Y598*Source!I1218,7)</f>
        <v/>
      </c>
      <c r="CY598">
        <f>AB598</f>
        <v/>
      </c>
      <c r="CZ598">
        <f>AF598</f>
        <v/>
      </c>
      <c r="DA598">
        <f>AJ598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ROUND(ROUND(AF598*AJ598,0)*CX598,0)</f>
        <v/>
      </c>
      <c r="DH598">
        <f>ROUND(ROUND(AG598*AK598,0)*CX598,0)</f>
        <v/>
      </c>
      <c r="DI598">
        <f>ROUND(ROUND(AH598,0)*CX598,0)</f>
        <v/>
      </c>
      <c r="DJ598">
        <f>DG598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ROW(Source!A1218)</f>
        <v/>
      </c>
      <c r="B599" t="n">
        <v>78869116</v>
      </c>
      <c r="C599" t="n">
        <v>78872580</v>
      </c>
      <c r="D599" t="n">
        <v>29172657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040502</t>
        </is>
      </c>
      <c r="J599" t="inlineStr">
        <is>
          <t>ТСЭМ Московской обл., 040502, приказ Минстроя России №675/пр от 28.02.2017 № 264/пр</t>
        </is>
      </c>
      <c r="K599" t="inlineStr">
        <is>
          <t>Установки для сварки ручной дуговой (постоянного тока)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1474986261</v>
      </c>
      <c r="Y599">
        <f>AT599</f>
        <v/>
      </c>
      <c r="AA599" t="n">
        <v>0</v>
      </c>
      <c r="AB599" t="n">
        <v>69.26000000000001</v>
      </c>
      <c r="AC599" t="n">
        <v>0</v>
      </c>
      <c r="AD599" t="n">
        <v>0</v>
      </c>
      <c r="AE599" t="n">
        <v>0</v>
      </c>
      <c r="AF599" t="n">
        <v>8.1</v>
      </c>
      <c r="AG599" t="n">
        <v>0</v>
      </c>
      <c r="AH599" t="n">
        <v>0</v>
      </c>
      <c r="AI599" t="n">
        <v>1</v>
      </c>
      <c r="AJ599" t="n">
        <v>8.550000000000001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0.13</v>
      </c>
      <c r="AU599" t="inlineStr"/>
      <c r="AV599" t="n">
        <v>0</v>
      </c>
      <c r="AW599" t="n">
        <v>2</v>
      </c>
      <c r="AX599" t="n">
        <v>78872604</v>
      </c>
      <c r="AY599" t="n">
        <v>1</v>
      </c>
      <c r="AZ599" t="n">
        <v>0</v>
      </c>
      <c r="BA599" t="n">
        <v>551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ROUND(Y599*Source!I1218*DO599,7)</f>
        <v/>
      </c>
      <c r="CX599">
        <f>ROUND(Y599*Source!I1218,7)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ROW(Source!A1218)</f>
        <v/>
      </c>
      <c r="B600" t="n">
        <v>78869116</v>
      </c>
      <c r="C600" t="n">
        <v>78872580</v>
      </c>
      <c r="D600" t="n">
        <v>29174500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330206</t>
        </is>
      </c>
      <c r="J600" t="inlineStr">
        <is>
          <t>ТСЭМ Московской обл., 330206, приказ Минстроя России №675/пр от 28.02.2017 № 264/пр</t>
        </is>
      </c>
      <c r="K600" t="inlineStr">
        <is>
          <t>Дрели электрические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-1867053656</v>
      </c>
      <c r="Y600">
        <f>AT600</f>
        <v/>
      </c>
      <c r="AA600" t="n">
        <v>0</v>
      </c>
      <c r="AB600" t="n">
        <v>8.390000000000001</v>
      </c>
      <c r="AC600" t="n">
        <v>0</v>
      </c>
      <c r="AD600" t="n">
        <v>0</v>
      </c>
      <c r="AE600" t="n">
        <v>0</v>
      </c>
      <c r="AF600" t="n">
        <v>1.95</v>
      </c>
      <c r="AG600" t="n">
        <v>0</v>
      </c>
      <c r="AH600" t="n">
        <v>0</v>
      </c>
      <c r="AI600" t="n">
        <v>1</v>
      </c>
      <c r="AJ600" t="n">
        <v>4.3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0.04</v>
      </c>
      <c r="AU600" t="inlineStr"/>
      <c r="AV600" t="n">
        <v>0</v>
      </c>
      <c r="AW600" t="n">
        <v>2</v>
      </c>
      <c r="AX600" t="n">
        <v>78872605</v>
      </c>
      <c r="AY600" t="n">
        <v>1</v>
      </c>
      <c r="AZ600" t="n">
        <v>0</v>
      </c>
      <c r="BA600" t="n">
        <v>552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ROUND(Y600*Source!I1218*DO600,7)</f>
        <v/>
      </c>
      <c r="CX600">
        <f>ROUND(Y600*Source!I1218,7)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ROW(Source!A1218)</f>
        <v/>
      </c>
      <c r="B601" t="n">
        <v>78869116</v>
      </c>
      <c r="C601" t="n">
        <v>78872580</v>
      </c>
      <c r="D601" t="n">
        <v>29174689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350451</t>
        </is>
      </c>
      <c r="J601" t="inlineStr">
        <is>
          <t>ТСЭМ Московской обл., 350451, приказ Минстроя России №675/пр от 28.02.2017 № 264/пр</t>
        </is>
      </c>
      <c r="K601" t="inlineStr">
        <is>
          <t>Пресс гидравлический с электроприводом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-592654397</v>
      </c>
      <c r="Y601">
        <f>AT601</f>
        <v/>
      </c>
      <c r="AA601" t="n">
        <v>0</v>
      </c>
      <c r="AB601" t="n">
        <v>6.54</v>
      </c>
      <c r="AC601" t="n">
        <v>0</v>
      </c>
      <c r="AD601" t="n">
        <v>0</v>
      </c>
      <c r="AE601" t="n">
        <v>0</v>
      </c>
      <c r="AF601" t="n">
        <v>1.11</v>
      </c>
      <c r="AG601" t="n">
        <v>0</v>
      </c>
      <c r="AH601" t="n">
        <v>0</v>
      </c>
      <c r="AI601" t="n">
        <v>1</v>
      </c>
      <c r="AJ601" t="n">
        <v>5.89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0.2</v>
      </c>
      <c r="AU601" t="inlineStr"/>
      <c r="AV601" t="n">
        <v>0</v>
      </c>
      <c r="AW601" t="n">
        <v>2</v>
      </c>
      <c r="AX601" t="n">
        <v>78872606</v>
      </c>
      <c r="AY601" t="n">
        <v>1</v>
      </c>
      <c r="AZ601" t="n">
        <v>0</v>
      </c>
      <c r="BA601" t="n">
        <v>553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ROUND(Y601*Source!I1218*DO601,7)</f>
        <v/>
      </c>
      <c r="CX601">
        <f>ROUND(Y601*Source!I1218,7)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ROW(Source!A1218)</f>
        <v/>
      </c>
      <c r="B602" t="n">
        <v>78869116</v>
      </c>
      <c r="C602" t="n">
        <v>78872580</v>
      </c>
      <c r="D602" t="n">
        <v>29174913</v>
      </c>
      <c r="E602" t="n">
        <v>1</v>
      </c>
      <c r="F602" t="n">
        <v>1</v>
      </c>
      <c r="G602" t="n">
        <v>1</v>
      </c>
      <c r="H602" t="n">
        <v>2</v>
      </c>
      <c r="I602" t="inlineStr">
        <is>
          <t>400001</t>
        </is>
      </c>
      <c r="J602" t="inlineStr">
        <is>
          <t>ТСЭМ Московской обл., 400001, приказ Минстроя России №675/пр от 28.02.2017 № 264/пр</t>
        </is>
      </c>
      <c r="K602" t="inlineStr">
        <is>
          <t>Автомобили бортовые, грузоподъемность до 5 т</t>
        </is>
      </c>
      <c r="L602" t="n">
        <v>1368</v>
      </c>
      <c r="N602" t="n">
        <v>1011</v>
      </c>
      <c r="O602" t="inlineStr">
        <is>
          <t>маш.-ч</t>
        </is>
      </c>
      <c r="P602" t="inlineStr">
        <is>
          <t>маш.-ч</t>
        </is>
      </c>
      <c r="Q602" t="n">
        <v>1</v>
      </c>
      <c r="W602" t="n">
        <v>0</v>
      </c>
      <c r="X602" t="n">
        <v>1230759911</v>
      </c>
      <c r="Y602">
        <f>AT602</f>
        <v/>
      </c>
      <c r="AA602" t="n">
        <v>0</v>
      </c>
      <c r="AB602" t="n">
        <v>2177.51</v>
      </c>
      <c r="AC602" t="n">
        <v>606.1</v>
      </c>
      <c r="AD602" t="n">
        <v>0</v>
      </c>
      <c r="AE602" t="n">
        <v>0</v>
      </c>
      <c r="AF602" t="n">
        <v>87.17</v>
      </c>
      <c r="AG602" t="n">
        <v>11.6</v>
      </c>
      <c r="AH602" t="n">
        <v>0</v>
      </c>
      <c r="AI602" t="n">
        <v>1</v>
      </c>
      <c r="AJ602" t="n">
        <v>24.98</v>
      </c>
      <c r="AK602" t="n">
        <v>52.25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0.01</v>
      </c>
      <c r="AU602" t="inlineStr"/>
      <c r="AV602" t="n">
        <v>0</v>
      </c>
      <c r="AW602" t="n">
        <v>2</v>
      </c>
      <c r="AX602" t="n">
        <v>78872607</v>
      </c>
      <c r="AY602" t="n">
        <v>1</v>
      </c>
      <c r="AZ602" t="n">
        <v>0</v>
      </c>
      <c r="BA602" t="n">
        <v>554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>
        <f>ROUND(Y602*Source!I1218*DO602,7)</f>
        <v/>
      </c>
      <c r="CX602">
        <f>ROUND(Y602*Source!I1218,7)</f>
        <v/>
      </c>
      <c r="CY602">
        <f>AB602</f>
        <v/>
      </c>
      <c r="CZ602">
        <f>AF602</f>
        <v/>
      </c>
      <c r="DA602">
        <f>AJ602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ROUND(ROUND(AE602,0)*CX602,0)</f>
        <v/>
      </c>
      <c r="DG602">
        <f>ROUND(ROUND(AF602*AJ602,0)*CX602,0)</f>
        <v/>
      </c>
      <c r="DH602">
        <f>ROUND(ROUND(AG602*AK602,0)*CX602,0)</f>
        <v/>
      </c>
      <c r="DI602">
        <f>ROUND(ROUND(AH602,0)*CX602,0)</f>
        <v/>
      </c>
      <c r="DJ602">
        <f>DG602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ROW(Source!A1218)</f>
        <v/>
      </c>
      <c r="B603" t="n">
        <v>78869116</v>
      </c>
      <c r="C603" t="n">
        <v>78872580</v>
      </c>
      <c r="D603" t="n">
        <v>29110546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101-1665</t>
        </is>
      </c>
      <c r="J603" t="inlineStr">
        <is>
          <t>ТССЦ Московской обл., 101-1665, приказ Минстроя России №675/пр от 28.02.2017 № 254/пр</t>
        </is>
      </c>
      <c r="K603" t="inlineStr">
        <is>
          <t>Лак электроизоляционный 318</t>
        </is>
      </c>
      <c r="L603" t="n">
        <v>1346</v>
      </c>
      <c r="N603" t="n">
        <v>1009</v>
      </c>
      <c r="O603" t="inlineStr">
        <is>
          <t>кг</t>
        </is>
      </c>
      <c r="P603" t="inlineStr">
        <is>
          <t>кг</t>
        </is>
      </c>
      <c r="Q603" t="n">
        <v>1</v>
      </c>
      <c r="W603" t="n">
        <v>0</v>
      </c>
      <c r="X603" t="n">
        <v>2102179917</v>
      </c>
      <c r="Y603">
        <f>AT603</f>
        <v/>
      </c>
      <c r="AA603" t="n">
        <v>191.33</v>
      </c>
      <c r="AB603" t="n">
        <v>0</v>
      </c>
      <c r="AC603" t="n">
        <v>0</v>
      </c>
      <c r="AD603" t="n">
        <v>0</v>
      </c>
      <c r="AE603" t="n">
        <v>35.63</v>
      </c>
      <c r="AF603" t="n">
        <v>0</v>
      </c>
      <c r="AG603" t="n">
        <v>0</v>
      </c>
      <c r="AH603" t="n">
        <v>0</v>
      </c>
      <c r="AI603" t="n">
        <v>5.37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0.014</v>
      </c>
      <c r="AU603" t="inlineStr"/>
      <c r="AV603" t="n">
        <v>0</v>
      </c>
      <c r="AW603" t="n">
        <v>2</v>
      </c>
      <c r="AX603" t="n">
        <v>78872608</v>
      </c>
      <c r="AY603" t="n">
        <v>1</v>
      </c>
      <c r="AZ603" t="n">
        <v>0</v>
      </c>
      <c r="BA603" t="n">
        <v>555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ROUND(Y603*Source!I1218,7)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ROW(Source!A1218)</f>
        <v/>
      </c>
      <c r="B604" t="n">
        <v>78869116</v>
      </c>
      <c r="C604" t="n">
        <v>78872580</v>
      </c>
      <c r="D604" t="n">
        <v>29113980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101-1924</t>
        </is>
      </c>
      <c r="J604" t="inlineStr">
        <is>
          <t>ТССЦ Московской обл., 101-1924, приказ Минстроя России №675/пр от 28.02.2017 № 254/пр</t>
        </is>
      </c>
      <c r="K604" t="inlineStr">
        <is>
          <t>Электроды диаметром 4 мм Э42А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W604" t="n">
        <v>0</v>
      </c>
      <c r="X604" t="n">
        <v>-1805966371</v>
      </c>
      <c r="Y604">
        <f>AT604</f>
        <v/>
      </c>
      <c r="AA604" t="n">
        <v>179.3</v>
      </c>
      <c r="AB604" t="n">
        <v>0</v>
      </c>
      <c r="AC604" t="n">
        <v>0</v>
      </c>
      <c r="AD604" t="n">
        <v>0</v>
      </c>
      <c r="AE604" t="n">
        <v>14.31</v>
      </c>
      <c r="AF604" t="n">
        <v>0</v>
      </c>
      <c r="AG604" t="n">
        <v>0</v>
      </c>
      <c r="AH604" t="n">
        <v>0</v>
      </c>
      <c r="AI604" t="n">
        <v>12.53</v>
      </c>
      <c r="AJ604" t="n">
        <v>1</v>
      </c>
      <c r="AK604" t="n">
        <v>1</v>
      </c>
      <c r="AL604" t="n">
        <v>1</v>
      </c>
      <c r="AM604" t="n">
        <v>2</v>
      </c>
      <c r="AN604" t="n">
        <v>0</v>
      </c>
      <c r="AO604" t="n">
        <v>1</v>
      </c>
      <c r="AP604" t="n">
        <v>0</v>
      </c>
      <c r="AQ604" t="n">
        <v>0</v>
      </c>
      <c r="AR604" t="n">
        <v>0</v>
      </c>
      <c r="AS604" t="inlineStr"/>
      <c r="AT604" t="n">
        <v>0.07000000000000001</v>
      </c>
      <c r="AU604" t="inlineStr"/>
      <c r="AV604" t="n">
        <v>0</v>
      </c>
      <c r="AW604" t="n">
        <v>2</v>
      </c>
      <c r="AX604" t="n">
        <v>78872609</v>
      </c>
      <c r="AY604" t="n">
        <v>1</v>
      </c>
      <c r="AZ604" t="n">
        <v>0</v>
      </c>
      <c r="BA604" t="n">
        <v>556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ROUND(Y604*Source!I1218,7)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ROUND(ROUND(AE604*AI604,0)*CX604,0)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ROW(Source!A1218)</f>
        <v/>
      </c>
      <c r="B605" t="n">
        <v>78869116</v>
      </c>
      <c r="C605" t="n">
        <v>78872580</v>
      </c>
      <c r="D605" t="n">
        <v>29108369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101-1964</t>
        </is>
      </c>
      <c r="J605" t="inlineStr">
        <is>
          <t>ТССЦ Московской обл., 101-1964, приказ Минстроя России №675/пр от 28.02.2017 № 254/пр</t>
        </is>
      </c>
      <c r="K605" t="inlineStr">
        <is>
          <t>Шпагат бумажный</t>
        </is>
      </c>
      <c r="L605" t="n">
        <v>1346</v>
      </c>
      <c r="N605" t="n">
        <v>1009</v>
      </c>
      <c r="O605" t="inlineStr">
        <is>
          <t>кг</t>
        </is>
      </c>
      <c r="P605" t="inlineStr">
        <is>
          <t>кг</t>
        </is>
      </c>
      <c r="Q605" t="n">
        <v>1</v>
      </c>
      <c r="W605" t="n">
        <v>0</v>
      </c>
      <c r="X605" t="n">
        <v>326902400</v>
      </c>
      <c r="Y605">
        <f>AT605</f>
        <v/>
      </c>
      <c r="AA605" t="n">
        <v>260.82</v>
      </c>
      <c r="AB605" t="n">
        <v>0</v>
      </c>
      <c r="AC605" t="n">
        <v>0</v>
      </c>
      <c r="AD605" t="n">
        <v>0</v>
      </c>
      <c r="AE605" t="n">
        <v>18.9</v>
      </c>
      <c r="AF605" t="n">
        <v>0</v>
      </c>
      <c r="AG605" t="n">
        <v>0</v>
      </c>
      <c r="AH605" t="n">
        <v>0</v>
      </c>
      <c r="AI605" t="n">
        <v>13.8</v>
      </c>
      <c r="AJ605" t="n">
        <v>1</v>
      </c>
      <c r="AK605" t="n">
        <v>1</v>
      </c>
      <c r="AL605" t="n">
        <v>1</v>
      </c>
      <c r="AM605" t="n">
        <v>2</v>
      </c>
      <c r="AN605" t="n">
        <v>0</v>
      </c>
      <c r="AO605" t="n">
        <v>1</v>
      </c>
      <c r="AP605" t="n">
        <v>0</v>
      </c>
      <c r="AQ605" t="n">
        <v>0</v>
      </c>
      <c r="AR605" t="n">
        <v>0</v>
      </c>
      <c r="AS605" t="inlineStr"/>
      <c r="AT605" t="n">
        <v>0.004</v>
      </c>
      <c r="AU605" t="inlineStr"/>
      <c r="AV605" t="n">
        <v>0</v>
      </c>
      <c r="AW605" t="n">
        <v>2</v>
      </c>
      <c r="AX605" t="n">
        <v>78872610</v>
      </c>
      <c r="AY605" t="n">
        <v>1</v>
      </c>
      <c r="AZ605" t="n">
        <v>0</v>
      </c>
      <c r="BA605" t="n">
        <v>557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V605" t="n">
        <v>0</v>
      </c>
      <c r="CW605" t="n">
        <v>0</v>
      </c>
      <c r="CX605">
        <f>ROUND(Y605*Source!I1218,7)</f>
        <v/>
      </c>
      <c r="CY605">
        <f>AA605</f>
        <v/>
      </c>
      <c r="CZ605">
        <f>AE605</f>
        <v/>
      </c>
      <c r="DA605">
        <f>AI605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ROUND(ROUND(AE605*AI605,0)*CX605,0)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DF605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ROW(Source!A1218)</f>
        <v/>
      </c>
      <c r="B606" t="n">
        <v>78869116</v>
      </c>
      <c r="C606" t="n">
        <v>78872580</v>
      </c>
      <c r="D606" t="n">
        <v>29114246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101-1977</t>
        </is>
      </c>
      <c r="J606" t="inlineStr">
        <is>
          <t>ТССЦ Московской обл., 101-1977, приказ Минстроя России №675/пр от 28.02.2017 № 254/пр</t>
        </is>
      </c>
      <c r="K606" t="inlineStr">
        <is>
          <t>Болты с гайками и шайбами строительные</t>
        </is>
      </c>
      <c r="L606" t="n">
        <v>1346</v>
      </c>
      <c r="N606" t="n">
        <v>1009</v>
      </c>
      <c r="O606" t="inlineStr">
        <is>
          <t>кг</t>
        </is>
      </c>
      <c r="P606" t="inlineStr">
        <is>
          <t>кг</t>
        </is>
      </c>
      <c r="Q606" t="n">
        <v>1</v>
      </c>
      <c r="W606" t="n">
        <v>0</v>
      </c>
      <c r="X606" t="n">
        <v>30920770</v>
      </c>
      <c r="Y606">
        <f>AT606</f>
        <v/>
      </c>
      <c r="AA606" t="n">
        <v>152.32</v>
      </c>
      <c r="AB606" t="n">
        <v>0</v>
      </c>
      <c r="AC606" t="n">
        <v>0</v>
      </c>
      <c r="AD606" t="n">
        <v>0</v>
      </c>
      <c r="AE606" t="n">
        <v>9.039999999999999</v>
      </c>
      <c r="AF606" t="n">
        <v>0</v>
      </c>
      <c r="AG606" t="n">
        <v>0</v>
      </c>
      <c r="AH606" t="n">
        <v>0</v>
      </c>
      <c r="AI606" t="n">
        <v>16.85</v>
      </c>
      <c r="AJ606" t="n">
        <v>1</v>
      </c>
      <c r="AK606" t="n">
        <v>1</v>
      </c>
      <c r="AL606" t="n">
        <v>1</v>
      </c>
      <c r="AM606" t="n">
        <v>2</v>
      </c>
      <c r="AN606" t="n">
        <v>0</v>
      </c>
      <c r="AO606" t="n">
        <v>1</v>
      </c>
      <c r="AP606" t="n">
        <v>0</v>
      </c>
      <c r="AQ606" t="n">
        <v>0</v>
      </c>
      <c r="AR606" t="n">
        <v>0</v>
      </c>
      <c r="AS606" t="inlineStr"/>
      <c r="AT606" t="n">
        <v>0.38</v>
      </c>
      <c r="AU606" t="inlineStr"/>
      <c r="AV606" t="n">
        <v>0</v>
      </c>
      <c r="AW606" t="n">
        <v>2</v>
      </c>
      <c r="AX606" t="n">
        <v>78872611</v>
      </c>
      <c r="AY606" t="n">
        <v>1</v>
      </c>
      <c r="AZ606" t="n">
        <v>0</v>
      </c>
      <c r="BA606" t="n">
        <v>558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ROUND(Y606*Source!I1218,7)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ROUND(ROUND(AE606*AI606,0)*CX606,0)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ROW(Source!A1218)</f>
        <v/>
      </c>
      <c r="B607" t="n">
        <v>78869116</v>
      </c>
      <c r="C607" t="n">
        <v>78872580</v>
      </c>
      <c r="D607" t="n">
        <v>29110426</v>
      </c>
      <c r="E607" t="n">
        <v>1</v>
      </c>
      <c r="F607" t="n">
        <v>1</v>
      </c>
      <c r="G607" t="n">
        <v>1</v>
      </c>
      <c r="H607" t="n">
        <v>3</v>
      </c>
      <c r="I607" t="inlineStr">
        <is>
          <t>101-2143</t>
        </is>
      </c>
      <c r="J607" t="inlineStr">
        <is>
          <t>ТССЦ Московской обл., 101-2143, приказ Минстроя России №675/пр от 28.02.2017 № 254/пр</t>
        </is>
      </c>
      <c r="K607" t="inlineStr">
        <is>
          <t>Краска</t>
        </is>
      </c>
      <c r="L607" t="n">
        <v>1346</v>
      </c>
      <c r="N607" t="n">
        <v>1009</v>
      </c>
      <c r="O607" t="inlineStr">
        <is>
          <t>кг</t>
        </is>
      </c>
      <c r="P607" t="inlineStr">
        <is>
          <t>кг</t>
        </is>
      </c>
      <c r="Q607" t="n">
        <v>1</v>
      </c>
      <c r="W607" t="n">
        <v>0</v>
      </c>
      <c r="X607" t="n">
        <v>-1768004575</v>
      </c>
      <c r="Y607">
        <f>AT607</f>
        <v/>
      </c>
      <c r="AA607" t="n">
        <v>76.84</v>
      </c>
      <c r="AB607" t="n">
        <v>0</v>
      </c>
      <c r="AC607" t="n">
        <v>0</v>
      </c>
      <c r="AD607" t="n">
        <v>0</v>
      </c>
      <c r="AE607" t="n">
        <v>28.67</v>
      </c>
      <c r="AF607" t="n">
        <v>0</v>
      </c>
      <c r="AG607" t="n">
        <v>0</v>
      </c>
      <c r="AH607" t="n">
        <v>0</v>
      </c>
      <c r="AI607" t="n">
        <v>2.68</v>
      </c>
      <c r="AJ607" t="n">
        <v>1</v>
      </c>
      <c r="AK607" t="n">
        <v>1</v>
      </c>
      <c r="AL607" t="n">
        <v>1</v>
      </c>
      <c r="AM607" t="n">
        <v>2</v>
      </c>
      <c r="AN607" t="n">
        <v>0</v>
      </c>
      <c r="AO607" t="n">
        <v>1</v>
      </c>
      <c r="AP607" t="n">
        <v>0</v>
      </c>
      <c r="AQ607" t="n">
        <v>0</v>
      </c>
      <c r="AR607" t="n">
        <v>0</v>
      </c>
      <c r="AS607" t="inlineStr"/>
      <c r="AT607" t="n">
        <v>0.047</v>
      </c>
      <c r="AU607" t="inlineStr"/>
      <c r="AV607" t="n">
        <v>0</v>
      </c>
      <c r="AW607" t="n">
        <v>2</v>
      </c>
      <c r="AX607" t="n">
        <v>78872612</v>
      </c>
      <c r="AY607" t="n">
        <v>1</v>
      </c>
      <c r="AZ607" t="n">
        <v>0</v>
      </c>
      <c r="BA607" t="n">
        <v>559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V607" t="n">
        <v>0</v>
      </c>
      <c r="CW607" t="n">
        <v>0</v>
      </c>
      <c r="CX607">
        <f>ROUND(Y607*Source!I1218,7)</f>
        <v/>
      </c>
      <c r="CY607">
        <f>AA607</f>
        <v/>
      </c>
      <c r="CZ607">
        <f>AE607</f>
        <v/>
      </c>
      <c r="DA607">
        <f>AI607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ROUND(ROUND(AE607*AI607,0)*CX607,0)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DF607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ROW(Source!A1218)</f>
        <v/>
      </c>
      <c r="B608" t="n">
        <v>78869116</v>
      </c>
      <c r="C608" t="n">
        <v>78872580</v>
      </c>
      <c r="D608" t="n">
        <v>29107961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101-2365</t>
        </is>
      </c>
      <c r="J608" t="inlineStr">
        <is>
          <t>ТССЦ Московской обл., 101-2365, приказ Минстроя России №675/пр от 28.02.2017 № 254/пр</t>
        </is>
      </c>
      <c r="K608" t="inlineStr">
        <is>
          <t>Нитки швейные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W608" t="n">
        <v>0</v>
      </c>
      <c r="X608" t="n">
        <v>-1088339451</v>
      </c>
      <c r="Y608">
        <f>AT608</f>
        <v/>
      </c>
      <c r="AA608" t="n">
        <v>766.37</v>
      </c>
      <c r="AB608" t="n">
        <v>0</v>
      </c>
      <c r="AC608" t="n">
        <v>0</v>
      </c>
      <c r="AD608" t="n">
        <v>0</v>
      </c>
      <c r="AE608" t="n">
        <v>133.05</v>
      </c>
      <c r="AF608" t="n">
        <v>0</v>
      </c>
      <c r="AG608" t="n">
        <v>0</v>
      </c>
      <c r="AH608" t="n">
        <v>0</v>
      </c>
      <c r="AI608" t="n">
        <v>5.76</v>
      </c>
      <c r="AJ608" t="n">
        <v>1</v>
      </c>
      <c r="AK608" t="n">
        <v>1</v>
      </c>
      <c r="AL608" t="n">
        <v>1</v>
      </c>
      <c r="AM608" t="n">
        <v>2</v>
      </c>
      <c r="AN608" t="n">
        <v>0</v>
      </c>
      <c r="AO608" t="n">
        <v>1</v>
      </c>
      <c r="AP608" t="n">
        <v>0</v>
      </c>
      <c r="AQ608" t="n">
        <v>0</v>
      </c>
      <c r="AR608" t="n">
        <v>0</v>
      </c>
      <c r="AS608" t="inlineStr"/>
      <c r="AT608" t="n">
        <v>0.002</v>
      </c>
      <c r="AU608" t="inlineStr"/>
      <c r="AV608" t="n">
        <v>0</v>
      </c>
      <c r="AW608" t="n">
        <v>2</v>
      </c>
      <c r="AX608" t="n">
        <v>78872613</v>
      </c>
      <c r="AY608" t="n">
        <v>1</v>
      </c>
      <c r="AZ608" t="n">
        <v>0</v>
      </c>
      <c r="BA608" t="n">
        <v>560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ROUND(Y608*Source!I1218,7)</f>
        <v/>
      </c>
      <c r="CY608">
        <f>AA608</f>
        <v/>
      </c>
      <c r="CZ608">
        <f>AE608</f>
        <v/>
      </c>
      <c r="DA608">
        <f>AI608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ROUND(ROUND(AE608*AI608,0)*CX608,0)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DF608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ROW(Source!A1218)</f>
        <v/>
      </c>
      <c r="B609" t="n">
        <v>78869116</v>
      </c>
      <c r="C609" t="n">
        <v>78872580</v>
      </c>
      <c r="D609" t="n">
        <v>29110838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101-2499</t>
        </is>
      </c>
      <c r="J609" t="inlineStr">
        <is>
          <t>ТССЦ Московской обл., 101-2499, приказ Минстроя России №675/пр от 28.02.2017 № 254/пр</t>
        </is>
      </c>
      <c r="K609" t="inlineStr">
        <is>
          <t>Лента изоляционная прорезиненная односторонняя ширина 20 мм, толщина 0,25-0,35 мм</t>
        </is>
      </c>
      <c r="L609" t="n">
        <v>1346</v>
      </c>
      <c r="N609" t="n">
        <v>1009</v>
      </c>
      <c r="O609" t="inlineStr">
        <is>
          <t>кг</t>
        </is>
      </c>
      <c r="P609" t="inlineStr">
        <is>
          <t>кг</t>
        </is>
      </c>
      <c r="Q609" t="n">
        <v>1</v>
      </c>
      <c r="W609" t="n">
        <v>0</v>
      </c>
      <c r="X609" t="n">
        <v>-1294780295</v>
      </c>
      <c r="Y609">
        <f>AT609</f>
        <v/>
      </c>
      <c r="AA609" t="n">
        <v>1090.07</v>
      </c>
      <c r="AB609" t="n">
        <v>0</v>
      </c>
      <c r="AC609" t="n">
        <v>0</v>
      </c>
      <c r="AD609" t="n">
        <v>0</v>
      </c>
      <c r="AE609" t="n">
        <v>30.5</v>
      </c>
      <c r="AF609" t="n">
        <v>0</v>
      </c>
      <c r="AG609" t="n">
        <v>0</v>
      </c>
      <c r="AH609" t="n">
        <v>0</v>
      </c>
      <c r="AI609" t="n">
        <v>35.74</v>
      </c>
      <c r="AJ609" t="n">
        <v>1</v>
      </c>
      <c r="AK609" t="n">
        <v>1</v>
      </c>
      <c r="AL609" t="n">
        <v>1</v>
      </c>
      <c r="AM609" t="n">
        <v>2</v>
      </c>
      <c r="AN609" t="n">
        <v>0</v>
      </c>
      <c r="AO609" t="n">
        <v>1</v>
      </c>
      <c r="AP609" t="n">
        <v>0</v>
      </c>
      <c r="AQ609" t="n">
        <v>0</v>
      </c>
      <c r="AR609" t="n">
        <v>0</v>
      </c>
      <c r="AS609" t="inlineStr"/>
      <c r="AT609" t="n">
        <v>0.036</v>
      </c>
      <c r="AU609" t="inlineStr"/>
      <c r="AV609" t="n">
        <v>0</v>
      </c>
      <c r="AW609" t="n">
        <v>2</v>
      </c>
      <c r="AX609" t="n">
        <v>78872614</v>
      </c>
      <c r="AY609" t="n">
        <v>1</v>
      </c>
      <c r="AZ609" t="n">
        <v>0</v>
      </c>
      <c r="BA609" t="n">
        <v>561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 t="n">
        <v>0</v>
      </c>
      <c r="CX609">
        <f>ROUND(Y609*Source!I1218,7)</f>
        <v/>
      </c>
      <c r="CY609">
        <f>AA609</f>
        <v/>
      </c>
      <c r="CZ609">
        <f>AE609</f>
        <v/>
      </c>
      <c r="DA609">
        <f>AI609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ROUND(ROUND(AE609*AI609,0)*CX609,0)</f>
        <v/>
      </c>
      <c r="DG609">
        <f>ROUND(ROUND(AF609,0)*CX609,0)</f>
        <v/>
      </c>
      <c r="DH609">
        <f>ROUND(ROUND(AG609,0)*CX609,0)</f>
        <v/>
      </c>
      <c r="DI609">
        <f>ROUND(ROUND(AH609,0)*CX609,0)</f>
        <v/>
      </c>
      <c r="DJ609">
        <f>DF609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ROW(Source!A1218)</f>
        <v/>
      </c>
      <c r="B610" t="n">
        <v>78869116</v>
      </c>
      <c r="C610" t="n">
        <v>78872580</v>
      </c>
      <c r="D610" t="n">
        <v>29114470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101-3914</t>
        </is>
      </c>
      <c r="J610" t="inlineStr">
        <is>
          <t>ТССЦ Московской обл., 101-3914, приказ Минстроя России №675/пр от 28.02.2017 № 254/пр</t>
        </is>
      </c>
      <c r="K610" t="inlineStr">
        <is>
          <t>Дюбели распорные полипропиленовые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W610" t="n">
        <v>0</v>
      </c>
      <c r="X610" t="n">
        <v>1627582661</v>
      </c>
      <c r="Y610">
        <f>AT610</f>
        <v/>
      </c>
      <c r="AA610" t="n">
        <v>78.48</v>
      </c>
      <c r="AB610" t="n">
        <v>0</v>
      </c>
      <c r="AC610" t="n">
        <v>0</v>
      </c>
      <c r="AD610" t="n">
        <v>0</v>
      </c>
      <c r="AE610" t="n">
        <v>86.23999999999999</v>
      </c>
      <c r="AF610" t="n">
        <v>0</v>
      </c>
      <c r="AG610" t="n">
        <v>0</v>
      </c>
      <c r="AH610" t="n">
        <v>0</v>
      </c>
      <c r="AI610" t="n">
        <v>0.91</v>
      </c>
      <c r="AJ610" t="n">
        <v>1</v>
      </c>
      <c r="AK610" t="n">
        <v>1</v>
      </c>
      <c r="AL610" t="n">
        <v>1</v>
      </c>
      <c r="AM610" t="n">
        <v>2</v>
      </c>
      <c r="AN610" t="n">
        <v>0</v>
      </c>
      <c r="AO610" t="n">
        <v>1</v>
      </c>
      <c r="AP610" t="n">
        <v>0</v>
      </c>
      <c r="AQ610" t="n">
        <v>0</v>
      </c>
      <c r="AR610" t="n">
        <v>0</v>
      </c>
      <c r="AS610" t="inlineStr"/>
      <c r="AT610" t="n">
        <v>0.014</v>
      </c>
      <c r="AU610" t="inlineStr"/>
      <c r="AV610" t="n">
        <v>0</v>
      </c>
      <c r="AW610" t="n">
        <v>2</v>
      </c>
      <c r="AX610" t="n">
        <v>78872615</v>
      </c>
      <c r="AY610" t="n">
        <v>1</v>
      </c>
      <c r="AZ610" t="n">
        <v>0</v>
      </c>
      <c r="BA610" t="n">
        <v>562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 t="n">
        <v>0</v>
      </c>
      <c r="CX610">
        <f>ROUND(Y610*Source!I1218,7)</f>
        <v/>
      </c>
      <c r="CY610">
        <f>AA610</f>
        <v/>
      </c>
      <c r="CZ610">
        <f>AE610</f>
        <v/>
      </c>
      <c r="DA610">
        <f>AI610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ROUND(ROUND(AE610*AI610,0)*CX610,0)</f>
        <v/>
      </c>
      <c r="DG610">
        <f>ROUND(ROUND(AF610,0)*CX610,0)</f>
        <v/>
      </c>
      <c r="DH610">
        <f>ROUND(ROUND(AG610,0)*CX610,0)</f>
        <v/>
      </c>
      <c r="DI610">
        <f>ROUND(ROUND(AH610,0)*CX610,0)</f>
        <v/>
      </c>
      <c r="DJ610">
        <f>DF610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ROW(Source!A1218)</f>
        <v/>
      </c>
      <c r="B611" t="n">
        <v>78869116</v>
      </c>
      <c r="C611" t="n">
        <v>78872580</v>
      </c>
      <c r="D611" t="n">
        <v>29129474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201-0843</t>
        </is>
      </c>
      <c r="J611" t="inlineStr">
        <is>
          <t>ТССЦ Московской обл., 201-0843, приказ Минстроя России №675/пр от 28.02.2017 № 255/пр</t>
        </is>
      </c>
      <c r="K611" t="inlineStr">
        <is>
          <t>Конструкции стальные индивидуальные решетчатые сварные массой до 0,1 т</t>
        </is>
      </c>
      <c r="L611" t="n">
        <v>1348</v>
      </c>
      <c r="N611" t="n">
        <v>1009</v>
      </c>
      <c r="O611" t="inlineStr">
        <is>
          <t>т</t>
        </is>
      </c>
      <c r="P611" t="inlineStr">
        <is>
          <t>т</t>
        </is>
      </c>
      <c r="Q611" t="n">
        <v>1000</v>
      </c>
      <c r="W611" t="n">
        <v>0</v>
      </c>
      <c r="X611" t="n">
        <v>-115984519</v>
      </c>
      <c r="Y611">
        <f>AT611</f>
        <v/>
      </c>
      <c r="AA611" t="n">
        <v>118113.18</v>
      </c>
      <c r="AB611" t="n">
        <v>0</v>
      </c>
      <c r="AC611" t="n">
        <v>0</v>
      </c>
      <c r="AD611" t="n">
        <v>0</v>
      </c>
      <c r="AE611" t="n">
        <v>11534.49</v>
      </c>
      <c r="AF611" t="n">
        <v>0</v>
      </c>
      <c r="AG611" t="n">
        <v>0</v>
      </c>
      <c r="AH611" t="n">
        <v>0</v>
      </c>
      <c r="AI611" t="n">
        <v>10.24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0</v>
      </c>
      <c r="AQ611" t="n">
        <v>0</v>
      </c>
      <c r="AR611" t="n">
        <v>0</v>
      </c>
      <c r="AS611" t="inlineStr"/>
      <c r="AT611" t="n">
        <v>0.002</v>
      </c>
      <c r="AU611" t="inlineStr"/>
      <c r="AV611" t="n">
        <v>0</v>
      </c>
      <c r="AW611" t="n">
        <v>2</v>
      </c>
      <c r="AX611" t="n">
        <v>78872616</v>
      </c>
      <c r="AY611" t="n">
        <v>1</v>
      </c>
      <c r="AZ611" t="n">
        <v>0</v>
      </c>
      <c r="BA611" t="n">
        <v>563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ROUND(Y611*Source!I1218,7)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ROW(Source!A1218)</f>
        <v/>
      </c>
      <c r="B612" t="n">
        <v>78869116</v>
      </c>
      <c r="C612" t="n">
        <v>78872580</v>
      </c>
      <c r="D612" t="n">
        <v>29165774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509-0090</t>
        </is>
      </c>
      <c r="J612" t="inlineStr">
        <is>
          <t>ТССЦ Московской обл., 509-0090, приказ Минстроя России №675/пр от 28.02.2017 № 258/пр</t>
        </is>
      </c>
      <c r="K612" t="inlineStr">
        <is>
          <t>Перемычки гибкие, тип ПГС-50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W612" t="n">
        <v>0</v>
      </c>
      <c r="X612" t="n">
        <v>-1035860104</v>
      </c>
      <c r="Y612">
        <f>AT612</f>
        <v/>
      </c>
      <c r="AA612" t="n">
        <v>1258.9</v>
      </c>
      <c r="AB612" t="n">
        <v>0</v>
      </c>
      <c r="AC612" t="n">
        <v>0</v>
      </c>
      <c r="AD612" t="n">
        <v>0</v>
      </c>
      <c r="AE612" t="n">
        <v>40.9</v>
      </c>
      <c r="AF612" t="n">
        <v>0</v>
      </c>
      <c r="AG612" t="n">
        <v>0</v>
      </c>
      <c r="AH612" t="n">
        <v>0</v>
      </c>
      <c r="AI612" t="n">
        <v>30.78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0</v>
      </c>
      <c r="AQ612" t="n">
        <v>0</v>
      </c>
      <c r="AR612" t="n">
        <v>0</v>
      </c>
      <c r="AS612" t="inlineStr"/>
      <c r="AT612" t="n">
        <v>0.1</v>
      </c>
      <c r="AU612" t="inlineStr"/>
      <c r="AV612" t="n">
        <v>0</v>
      </c>
      <c r="AW612" t="n">
        <v>2</v>
      </c>
      <c r="AX612" t="n">
        <v>78872617</v>
      </c>
      <c r="AY612" t="n">
        <v>1</v>
      </c>
      <c r="AZ612" t="n">
        <v>0</v>
      </c>
      <c r="BA612" t="n">
        <v>564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ROUND(Y612*Source!I1218,7)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ROW(Source!A1218)</f>
        <v/>
      </c>
      <c r="B613" t="n">
        <v>78869116</v>
      </c>
      <c r="C613" t="n">
        <v>78872580</v>
      </c>
      <c r="D613" t="n">
        <v>29171708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509-1210</t>
        </is>
      </c>
      <c r="J613" t="inlineStr">
        <is>
          <t>ТССЦ Московской обл., 509-1210, приказ Минстроя России №675/пр от 28.02.2017 № 258/пр</t>
        </is>
      </c>
      <c r="K613" t="inlineStr">
        <is>
          <t>Вазелин технический</t>
        </is>
      </c>
      <c r="L613" t="n">
        <v>1346</v>
      </c>
      <c r="N613" t="n">
        <v>1009</v>
      </c>
      <c r="O613" t="inlineStr">
        <is>
          <t>кг</t>
        </is>
      </c>
      <c r="P613" t="inlineStr">
        <is>
          <t>кг</t>
        </is>
      </c>
      <c r="Q613" t="n">
        <v>1</v>
      </c>
      <c r="W613" t="n">
        <v>0</v>
      </c>
      <c r="X613" t="n">
        <v>1015963907</v>
      </c>
      <c r="Y613">
        <f>AT613</f>
        <v/>
      </c>
      <c r="AA613" t="n">
        <v>315.49</v>
      </c>
      <c r="AB613" t="n">
        <v>0</v>
      </c>
      <c r="AC613" t="n">
        <v>0</v>
      </c>
      <c r="AD613" t="n">
        <v>0</v>
      </c>
      <c r="AE613" t="n">
        <v>30.6</v>
      </c>
      <c r="AF613" t="n">
        <v>0</v>
      </c>
      <c r="AG613" t="n">
        <v>0</v>
      </c>
      <c r="AH613" t="n">
        <v>0</v>
      </c>
      <c r="AI613" t="n">
        <v>10.31</v>
      </c>
      <c r="AJ613" t="n">
        <v>1</v>
      </c>
      <c r="AK613" t="n">
        <v>1</v>
      </c>
      <c r="AL613" t="n">
        <v>1</v>
      </c>
      <c r="AM613" t="n">
        <v>2</v>
      </c>
      <c r="AN613" t="n">
        <v>0</v>
      </c>
      <c r="AO613" t="n">
        <v>1</v>
      </c>
      <c r="AP613" t="n">
        <v>0</v>
      </c>
      <c r="AQ613" t="n">
        <v>0</v>
      </c>
      <c r="AR613" t="n">
        <v>0</v>
      </c>
      <c r="AS613" t="inlineStr"/>
      <c r="AT613" t="n">
        <v>0.008999999999999999</v>
      </c>
      <c r="AU613" t="inlineStr"/>
      <c r="AV613" t="n">
        <v>0</v>
      </c>
      <c r="AW613" t="n">
        <v>2</v>
      </c>
      <c r="AX613" t="n">
        <v>78872618</v>
      </c>
      <c r="AY613" t="n">
        <v>1</v>
      </c>
      <c r="AZ613" t="n">
        <v>0</v>
      </c>
      <c r="BA613" t="n">
        <v>565</v>
      </c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ROUND(Y613*Source!I1218,7)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ROW(Source!A1218)</f>
        <v/>
      </c>
      <c r="B614" t="n">
        <v>78869116</v>
      </c>
      <c r="C614" t="n">
        <v>78872580</v>
      </c>
      <c r="D614" t="n">
        <v>29166685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509-2247</t>
        </is>
      </c>
      <c r="J614" t="inlineStr">
        <is>
          <t>ТССЦ Московской обл., 509-2247, приказ Минстроя России №675/пр от 28.02.2017 № 258/пр</t>
        </is>
      </c>
      <c r="K614" t="inlineStr">
        <is>
          <t>Выключатели автоматические «IEK» ВА47-29 4Р 25А, характеристика С</t>
        </is>
      </c>
      <c r="L614" t="n">
        <v>1354</v>
      </c>
      <c r="N614" t="n">
        <v>1010</v>
      </c>
      <c r="O614" t="inlineStr">
        <is>
          <t>шт.</t>
        </is>
      </c>
      <c r="P614" t="inlineStr">
        <is>
          <t>шт.</t>
        </is>
      </c>
      <c r="Q614" t="n">
        <v>1</v>
      </c>
      <c r="W614" t="n">
        <v>0</v>
      </c>
      <c r="X614" t="n">
        <v>-104479151</v>
      </c>
      <c r="Y614">
        <f>AT614</f>
        <v/>
      </c>
      <c r="AA614" t="n">
        <v>490.45</v>
      </c>
      <c r="AB614" t="n">
        <v>0</v>
      </c>
      <c r="AC614" t="n">
        <v>0</v>
      </c>
      <c r="AD614" t="n">
        <v>0</v>
      </c>
      <c r="AE614" t="n">
        <v>57.43</v>
      </c>
      <c r="AF614" t="n">
        <v>0</v>
      </c>
      <c r="AG614" t="n">
        <v>0</v>
      </c>
      <c r="AH614" t="n">
        <v>0</v>
      </c>
      <c r="AI614" t="n">
        <v>8.539999999999999</v>
      </c>
      <c r="AJ614" t="n">
        <v>1</v>
      </c>
      <c r="AK614" t="n">
        <v>1</v>
      </c>
      <c r="AL614" t="n">
        <v>1</v>
      </c>
      <c r="AM614" t="n">
        <v>0</v>
      </c>
      <c r="AN614" t="n">
        <v>0</v>
      </c>
      <c r="AO614" t="n">
        <v>0</v>
      </c>
      <c r="AP614" t="n">
        <v>1</v>
      </c>
      <c r="AQ614" t="n">
        <v>0</v>
      </c>
      <c r="AR614" t="n">
        <v>0</v>
      </c>
      <c r="AS614" t="inlineStr"/>
      <c r="AT614" t="n">
        <v>1</v>
      </c>
      <c r="AU614" t="inlineStr"/>
      <c r="AV614" t="n">
        <v>0</v>
      </c>
      <c r="AW614" t="n">
        <v>1</v>
      </c>
      <c r="AX614" t="n">
        <v>-1</v>
      </c>
      <c r="AY614" t="n">
        <v>0</v>
      </c>
      <c r="AZ614" t="n">
        <v>0</v>
      </c>
      <c r="BA614" t="inlineStr"/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ROUND(Y614*Source!I1218,7)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ROW(Source!A1218)</f>
        <v/>
      </c>
      <c r="B615" t="n">
        <v>78869116</v>
      </c>
      <c r="C615" t="n">
        <v>78872580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0</v>
      </c>
      <c r="AQ615" t="n">
        <v>0</v>
      </c>
      <c r="AR615" t="n">
        <v>0</v>
      </c>
      <c r="AS615" t="inlineStr"/>
      <c r="AT615" t="n">
        <v>0.44</v>
      </c>
      <c r="AU615" t="inlineStr"/>
      <c r="AV615" t="n">
        <v>0</v>
      </c>
      <c r="AW615" t="n">
        <v>2</v>
      </c>
      <c r="AX615" t="n">
        <v>78872619</v>
      </c>
      <c r="AY615" t="n">
        <v>1</v>
      </c>
      <c r="AZ615" t="n">
        <v>0</v>
      </c>
      <c r="BA615" t="n">
        <v>566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ROUND(Y615*Source!I1218,7)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ROW(Source!A1258)</f>
        <v/>
      </c>
      <c r="B616" t="n">
        <v>78869116</v>
      </c>
      <c r="C616" t="n">
        <v>78872713</v>
      </c>
      <c r="D616" t="n">
        <v>18408291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1-1025-90</t>
        </is>
      </c>
      <c r="J616" t="inlineStr"/>
      <c r="K616" t="inlineStr">
        <is>
          <t>Рабочий строитель среднего разряда 2,5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1933892413</v>
      </c>
      <c r="Y616">
        <f>AT616</f>
        <v/>
      </c>
      <c r="AA616" t="n">
        <v>0</v>
      </c>
      <c r="AB616" t="n">
        <v>0</v>
      </c>
      <c r="AC616" t="n">
        <v>0</v>
      </c>
      <c r="AD616" t="n">
        <v>8.17</v>
      </c>
      <c r="AE616" t="n">
        <v>0</v>
      </c>
      <c r="AF616" t="n">
        <v>0</v>
      </c>
      <c r="AG616" t="n">
        <v>0</v>
      </c>
      <c r="AH616" t="n">
        <v>8.17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1</v>
      </c>
      <c r="AQ616" t="n">
        <v>0</v>
      </c>
      <c r="AR616" t="n">
        <v>0</v>
      </c>
      <c r="AS616" t="inlineStr"/>
      <c r="AT616" t="n">
        <v>32.2</v>
      </c>
      <c r="AU616" t="inlineStr"/>
      <c r="AV616" t="n">
        <v>1</v>
      </c>
      <c r="AW616" t="n">
        <v>2</v>
      </c>
      <c r="AX616" t="n">
        <v>78872719</v>
      </c>
      <c r="AY616" t="n">
        <v>1</v>
      </c>
      <c r="AZ616" t="n">
        <v>0</v>
      </c>
      <c r="BA616" t="n">
        <v>567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ROUND(AT616*Source!I1258*AH616*AL616,0)</f>
        <v/>
      </c>
      <c r="CV616">
        <f>ROUND(Y616*Source!I1258,7)</f>
        <v/>
      </c>
      <c r="CW616" t="n">
        <v>0</v>
      </c>
      <c r="CX616">
        <f>ROUND(Y616*Source!I1258,7)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ROW(Source!A1258)</f>
        <v/>
      </c>
      <c r="B617" t="n">
        <v>78869116</v>
      </c>
      <c r="C617" t="n">
        <v>78872713</v>
      </c>
      <c r="D617" t="n">
        <v>29174913</v>
      </c>
      <c r="E617" t="n">
        <v>1</v>
      </c>
      <c r="F617" t="n">
        <v>1</v>
      </c>
      <c r="G617" t="n">
        <v>1</v>
      </c>
      <c r="H617" t="n">
        <v>2</v>
      </c>
      <c r="I617" t="inlineStr">
        <is>
          <t>400001</t>
        </is>
      </c>
      <c r="J617" t="inlineStr">
        <is>
          <t>ТСЭМ Московской обл., 400001, приказ Минстроя России №675/пр от 28.02.2017 № 264/пр</t>
        </is>
      </c>
      <c r="K617" t="inlineStr">
        <is>
          <t>Автомобили бортовые, грузоподъемность до 5 т</t>
        </is>
      </c>
      <c r="L617" t="n">
        <v>1368</v>
      </c>
      <c r="N617" t="n">
        <v>1011</v>
      </c>
      <c r="O617" t="inlineStr">
        <is>
          <t>маш.-ч</t>
        </is>
      </c>
      <c r="P617" t="inlineStr">
        <is>
          <t>маш.-ч</t>
        </is>
      </c>
      <c r="Q617" t="n">
        <v>1</v>
      </c>
      <c r="W617" t="n">
        <v>0</v>
      </c>
      <c r="X617" t="n">
        <v>1230759911</v>
      </c>
      <c r="Y617">
        <f>AT617</f>
        <v/>
      </c>
      <c r="AA617" t="n">
        <v>0</v>
      </c>
      <c r="AB617" t="n">
        <v>2177.51</v>
      </c>
      <c r="AC617" t="n">
        <v>606.1</v>
      </c>
      <c r="AD617" t="n">
        <v>0</v>
      </c>
      <c r="AE617" t="n">
        <v>0</v>
      </c>
      <c r="AF617" t="n">
        <v>87.17</v>
      </c>
      <c r="AG617" t="n">
        <v>11.6</v>
      </c>
      <c r="AH617" t="n">
        <v>0</v>
      </c>
      <c r="AI617" t="n">
        <v>1</v>
      </c>
      <c r="AJ617" t="n">
        <v>24.98</v>
      </c>
      <c r="AK617" t="n">
        <v>52.25</v>
      </c>
      <c r="AL617" t="n">
        <v>1</v>
      </c>
      <c r="AM617" t="n">
        <v>2</v>
      </c>
      <c r="AN617" t="n">
        <v>0</v>
      </c>
      <c r="AO617" t="n">
        <v>1</v>
      </c>
      <c r="AP617" t="n">
        <v>1</v>
      </c>
      <c r="AQ617" t="n">
        <v>0</v>
      </c>
      <c r="AR617" t="n">
        <v>0</v>
      </c>
      <c r="AS617" t="inlineStr"/>
      <c r="AT617" t="n">
        <v>0.01</v>
      </c>
      <c r="AU617" t="inlineStr"/>
      <c r="AV617" t="n">
        <v>0</v>
      </c>
      <c r="AW617" t="n">
        <v>2</v>
      </c>
      <c r="AX617" t="n">
        <v>78872720</v>
      </c>
      <c r="AY617" t="n">
        <v>1</v>
      </c>
      <c r="AZ617" t="n">
        <v>0</v>
      </c>
      <c r="BA617" t="n">
        <v>568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>
        <f>ROUND(Y617*Source!I1258*DO617,7)</f>
        <v/>
      </c>
      <c r="CX617">
        <f>ROUND(Y617*Source!I1258,7)</f>
        <v/>
      </c>
      <c r="CY617">
        <f>AB617</f>
        <v/>
      </c>
      <c r="CZ617">
        <f>AF617</f>
        <v/>
      </c>
      <c r="DA617">
        <f>AJ617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ROUND(ROUND(AE617,0)*CX617,0)</f>
        <v/>
      </c>
      <c r="DG617">
        <f>ROUND(ROUND(AF617*AJ617,0)*CX617,0)</f>
        <v/>
      </c>
      <c r="DH617">
        <f>ROUND(ROUND(AG617*AK617,0)*CX617,0)</f>
        <v/>
      </c>
      <c r="DI617">
        <f>ROUND(ROUND(AH617,0)*CX617,0)</f>
        <v/>
      </c>
      <c r="DJ617">
        <f>DG617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ROW(Source!A1258)</f>
        <v/>
      </c>
      <c r="B618" t="n">
        <v>78869116</v>
      </c>
      <c r="C618" t="n">
        <v>78872713</v>
      </c>
      <c r="D618" t="n">
        <v>29110139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101-1703</t>
        </is>
      </c>
      <c r="J618" t="inlineStr">
        <is>
          <t>ТССЦ Московской обл., 101-1703, приказ Минстроя России №675/пр от 28.02.2017 № 254/пр</t>
        </is>
      </c>
      <c r="K618" t="inlineStr">
        <is>
          <t>Прокладки резиновые (пластина техническая прессованная)</t>
        </is>
      </c>
      <c r="L618" t="n">
        <v>1346</v>
      </c>
      <c r="N618" t="n">
        <v>1009</v>
      </c>
      <c r="O618" t="inlineStr">
        <is>
          <t>кг</t>
        </is>
      </c>
      <c r="P618" t="inlineStr">
        <is>
          <t>кг</t>
        </is>
      </c>
      <c r="Q618" t="n">
        <v>1</v>
      </c>
      <c r="W618" t="n">
        <v>0</v>
      </c>
      <c r="X618" t="n">
        <v>-1947909329</v>
      </c>
      <c r="Y618">
        <f>AT618</f>
        <v/>
      </c>
      <c r="AA618" t="n">
        <v>341.04</v>
      </c>
      <c r="AB618" t="n">
        <v>0</v>
      </c>
      <c r="AC618" t="n">
        <v>0</v>
      </c>
      <c r="AD618" t="n">
        <v>0</v>
      </c>
      <c r="AE618" t="n">
        <v>23.09</v>
      </c>
      <c r="AF618" t="n">
        <v>0</v>
      </c>
      <c r="AG618" t="n">
        <v>0</v>
      </c>
      <c r="AH618" t="n">
        <v>0</v>
      </c>
      <c r="AI618" t="n">
        <v>14.77</v>
      </c>
      <c r="AJ618" t="n">
        <v>1</v>
      </c>
      <c r="AK618" t="n">
        <v>1</v>
      </c>
      <c r="AL618" t="n">
        <v>1</v>
      </c>
      <c r="AM618" t="n">
        <v>2</v>
      </c>
      <c r="AN618" t="n">
        <v>0</v>
      </c>
      <c r="AO618" t="n">
        <v>1</v>
      </c>
      <c r="AP618" t="n">
        <v>1</v>
      </c>
      <c r="AQ618" t="n">
        <v>0</v>
      </c>
      <c r="AR618" t="n">
        <v>0</v>
      </c>
      <c r="AS618" t="inlineStr"/>
      <c r="AT618" t="n">
        <v>2</v>
      </c>
      <c r="AU618" t="inlineStr"/>
      <c r="AV618" t="n">
        <v>0</v>
      </c>
      <c r="AW618" t="n">
        <v>2</v>
      </c>
      <c r="AX618" t="n">
        <v>78872721</v>
      </c>
      <c r="AY618" t="n">
        <v>1</v>
      </c>
      <c r="AZ618" t="n">
        <v>0</v>
      </c>
      <c r="BA618" t="n">
        <v>569</v>
      </c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ROUND(Y618*Source!I1258,7)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ROW(Source!A1258)</f>
        <v/>
      </c>
      <c r="B619" t="n">
        <v>78869116</v>
      </c>
      <c r="C619" t="n">
        <v>78872713</v>
      </c>
      <c r="D619" t="n">
        <v>29114240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101-2576</t>
        </is>
      </c>
      <c r="J619" t="inlineStr">
        <is>
          <t>ТССЦ Московской обл., 101-2576, приказ Минстроя России №675/пр от 28.02.2017 № 254/пр</t>
        </is>
      </c>
      <c r="K619" t="inlineStr">
        <is>
          <t>Болты с гайками и шайбами для санитарно-технических работ диаметром 16 мм</t>
        </is>
      </c>
      <c r="L619" t="n">
        <v>1348</v>
      </c>
      <c r="N619" t="n">
        <v>1009</v>
      </c>
      <c r="O619" t="inlineStr">
        <is>
          <t>т</t>
        </is>
      </c>
      <c r="P619" t="inlineStr">
        <is>
          <t>т</t>
        </is>
      </c>
      <c r="Q619" t="n">
        <v>1000</v>
      </c>
      <c r="W619" t="n">
        <v>0</v>
      </c>
      <c r="X619" t="n">
        <v>-1701539228</v>
      </c>
      <c r="Y619">
        <f>AT619</f>
        <v/>
      </c>
      <c r="AA619" t="n">
        <v>145037.4</v>
      </c>
      <c r="AB619" t="n">
        <v>0</v>
      </c>
      <c r="AC619" t="n">
        <v>0</v>
      </c>
      <c r="AD619" t="n">
        <v>0</v>
      </c>
      <c r="AE619" t="n">
        <v>14830</v>
      </c>
      <c r="AF619" t="n">
        <v>0</v>
      </c>
      <c r="AG619" t="n">
        <v>0</v>
      </c>
      <c r="AH619" t="n">
        <v>0</v>
      </c>
      <c r="AI619" t="n">
        <v>9.779999999999999</v>
      </c>
      <c r="AJ619" t="n">
        <v>1</v>
      </c>
      <c r="AK619" t="n">
        <v>1</v>
      </c>
      <c r="AL619" t="n">
        <v>1</v>
      </c>
      <c r="AM619" t="n">
        <v>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0.005</v>
      </c>
      <c r="AU619" t="inlineStr"/>
      <c r="AV619" t="n">
        <v>0</v>
      </c>
      <c r="AW619" t="n">
        <v>2</v>
      </c>
      <c r="AX619" t="n">
        <v>78872722</v>
      </c>
      <c r="AY619" t="n">
        <v>1</v>
      </c>
      <c r="AZ619" t="n">
        <v>0</v>
      </c>
      <c r="BA619" t="n">
        <v>570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V619" t="n">
        <v>0</v>
      </c>
      <c r="CW619" t="n">
        <v>0</v>
      </c>
      <c r="CX619">
        <f>ROUND(Y619*Source!I1258,7)</f>
        <v/>
      </c>
      <c r="CY619">
        <f>AA619</f>
        <v/>
      </c>
      <c r="CZ619">
        <f>AE619</f>
        <v/>
      </c>
      <c r="DA619">
        <f>AI619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ROUND(ROUND(AE619*AI619,0)*CX619,0)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DF619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ROW(Source!A1258)</f>
        <v/>
      </c>
      <c r="B620" t="n">
        <v>78869116</v>
      </c>
      <c r="C620" t="n">
        <v>78872713</v>
      </c>
      <c r="D620" t="n">
        <v>29150040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411-0001</t>
        </is>
      </c>
      <c r="J620" t="inlineStr">
        <is>
          <t>ТССЦ Московской обл., 411-0001, приказ Минстроя России №675/пр от 28.02.2017 № 257/пр</t>
        </is>
      </c>
      <c r="K620" t="inlineStr">
        <is>
          <t>Вода</t>
        </is>
      </c>
      <c r="L620" t="n">
        <v>1339</v>
      </c>
      <c r="N620" t="n">
        <v>1007</v>
      </c>
      <c r="O620" t="inlineStr">
        <is>
          <t>м3</t>
        </is>
      </c>
      <c r="P620" t="inlineStr">
        <is>
          <t>м3</t>
        </is>
      </c>
      <c r="Q620" t="n">
        <v>1</v>
      </c>
      <c r="W620" t="n">
        <v>0</v>
      </c>
      <c r="X620" t="n">
        <v>619799737</v>
      </c>
      <c r="Y620">
        <f>AT620</f>
        <v/>
      </c>
      <c r="AA620" t="n">
        <v>31.28</v>
      </c>
      <c r="AB620" t="n">
        <v>0</v>
      </c>
      <c r="AC620" t="n">
        <v>0</v>
      </c>
      <c r="AD620" t="n">
        <v>0</v>
      </c>
      <c r="AE620" t="n">
        <v>2.44</v>
      </c>
      <c r="AF620" t="n">
        <v>0</v>
      </c>
      <c r="AG620" t="n">
        <v>0</v>
      </c>
      <c r="AH620" t="n">
        <v>0</v>
      </c>
      <c r="AI620" t="n">
        <v>12.82</v>
      </c>
      <c r="AJ620" t="n">
        <v>1</v>
      </c>
      <c r="AK620" t="n">
        <v>1</v>
      </c>
      <c r="AL620" t="n">
        <v>1</v>
      </c>
      <c r="AM620" t="n">
        <v>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7.8</v>
      </c>
      <c r="AU620" t="inlineStr"/>
      <c r="AV620" t="n">
        <v>0</v>
      </c>
      <c r="AW620" t="n">
        <v>2</v>
      </c>
      <c r="AX620" t="n">
        <v>78872723</v>
      </c>
      <c r="AY620" t="n">
        <v>1</v>
      </c>
      <c r="AZ620" t="n">
        <v>0</v>
      </c>
      <c r="BA620" t="n">
        <v>571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ROUND(Y620*Source!I1258,7)</f>
        <v/>
      </c>
      <c r="CY620">
        <f>AA620</f>
        <v/>
      </c>
      <c r="CZ620">
        <f>AE620</f>
        <v/>
      </c>
      <c r="DA620">
        <f>AI620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ROUND(ROUND(AE620*AI620,0)*CX620,0)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DF620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ROW(Source!A1259)</f>
        <v/>
      </c>
      <c r="B621" t="n">
        <v>78869116</v>
      </c>
      <c r="C621" t="n">
        <v>78872724</v>
      </c>
      <c r="D621" t="n">
        <v>18407150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1-1030-90</t>
        </is>
      </c>
      <c r="J621" t="inlineStr"/>
      <c r="K621" t="inlineStr">
        <is>
          <t>Рабочий строитель среднего разряда 3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W621" t="n">
        <v>0</v>
      </c>
      <c r="X621" t="n">
        <v>-931037793</v>
      </c>
      <c r="Y621">
        <f>AT621</f>
        <v/>
      </c>
      <c r="AA621" t="n">
        <v>0</v>
      </c>
      <c r="AB621" t="n">
        <v>0</v>
      </c>
      <c r="AC621" t="n">
        <v>0</v>
      </c>
      <c r="AD621" t="n">
        <v>8.529999999999999</v>
      </c>
      <c r="AE621" t="n">
        <v>0</v>
      </c>
      <c r="AF621" t="n">
        <v>0</v>
      </c>
      <c r="AG621" t="n">
        <v>0</v>
      </c>
      <c r="AH621" t="n">
        <v>8.529999999999999</v>
      </c>
      <c r="AI621" t="n">
        <v>1</v>
      </c>
      <c r="AJ621" t="n">
        <v>1</v>
      </c>
      <c r="AK621" t="n">
        <v>1</v>
      </c>
      <c r="AL621" t="n">
        <v>1</v>
      </c>
      <c r="AM621" t="n">
        <v>-2</v>
      </c>
      <c r="AN621" t="n">
        <v>0</v>
      </c>
      <c r="AO621" t="n">
        <v>1</v>
      </c>
      <c r="AP621" t="n">
        <v>0</v>
      </c>
      <c r="AQ621" t="n">
        <v>0</v>
      </c>
      <c r="AR621" t="n">
        <v>0</v>
      </c>
      <c r="AS621" t="inlineStr"/>
      <c r="AT621" t="n">
        <v>13.9</v>
      </c>
      <c r="AU621" t="inlineStr"/>
      <c r="AV621" t="n">
        <v>1</v>
      </c>
      <c r="AW621" t="n">
        <v>2</v>
      </c>
      <c r="AX621" t="n">
        <v>78872728</v>
      </c>
      <c r="AY621" t="n">
        <v>1</v>
      </c>
      <c r="AZ621" t="n">
        <v>0</v>
      </c>
      <c r="BA621" t="n">
        <v>572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U621">
        <f>ROUND(AT621*Source!I1259*AH621*AL621,0)</f>
        <v/>
      </c>
      <c r="CV621">
        <f>ROUND(Y621*Source!I1259,7)</f>
        <v/>
      </c>
      <c r="CW621" t="n">
        <v>0</v>
      </c>
      <c r="CX621">
        <f>ROUND(Y621*Source!I1259,7)</f>
        <v/>
      </c>
      <c r="CY621">
        <f>AD621</f>
        <v/>
      </c>
      <c r="CZ621">
        <f>AH621</f>
        <v/>
      </c>
      <c r="DA621">
        <f>AL621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ROUND(ROUND(AF621,0)*CX621,0)</f>
        <v/>
      </c>
      <c r="DH621">
        <f>ROUND(ROUND(AG621,0)*CX621,0)</f>
        <v/>
      </c>
      <c r="DI621">
        <f>ROUND(ROUND(AH621,0)*CX621,0)</f>
        <v/>
      </c>
      <c r="DJ621">
        <f>DI621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ROW(Source!A1259)</f>
        <v/>
      </c>
      <c r="B622" t="n">
        <v>78869116</v>
      </c>
      <c r="C622" t="n">
        <v>78872724</v>
      </c>
      <c r="D622" t="n">
        <v>29169821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509-0696</t>
        </is>
      </c>
      <c r="J622" t="inlineStr">
        <is>
          <t>ТССЦ Московской обл., 509-0696, приказ Минстроя России №675/пр от 28.02.2017 № 258/пр</t>
        </is>
      </c>
      <c r="K622" t="inlineStr">
        <is>
          <t>Лампы люминесцентные ртутные низкого давления типа ЛБ, ЛД, ЛДЦ, ЛТВ, ЛБХ 20</t>
        </is>
      </c>
      <c r="L622" t="n">
        <v>1358</v>
      </c>
      <c r="N622" t="n">
        <v>1010</v>
      </c>
      <c r="O622" t="inlineStr">
        <is>
          <t>10 шт.</t>
        </is>
      </c>
      <c r="P622" t="inlineStr">
        <is>
          <t>10 шт.</t>
        </is>
      </c>
      <c r="Q622" t="n">
        <v>10</v>
      </c>
      <c r="W622" t="n">
        <v>0</v>
      </c>
      <c r="X622" t="n">
        <v>-1187244712</v>
      </c>
      <c r="Y622">
        <f>AT622</f>
        <v/>
      </c>
      <c r="AA622" t="n">
        <v>352.73</v>
      </c>
      <c r="AB622" t="n">
        <v>0</v>
      </c>
      <c r="AC622" t="n">
        <v>0</v>
      </c>
      <c r="AD622" t="n">
        <v>0</v>
      </c>
      <c r="AE622" t="n">
        <v>85.2</v>
      </c>
      <c r="AF622" t="n">
        <v>0</v>
      </c>
      <c r="AG622" t="n">
        <v>0</v>
      </c>
      <c r="AH622" t="n">
        <v>0</v>
      </c>
      <c r="AI622" t="n">
        <v>4.14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0</v>
      </c>
      <c r="AQ622" t="n">
        <v>0</v>
      </c>
      <c r="AR622" t="n">
        <v>0</v>
      </c>
      <c r="AS622" t="inlineStr"/>
      <c r="AT622" t="n">
        <v>10</v>
      </c>
      <c r="AU622" t="inlineStr"/>
      <c r="AV622" t="n">
        <v>0</v>
      </c>
      <c r="AW622" t="n">
        <v>2</v>
      </c>
      <c r="AX622" t="n">
        <v>78872729</v>
      </c>
      <c r="AY622" t="n">
        <v>1</v>
      </c>
      <c r="AZ622" t="n">
        <v>0</v>
      </c>
      <c r="BA622" t="n">
        <v>573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ROUND(Y622*Source!I1259,7)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ROW(Source!A1259)</f>
        <v/>
      </c>
      <c r="B623" t="n">
        <v>78869116</v>
      </c>
      <c r="C623" t="n">
        <v>78872724</v>
      </c>
      <c r="D623" t="n">
        <v>29169828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509-6744</t>
        </is>
      </c>
      <c r="J623" t="inlineStr">
        <is>
          <t>ТССЦ Московской обл., 509-6744, приказ Минстроя России №675/пр от 28.02.2017 № 258/пр</t>
        </is>
      </c>
      <c r="K623" t="inlineStr">
        <is>
          <t>Лампы люминесцентные компактные энергосберегающие с цоколем Е27 мощностью 55 Вт</t>
        </is>
      </c>
      <c r="L623" t="n">
        <v>1354</v>
      </c>
      <c r="N623" t="n">
        <v>1010</v>
      </c>
      <c r="O623" t="inlineStr">
        <is>
          <t>шт.</t>
        </is>
      </c>
      <c r="P623" t="inlineStr">
        <is>
          <t>шт.</t>
        </is>
      </c>
      <c r="Q623" t="n">
        <v>1</v>
      </c>
      <c r="W623" t="n">
        <v>0</v>
      </c>
      <c r="X623" t="n">
        <v>-228955380</v>
      </c>
      <c r="Y623">
        <f>AT623</f>
        <v/>
      </c>
      <c r="AA623" t="n">
        <v>237.77</v>
      </c>
      <c r="AB623" t="n">
        <v>0</v>
      </c>
      <c r="AC623" t="n">
        <v>0</v>
      </c>
      <c r="AD623" t="n">
        <v>0</v>
      </c>
      <c r="AE623" t="n">
        <v>140.69</v>
      </c>
      <c r="AF623" t="n">
        <v>0</v>
      </c>
      <c r="AG623" t="n">
        <v>0</v>
      </c>
      <c r="AH623" t="n">
        <v>0</v>
      </c>
      <c r="AI623" t="n">
        <v>1.69</v>
      </c>
      <c r="AJ623" t="n">
        <v>1</v>
      </c>
      <c r="AK623" t="n">
        <v>1</v>
      </c>
      <c r="AL623" t="n">
        <v>1</v>
      </c>
      <c r="AM623" t="n">
        <v>0</v>
      </c>
      <c r="AN623" t="n">
        <v>0</v>
      </c>
      <c r="AO623" t="n">
        <v>0</v>
      </c>
      <c r="AP623" t="n">
        <v>1</v>
      </c>
      <c r="AQ623" t="n">
        <v>0</v>
      </c>
      <c r="AR623" t="n">
        <v>0</v>
      </c>
      <c r="AS623" t="inlineStr"/>
      <c r="AT623" t="n">
        <v>100</v>
      </c>
      <c r="AU623" t="inlineStr"/>
      <c r="AV623" t="n">
        <v>0</v>
      </c>
      <c r="AW623" t="n">
        <v>1</v>
      </c>
      <c r="AX623" t="n">
        <v>-1</v>
      </c>
      <c r="AY623" t="n">
        <v>0</v>
      </c>
      <c r="AZ623" t="n">
        <v>0</v>
      </c>
      <c r="BA623" t="inlineStr"/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V623" t="n">
        <v>0</v>
      </c>
      <c r="CW623" t="n">
        <v>0</v>
      </c>
      <c r="CX623">
        <f>ROUND(Y623*Source!I1259,7)</f>
        <v/>
      </c>
      <c r="CY623">
        <f>AA623</f>
        <v/>
      </c>
      <c r="CZ623">
        <f>AE623</f>
        <v/>
      </c>
      <c r="DA623">
        <f>AI623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ROUND(ROUND(AE623*AI623,0)*CX623,0)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DF623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ROW(Source!A1261)</f>
        <v/>
      </c>
      <c r="B624" t="n">
        <v>78869116</v>
      </c>
      <c r="C624" t="n">
        <v>78872731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W624" t="n">
        <v>0</v>
      </c>
      <c r="X624" t="n">
        <v>717490484</v>
      </c>
      <c r="Y624">
        <f>(AT624*ROUND(7,7))</f>
        <v/>
      </c>
      <c r="AA624" t="n">
        <v>0</v>
      </c>
      <c r="AB624" t="n">
        <v>0</v>
      </c>
      <c r="AC624" t="n">
        <v>0</v>
      </c>
      <c r="AD624" t="n">
        <v>11.64</v>
      </c>
      <c r="AE624" t="n">
        <v>0</v>
      </c>
      <c r="AF624" t="n">
        <v>0</v>
      </c>
      <c r="AG624" t="n">
        <v>0</v>
      </c>
      <c r="AH624" t="n">
        <v>11.64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5.01</v>
      </c>
      <c r="AU624" t="inlineStr">
        <is>
          <t>)*7</t>
        </is>
      </c>
      <c r="AV624" t="n">
        <v>1</v>
      </c>
      <c r="AW624" t="n">
        <v>2</v>
      </c>
      <c r="AX624" t="n">
        <v>78872738</v>
      </c>
      <c r="AY624" t="n">
        <v>1</v>
      </c>
      <c r="AZ624" t="n">
        <v>0</v>
      </c>
      <c r="BA624" t="n">
        <v>574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U624">
        <f>ROUND(AT624*Source!I1261*AH624*AL624,0)</f>
        <v/>
      </c>
      <c r="CV624">
        <f>ROUND(Y624*Source!I1261,7)</f>
        <v/>
      </c>
      <c r="CW624" t="n">
        <v>0</v>
      </c>
      <c r="CX624">
        <f>ROUND(Y624*Source!I1261,7)</f>
        <v/>
      </c>
      <c r="CY624">
        <f>AD624</f>
        <v/>
      </c>
      <c r="CZ624">
        <f>AH624</f>
        <v/>
      </c>
      <c r="DA624">
        <f>AL624</f>
        <v/>
      </c>
      <c r="DB624">
        <f>ROUND((ROUND(AT624*CZ624,2)*ROUND(7,7)),2)</f>
        <v/>
      </c>
      <c r="DC624">
        <f>ROUND((ROUND(AT624*AG624,2)*ROUND(7,7)),2)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ROW(Source!A1261)</f>
        <v/>
      </c>
      <c r="B625" t="n">
        <v>78869116</v>
      </c>
      <c r="C625" t="n">
        <v>78872731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1695838894</v>
      </c>
      <c r="Y625">
        <f>(AT625*ROUND(7,7))</f>
        <v/>
      </c>
      <c r="AA625" t="n">
        <v>0</v>
      </c>
      <c r="AB625" t="n">
        <v>177.13</v>
      </c>
      <c r="AC625" t="n">
        <v>0</v>
      </c>
      <c r="AD625" t="n">
        <v>0</v>
      </c>
      <c r="AE625" t="n">
        <v>0</v>
      </c>
      <c r="AF625" t="n">
        <v>29.67</v>
      </c>
      <c r="AG625" t="n">
        <v>0</v>
      </c>
      <c r="AH625" t="n">
        <v>0</v>
      </c>
      <c r="AI625" t="n">
        <v>1</v>
      </c>
      <c r="AJ625" t="n">
        <v>5.97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1.5</v>
      </c>
      <c r="AU625" t="inlineStr">
        <is>
          <t>)*7</t>
        </is>
      </c>
      <c r="AV625" t="n">
        <v>0</v>
      </c>
      <c r="AW625" t="n">
        <v>2</v>
      </c>
      <c r="AX625" t="n">
        <v>78872739</v>
      </c>
      <c r="AY625" t="n">
        <v>1</v>
      </c>
      <c r="AZ625" t="n">
        <v>0</v>
      </c>
      <c r="BA625" t="n">
        <v>575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ROUND(Y625*Source!I1261*DO625,7)</f>
        <v/>
      </c>
      <c r="CX625">
        <f>ROUND(Y625*Source!I1261,7)</f>
        <v/>
      </c>
      <c r="CY625">
        <f>AB625</f>
        <v/>
      </c>
      <c r="CZ625">
        <f>AF625</f>
        <v/>
      </c>
      <c r="DA625">
        <f>AJ625</f>
        <v/>
      </c>
      <c r="DB625">
        <f>ROUND((ROUND(AT625*CZ625,2)*ROUND(7,7)),2)</f>
        <v/>
      </c>
      <c r="DC625">
        <f>ROUND((ROUND(AT625*AG625,2)*ROUND(7,7)),2)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ROW(Source!A1261)</f>
        <v/>
      </c>
      <c r="B626" t="n">
        <v>78869116</v>
      </c>
      <c r="C626" t="n">
        <v>78872731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W626" t="n">
        <v>0</v>
      </c>
      <c r="X626" t="n">
        <v>1625292450</v>
      </c>
      <c r="Y626">
        <f>(AT626*ROUND(7,7))</f>
        <v/>
      </c>
      <c r="AA626" t="n">
        <v>76804.47</v>
      </c>
      <c r="AB626" t="n">
        <v>0</v>
      </c>
      <c r="AC626" t="n">
        <v>0</v>
      </c>
      <c r="AD626" t="n">
        <v>0</v>
      </c>
      <c r="AE626" t="n">
        <v>15118.99</v>
      </c>
      <c r="AF626" t="n">
        <v>0</v>
      </c>
      <c r="AG626" t="n">
        <v>0</v>
      </c>
      <c r="AH626" t="n">
        <v>0</v>
      </c>
      <c r="AI626" t="n">
        <v>5.08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5e-05</v>
      </c>
      <c r="AU626" t="inlineStr">
        <is>
          <t>)*7</t>
        </is>
      </c>
      <c r="AV626" t="n">
        <v>0</v>
      </c>
      <c r="AW626" t="n">
        <v>2</v>
      </c>
      <c r="AX626" t="n">
        <v>78872740</v>
      </c>
      <c r="AY626" t="n">
        <v>1</v>
      </c>
      <c r="AZ626" t="n">
        <v>0</v>
      </c>
      <c r="BA626" t="n">
        <v>576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ROUND(Y626*Source!I1261,7)</f>
        <v/>
      </c>
      <c r="CY626">
        <f>AA626</f>
        <v/>
      </c>
      <c r="CZ626">
        <f>AE626</f>
        <v/>
      </c>
      <c r="DA626">
        <f>AI626</f>
        <v/>
      </c>
      <c r="DB626">
        <f>ROUND((ROUND(AT626*CZ626,2)*ROUND(7,7)),2)</f>
        <v/>
      </c>
      <c r="DC626">
        <f>ROUND((ROUND(AT626*AG626,2)*ROUND(7,7)),2)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ROW(Source!A1261)</f>
        <v/>
      </c>
      <c r="B627" t="n">
        <v>78869116</v>
      </c>
      <c r="C627" t="n">
        <v>78872731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W627" t="n">
        <v>0</v>
      </c>
      <c r="X627" t="n">
        <v>24062879</v>
      </c>
      <c r="Y627">
        <f>(AT627*ROUND(7,7))</f>
        <v/>
      </c>
      <c r="AA627" t="n">
        <v>87631.5</v>
      </c>
      <c r="AB627" t="n">
        <v>0</v>
      </c>
      <c r="AC627" t="n">
        <v>0</v>
      </c>
      <c r="AD627" t="n">
        <v>0</v>
      </c>
      <c r="AE627" t="n">
        <v>16950</v>
      </c>
      <c r="AF627" t="n">
        <v>0</v>
      </c>
      <c r="AG627" t="n">
        <v>0</v>
      </c>
      <c r="AH627" t="n">
        <v>0</v>
      </c>
      <c r="AI627" t="n">
        <v>5.17</v>
      </c>
      <c r="AJ627" t="n">
        <v>1</v>
      </c>
      <c r="AK627" t="n">
        <v>1</v>
      </c>
      <c r="AL627" t="n">
        <v>1</v>
      </c>
      <c r="AM627" t="n">
        <v>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2e-05</v>
      </c>
      <c r="AU627" t="inlineStr">
        <is>
          <t>)*7</t>
        </is>
      </c>
      <c r="AV627" t="n">
        <v>0</v>
      </c>
      <c r="AW627" t="n">
        <v>2</v>
      </c>
      <c r="AX627" t="n">
        <v>78872741</v>
      </c>
      <c r="AY627" t="n">
        <v>1</v>
      </c>
      <c r="AZ627" t="n">
        <v>2048</v>
      </c>
      <c r="BA627" t="n">
        <v>577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V627" t="n">
        <v>0</v>
      </c>
      <c r="CW627" t="n">
        <v>0</v>
      </c>
      <c r="CX627">
        <f>ROUND(Y627*Source!I1261,7)</f>
        <v/>
      </c>
      <c r="CY627">
        <f>AA627</f>
        <v/>
      </c>
      <c r="CZ627">
        <f>AE627</f>
        <v/>
      </c>
      <c r="DA627">
        <f>AI627</f>
        <v/>
      </c>
      <c r="DB627">
        <f>ROUND((ROUND(AT627*CZ627,2)*ROUND(7,7)),2)</f>
        <v/>
      </c>
      <c r="DC627">
        <f>ROUND((ROUND(AT627*AG627,2)*ROUND(7,7)),2)</f>
        <v/>
      </c>
      <c r="DD627" t="inlineStr"/>
      <c r="DE627" t="inlineStr"/>
      <c r="DF627">
        <f>ROUND(ROUND(AE627*AI627,0)*CX627,0)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DF627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ROW(Source!A1261)</f>
        <v/>
      </c>
      <c r="B628" t="n">
        <v>78869116</v>
      </c>
      <c r="C628" t="n">
        <v>78872731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W628" t="n">
        <v>0</v>
      </c>
      <c r="X628" t="n">
        <v>-2113933962</v>
      </c>
      <c r="Y628">
        <f>(AT628*ROUND(7,7))</f>
        <v/>
      </c>
      <c r="AA628" t="n">
        <v>590.67</v>
      </c>
      <c r="AB628" t="n">
        <v>0</v>
      </c>
      <c r="AC628" t="n">
        <v>0</v>
      </c>
      <c r="AD628" t="n">
        <v>0</v>
      </c>
      <c r="AE628" t="n">
        <v>37.29</v>
      </c>
      <c r="AF628" t="n">
        <v>0</v>
      </c>
      <c r="AG628" t="n">
        <v>0</v>
      </c>
      <c r="AH628" t="n">
        <v>0</v>
      </c>
      <c r="AI628" t="n">
        <v>15.84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0.02</v>
      </c>
      <c r="AU628" t="inlineStr">
        <is>
          <t>)*7</t>
        </is>
      </c>
      <c r="AV628" t="n">
        <v>0</v>
      </c>
      <c r="AW628" t="n">
        <v>2</v>
      </c>
      <c r="AX628" t="n">
        <v>78872742</v>
      </c>
      <c r="AY628" t="n">
        <v>1</v>
      </c>
      <c r="AZ628" t="n">
        <v>0</v>
      </c>
      <c r="BA628" t="n">
        <v>578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ROUND(Y628*Source!I1261,7)</f>
        <v/>
      </c>
      <c r="CY628">
        <f>AA628</f>
        <v/>
      </c>
      <c r="CZ628">
        <f>AE628</f>
        <v/>
      </c>
      <c r="DA628">
        <f>AI628</f>
        <v/>
      </c>
      <c r="DB628">
        <f>ROUND((ROUND(AT628*CZ628,2)*ROUND(7,7)),2)</f>
        <v/>
      </c>
      <c r="DC628">
        <f>ROUND((ROUND(AT628*AG628,2)*ROUND(7,7)),2)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ROW(Source!A1261)</f>
        <v/>
      </c>
      <c r="B629" t="n">
        <v>78869116</v>
      </c>
      <c r="C629" t="n">
        <v>78872731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W629" t="n">
        <v>0</v>
      </c>
      <c r="X629" t="n">
        <v>619799737</v>
      </c>
      <c r="Y629">
        <f>(AT629*ROUND(7,7))</f>
        <v/>
      </c>
      <c r="AA629" t="n">
        <v>31.28</v>
      </c>
      <c r="AB629" t="n">
        <v>0</v>
      </c>
      <c r="AC629" t="n">
        <v>0</v>
      </c>
      <c r="AD629" t="n">
        <v>0</v>
      </c>
      <c r="AE629" t="n">
        <v>2.44</v>
      </c>
      <c r="AF629" t="n">
        <v>0</v>
      </c>
      <c r="AG629" t="n">
        <v>0</v>
      </c>
      <c r="AH629" t="n">
        <v>0</v>
      </c>
      <c r="AI629" t="n">
        <v>12.82</v>
      </c>
      <c r="AJ629" t="n">
        <v>1</v>
      </c>
      <c r="AK629" t="n">
        <v>1</v>
      </c>
      <c r="AL629" t="n">
        <v>1</v>
      </c>
      <c r="AM629" t="n">
        <v>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1</v>
      </c>
      <c r="AU629" t="inlineStr">
        <is>
          <t>)*7</t>
        </is>
      </c>
      <c r="AV629" t="n">
        <v>0</v>
      </c>
      <c r="AW629" t="n">
        <v>2</v>
      </c>
      <c r="AX629" t="n">
        <v>78872743</v>
      </c>
      <c r="AY629" t="n">
        <v>1</v>
      </c>
      <c r="AZ629" t="n">
        <v>0</v>
      </c>
      <c r="BA629" t="n">
        <v>579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V629" t="n">
        <v>0</v>
      </c>
      <c r="CW629" t="n">
        <v>0</v>
      </c>
      <c r="CX629">
        <f>ROUND(Y629*Source!I1261,7)</f>
        <v/>
      </c>
      <c r="CY629">
        <f>AA629</f>
        <v/>
      </c>
      <c r="CZ629">
        <f>AE629</f>
        <v/>
      </c>
      <c r="DA629">
        <f>AI629</f>
        <v/>
      </c>
      <c r="DB629">
        <f>ROUND((ROUND(AT629*CZ629,2)*ROUND(7,7)),2)</f>
        <v/>
      </c>
      <c r="DC629">
        <f>ROUND((ROUND(AT629*AG629,2)*ROUND(7,7)),2)</f>
        <v/>
      </c>
      <c r="DD629" t="inlineStr"/>
      <c r="DE629" t="inlineStr"/>
      <c r="DF629">
        <f>ROUND(ROUND(AE629*AI629,0)*CX629,0)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DF629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ROW(Source!A1300)</f>
        <v/>
      </c>
      <c r="B630" t="n">
        <v>78869116</v>
      </c>
      <c r="C630" t="n">
        <v>78872869</v>
      </c>
      <c r="D630" t="n">
        <v>18408291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1-1025-90</t>
        </is>
      </c>
      <c r="J630" t="inlineStr"/>
      <c r="K630" t="inlineStr">
        <is>
          <t>Рабочий строитель среднего разряда 2,5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W630" t="n">
        <v>0</v>
      </c>
      <c r="X630" t="n">
        <v>1933892413</v>
      </c>
      <c r="Y630">
        <f>AT630</f>
        <v/>
      </c>
      <c r="AA630" t="n">
        <v>0</v>
      </c>
      <c r="AB630" t="n">
        <v>0</v>
      </c>
      <c r="AC630" t="n">
        <v>0</v>
      </c>
      <c r="AD630" t="n">
        <v>8.17</v>
      </c>
      <c r="AE630" t="n">
        <v>0</v>
      </c>
      <c r="AF630" t="n">
        <v>0</v>
      </c>
      <c r="AG630" t="n">
        <v>0</v>
      </c>
      <c r="AH630" t="n">
        <v>8.17</v>
      </c>
      <c r="AI630" t="n">
        <v>1</v>
      </c>
      <c r="AJ630" t="n">
        <v>1</v>
      </c>
      <c r="AK630" t="n">
        <v>1</v>
      </c>
      <c r="AL630" t="n">
        <v>1</v>
      </c>
      <c r="AM630" t="n">
        <v>-2</v>
      </c>
      <c r="AN630" t="n">
        <v>0</v>
      </c>
      <c r="AO630" t="n">
        <v>1</v>
      </c>
      <c r="AP630" t="n">
        <v>1</v>
      </c>
      <c r="AQ630" t="n">
        <v>0</v>
      </c>
      <c r="AR630" t="n">
        <v>0</v>
      </c>
      <c r="AS630" t="inlineStr"/>
      <c r="AT630" t="n">
        <v>32.2</v>
      </c>
      <c r="AU630" t="inlineStr"/>
      <c r="AV630" t="n">
        <v>1</v>
      </c>
      <c r="AW630" t="n">
        <v>2</v>
      </c>
      <c r="AX630" t="n">
        <v>78872875</v>
      </c>
      <c r="AY630" t="n">
        <v>1</v>
      </c>
      <c r="AZ630" t="n">
        <v>0</v>
      </c>
      <c r="BA630" t="n">
        <v>580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U630">
        <f>ROUND(AT630*Source!I1300*AH630*AL630,0)</f>
        <v/>
      </c>
      <c r="CV630">
        <f>ROUND(Y630*Source!I1300,7)</f>
        <v/>
      </c>
      <c r="CW630" t="n">
        <v>0</v>
      </c>
      <c r="CX630">
        <f>ROUND(Y630*Source!I1300,7)</f>
        <v/>
      </c>
      <c r="CY630">
        <f>AD630</f>
        <v/>
      </c>
      <c r="CZ630">
        <f>AH630</f>
        <v/>
      </c>
      <c r="DA630">
        <f>AL630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DI630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ROW(Source!A1300)</f>
        <v/>
      </c>
      <c r="B631" t="n">
        <v>78869116</v>
      </c>
      <c r="C631" t="n">
        <v>78872869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W631" t="n">
        <v>0</v>
      </c>
      <c r="X631" t="n">
        <v>1230759911</v>
      </c>
      <c r="Y631">
        <f>AT631</f>
        <v/>
      </c>
      <c r="AA631" t="n">
        <v>0</v>
      </c>
      <c r="AB631" t="n">
        <v>2177.51</v>
      </c>
      <c r="AC631" t="n">
        <v>606.1</v>
      </c>
      <c r="AD631" t="n">
        <v>0</v>
      </c>
      <c r="AE631" t="n">
        <v>0</v>
      </c>
      <c r="AF631" t="n">
        <v>87.17</v>
      </c>
      <c r="AG631" t="n">
        <v>11.6</v>
      </c>
      <c r="AH631" t="n">
        <v>0</v>
      </c>
      <c r="AI631" t="n">
        <v>1</v>
      </c>
      <c r="AJ631" t="n">
        <v>24.98</v>
      </c>
      <c r="AK631" t="n">
        <v>52.25</v>
      </c>
      <c r="AL631" t="n">
        <v>1</v>
      </c>
      <c r="AM631" t="n">
        <v>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0.01</v>
      </c>
      <c r="AU631" t="inlineStr"/>
      <c r="AV631" t="n">
        <v>0</v>
      </c>
      <c r="AW631" t="n">
        <v>2</v>
      </c>
      <c r="AX631" t="n">
        <v>78872876</v>
      </c>
      <c r="AY631" t="n">
        <v>1</v>
      </c>
      <c r="AZ631" t="n">
        <v>0</v>
      </c>
      <c r="BA631" t="n">
        <v>581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V631" t="n">
        <v>0</v>
      </c>
      <c r="CW631">
        <f>ROUND(Y631*Source!I1300*DO631,7)</f>
        <v/>
      </c>
      <c r="CX631">
        <f>ROUND(Y631*Source!I1300,7)</f>
        <v/>
      </c>
      <c r="CY631">
        <f>AB631</f>
        <v/>
      </c>
      <c r="CZ631">
        <f>AF631</f>
        <v/>
      </c>
      <c r="DA631">
        <f>AJ631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ROUND(ROUND(AF631*AJ631,0)*CX631,0)</f>
        <v/>
      </c>
      <c r="DH631">
        <f>ROUND(ROUND(AG631*AK631,0)*CX631,0)</f>
        <v/>
      </c>
      <c r="DI631">
        <f>ROUND(ROUND(AH631,0)*CX631,0)</f>
        <v/>
      </c>
      <c r="DJ631">
        <f>DG631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ROW(Source!A1300)</f>
        <v/>
      </c>
      <c r="B632" t="n">
        <v>78869116</v>
      </c>
      <c r="C632" t="n">
        <v>78872869</v>
      </c>
      <c r="D632" t="n">
        <v>29110139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101-1703</t>
        </is>
      </c>
      <c r="J632" t="inlineStr">
        <is>
          <t>ТССЦ Московской обл., 101-1703, приказ Минстроя России №675/пр от 28.02.2017 № 254/пр</t>
        </is>
      </c>
      <c r="K632" t="inlineStr">
        <is>
          <t>Прокладки резиновые (пластина техническая прессованная)</t>
        </is>
      </c>
      <c r="L632" t="n">
        <v>1346</v>
      </c>
      <c r="N632" t="n">
        <v>1009</v>
      </c>
      <c r="O632" t="inlineStr">
        <is>
          <t>кг</t>
        </is>
      </c>
      <c r="P632" t="inlineStr">
        <is>
          <t>кг</t>
        </is>
      </c>
      <c r="Q632" t="n">
        <v>1</v>
      </c>
      <c r="W632" t="n">
        <v>0</v>
      </c>
      <c r="X632" t="n">
        <v>-1947909329</v>
      </c>
      <c r="Y632">
        <f>AT632</f>
        <v/>
      </c>
      <c r="AA632" t="n">
        <v>341.04</v>
      </c>
      <c r="AB632" t="n">
        <v>0</v>
      </c>
      <c r="AC632" t="n">
        <v>0</v>
      </c>
      <c r="AD632" t="n">
        <v>0</v>
      </c>
      <c r="AE632" t="n">
        <v>23.09</v>
      </c>
      <c r="AF632" t="n">
        <v>0</v>
      </c>
      <c r="AG632" t="n">
        <v>0</v>
      </c>
      <c r="AH632" t="n">
        <v>0</v>
      </c>
      <c r="AI632" t="n">
        <v>14.77</v>
      </c>
      <c r="AJ632" t="n">
        <v>1</v>
      </c>
      <c r="AK632" t="n">
        <v>1</v>
      </c>
      <c r="AL632" t="n">
        <v>1</v>
      </c>
      <c r="AM632" t="n">
        <v>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2</v>
      </c>
      <c r="AU632" t="inlineStr"/>
      <c r="AV632" t="n">
        <v>0</v>
      </c>
      <c r="AW632" t="n">
        <v>2</v>
      </c>
      <c r="AX632" t="n">
        <v>78872877</v>
      </c>
      <c r="AY632" t="n">
        <v>1</v>
      </c>
      <c r="AZ632" t="n">
        <v>0</v>
      </c>
      <c r="BA632" t="n">
        <v>582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ROUND(Y632*Source!I1300,7)</f>
        <v/>
      </c>
      <c r="CY632">
        <f>AA632</f>
        <v/>
      </c>
      <c r="CZ632">
        <f>AE632</f>
        <v/>
      </c>
      <c r="DA632">
        <f>AI632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ROUND(ROUND(AE632*AI632,0)*CX632,0)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DF632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ROW(Source!A1300)</f>
        <v/>
      </c>
      <c r="B633" t="n">
        <v>78869116</v>
      </c>
      <c r="C633" t="n">
        <v>78872869</v>
      </c>
      <c r="D633" t="n">
        <v>29114240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101-2576</t>
        </is>
      </c>
      <c r="J633" t="inlineStr">
        <is>
          <t>ТССЦ Московской обл., 101-2576, приказ Минстроя России №675/пр от 28.02.2017 № 254/пр</t>
        </is>
      </c>
      <c r="K633" t="inlineStr">
        <is>
          <t>Болты с гайками и шайбами для санитарно-технических работ диаметром 16 мм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W633" t="n">
        <v>0</v>
      </c>
      <c r="X633" t="n">
        <v>-1701539228</v>
      </c>
      <c r="Y633">
        <f>AT633</f>
        <v/>
      </c>
      <c r="AA633" t="n">
        <v>145037.4</v>
      </c>
      <c r="AB633" t="n">
        <v>0</v>
      </c>
      <c r="AC633" t="n">
        <v>0</v>
      </c>
      <c r="AD633" t="n">
        <v>0</v>
      </c>
      <c r="AE633" t="n">
        <v>14830</v>
      </c>
      <c r="AF633" t="n">
        <v>0</v>
      </c>
      <c r="AG633" t="n">
        <v>0</v>
      </c>
      <c r="AH633" t="n">
        <v>0</v>
      </c>
      <c r="AI633" t="n">
        <v>9.779999999999999</v>
      </c>
      <c r="AJ633" t="n">
        <v>1</v>
      </c>
      <c r="AK633" t="n">
        <v>1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0.005</v>
      </c>
      <c r="AU633" t="inlineStr"/>
      <c r="AV633" t="n">
        <v>0</v>
      </c>
      <c r="AW633" t="n">
        <v>2</v>
      </c>
      <c r="AX633" t="n">
        <v>78872878</v>
      </c>
      <c r="AY633" t="n">
        <v>1</v>
      </c>
      <c r="AZ633" t="n">
        <v>0</v>
      </c>
      <c r="BA633" t="n">
        <v>583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 t="n">
        <v>0</v>
      </c>
      <c r="CX633">
        <f>ROUND(Y633*Source!I1300,7)</f>
        <v/>
      </c>
      <c r="CY633">
        <f>AA633</f>
        <v/>
      </c>
      <c r="CZ633">
        <f>AE633</f>
        <v/>
      </c>
      <c r="DA633">
        <f>AI633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ROUND(ROUND(AE633*AI633,0)*CX633,0)</f>
        <v/>
      </c>
      <c r="DG633">
        <f>ROUND(ROUND(AF633,0)*CX633,0)</f>
        <v/>
      </c>
      <c r="DH633">
        <f>ROUND(ROUND(AG633,0)*CX633,0)</f>
        <v/>
      </c>
      <c r="DI633">
        <f>ROUND(ROUND(AH633,0)*CX633,0)</f>
        <v/>
      </c>
      <c r="DJ633">
        <f>DF633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ROW(Source!A1300)</f>
        <v/>
      </c>
      <c r="B634" t="n">
        <v>78869116</v>
      </c>
      <c r="C634" t="n">
        <v>78872869</v>
      </c>
      <c r="D634" t="n">
        <v>29150040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411-0001</t>
        </is>
      </c>
      <c r="J634" t="inlineStr">
        <is>
          <t>ТССЦ Московской обл., 411-0001, приказ Минстроя России №675/пр от 28.02.2017 № 257/пр</t>
        </is>
      </c>
      <c r="K634" t="inlineStr">
        <is>
          <t>Вода</t>
        </is>
      </c>
      <c r="L634" t="n">
        <v>1339</v>
      </c>
      <c r="N634" t="n">
        <v>1007</v>
      </c>
      <c r="O634" t="inlineStr">
        <is>
          <t>м3</t>
        </is>
      </c>
      <c r="P634" t="inlineStr">
        <is>
          <t>м3</t>
        </is>
      </c>
      <c r="Q634" t="n">
        <v>1</v>
      </c>
      <c r="W634" t="n">
        <v>0</v>
      </c>
      <c r="X634" t="n">
        <v>619799737</v>
      </c>
      <c r="Y634">
        <f>AT634</f>
        <v/>
      </c>
      <c r="AA634" t="n">
        <v>31.28</v>
      </c>
      <c r="AB634" t="n">
        <v>0</v>
      </c>
      <c r="AC634" t="n">
        <v>0</v>
      </c>
      <c r="AD634" t="n">
        <v>0</v>
      </c>
      <c r="AE634" t="n">
        <v>2.44</v>
      </c>
      <c r="AF634" t="n">
        <v>0</v>
      </c>
      <c r="AG634" t="n">
        <v>0</v>
      </c>
      <c r="AH634" t="n">
        <v>0</v>
      </c>
      <c r="AI634" t="n">
        <v>12.82</v>
      </c>
      <c r="AJ634" t="n">
        <v>1</v>
      </c>
      <c r="AK634" t="n">
        <v>1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7.8</v>
      </c>
      <c r="AU634" t="inlineStr"/>
      <c r="AV634" t="n">
        <v>0</v>
      </c>
      <c r="AW634" t="n">
        <v>2</v>
      </c>
      <c r="AX634" t="n">
        <v>78872879</v>
      </c>
      <c r="AY634" t="n">
        <v>1</v>
      </c>
      <c r="AZ634" t="n">
        <v>0</v>
      </c>
      <c r="BA634" t="n">
        <v>584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 t="n">
        <v>0</v>
      </c>
      <c r="CX634">
        <f>ROUND(Y634*Source!I1300,7)</f>
        <v/>
      </c>
      <c r="CY634">
        <f>AA634</f>
        <v/>
      </c>
      <c r="CZ634">
        <f>AE634</f>
        <v/>
      </c>
      <c r="DA634">
        <f>AI634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ROUND(ROUND(AE634*AI634,0)*CX634,0)</f>
        <v/>
      </c>
      <c r="DG634">
        <f>ROUND(ROUND(AF634,0)*CX634,0)</f>
        <v/>
      </c>
      <c r="DH634">
        <f>ROUND(ROUND(AG634,0)*CX634,0)</f>
        <v/>
      </c>
      <c r="DI634">
        <f>ROUND(ROUND(AH634,0)*CX634,0)</f>
        <v/>
      </c>
      <c r="DJ634">
        <f>DF634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ROW(Source!A1301)</f>
        <v/>
      </c>
      <c r="B635" t="n">
        <v>78869116</v>
      </c>
      <c r="C635" t="n">
        <v>78872880</v>
      </c>
      <c r="D635" t="n">
        <v>18407150</v>
      </c>
      <c r="E635" t="n">
        <v>1</v>
      </c>
      <c r="F635" t="n">
        <v>1</v>
      </c>
      <c r="G635" t="n">
        <v>1</v>
      </c>
      <c r="H635" t="n">
        <v>1</v>
      </c>
      <c r="I635" t="inlineStr">
        <is>
          <t>1-1030-90</t>
        </is>
      </c>
      <c r="J635" t="inlineStr"/>
      <c r="K635" t="inlineStr">
        <is>
          <t>Рабочий строитель среднего разряда 3</t>
        </is>
      </c>
      <c r="L635" t="n">
        <v>1369</v>
      </c>
      <c r="N635" t="n">
        <v>1013</v>
      </c>
      <c r="O635" t="inlineStr">
        <is>
          <t>чел.-ч</t>
        </is>
      </c>
      <c r="P635" t="inlineStr">
        <is>
          <t>чел.-ч</t>
        </is>
      </c>
      <c r="Q635" t="n">
        <v>1</v>
      </c>
      <c r="W635" t="n">
        <v>0</v>
      </c>
      <c r="X635" t="n">
        <v>-931037793</v>
      </c>
      <c r="Y635">
        <f>AT635</f>
        <v/>
      </c>
      <c r="AA635" t="n">
        <v>0</v>
      </c>
      <c r="AB635" t="n">
        <v>0</v>
      </c>
      <c r="AC635" t="n">
        <v>0</v>
      </c>
      <c r="AD635" t="n">
        <v>8.529999999999999</v>
      </c>
      <c r="AE635" t="n">
        <v>0</v>
      </c>
      <c r="AF635" t="n">
        <v>0</v>
      </c>
      <c r="AG635" t="n">
        <v>0</v>
      </c>
      <c r="AH635" t="n">
        <v>8.529999999999999</v>
      </c>
      <c r="AI635" t="n">
        <v>1</v>
      </c>
      <c r="AJ635" t="n">
        <v>1</v>
      </c>
      <c r="AK635" t="n">
        <v>1</v>
      </c>
      <c r="AL635" t="n">
        <v>1</v>
      </c>
      <c r="AM635" t="n">
        <v>-2</v>
      </c>
      <c r="AN635" t="n">
        <v>0</v>
      </c>
      <c r="AO635" t="n">
        <v>1</v>
      </c>
      <c r="AP635" t="n">
        <v>0</v>
      </c>
      <c r="AQ635" t="n">
        <v>0</v>
      </c>
      <c r="AR635" t="n">
        <v>0</v>
      </c>
      <c r="AS635" t="inlineStr"/>
      <c r="AT635" t="n">
        <v>13.9</v>
      </c>
      <c r="AU635" t="inlineStr"/>
      <c r="AV635" t="n">
        <v>1</v>
      </c>
      <c r="AW635" t="n">
        <v>2</v>
      </c>
      <c r="AX635" t="n">
        <v>78872884</v>
      </c>
      <c r="AY635" t="n">
        <v>1</v>
      </c>
      <c r="AZ635" t="n">
        <v>0</v>
      </c>
      <c r="BA635" t="n">
        <v>585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U635">
        <f>ROUND(AT635*Source!I1301*AH635*AL635,0)</f>
        <v/>
      </c>
      <c r="CV635">
        <f>ROUND(Y635*Source!I1301,7)</f>
        <v/>
      </c>
      <c r="CW635" t="n">
        <v>0</v>
      </c>
      <c r="CX635">
        <f>ROUND(Y635*Source!I1301,7)</f>
        <v/>
      </c>
      <c r="CY635">
        <f>AD635</f>
        <v/>
      </c>
      <c r="CZ635">
        <f>AH635</f>
        <v/>
      </c>
      <c r="DA635">
        <f>AL635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DI635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ROW(Source!A1301)</f>
        <v/>
      </c>
      <c r="B636" t="n">
        <v>78869116</v>
      </c>
      <c r="C636" t="n">
        <v>78872880</v>
      </c>
      <c r="D636" t="n">
        <v>29169821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509-0696</t>
        </is>
      </c>
      <c r="J636" t="inlineStr">
        <is>
          <t>ТССЦ Московской обл., 509-0696, приказ Минстроя России №675/пр от 28.02.2017 № 258/пр</t>
        </is>
      </c>
      <c r="K636" t="inlineStr">
        <is>
          <t>Лампы люминесцентные ртутные низкого давления типа ЛБ, ЛД, ЛДЦ, ЛТВ, ЛБХ 20</t>
        </is>
      </c>
      <c r="L636" t="n">
        <v>1358</v>
      </c>
      <c r="N636" t="n">
        <v>1010</v>
      </c>
      <c r="O636" t="inlineStr">
        <is>
          <t>10 шт.</t>
        </is>
      </c>
      <c r="P636" t="inlineStr">
        <is>
          <t>10 шт.</t>
        </is>
      </c>
      <c r="Q636" t="n">
        <v>10</v>
      </c>
      <c r="W636" t="n">
        <v>0</v>
      </c>
      <c r="X636" t="n">
        <v>-1187244712</v>
      </c>
      <c r="Y636">
        <f>AT636</f>
        <v/>
      </c>
      <c r="AA636" t="n">
        <v>352.73</v>
      </c>
      <c r="AB636" t="n">
        <v>0</v>
      </c>
      <c r="AC636" t="n">
        <v>0</v>
      </c>
      <c r="AD636" t="n">
        <v>0</v>
      </c>
      <c r="AE636" t="n">
        <v>85.2</v>
      </c>
      <c r="AF636" t="n">
        <v>0</v>
      </c>
      <c r="AG636" t="n">
        <v>0</v>
      </c>
      <c r="AH636" t="n">
        <v>0</v>
      </c>
      <c r="AI636" t="n">
        <v>4.14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0</v>
      </c>
      <c r="AQ636" t="n">
        <v>0</v>
      </c>
      <c r="AR636" t="n">
        <v>0</v>
      </c>
      <c r="AS636" t="inlineStr"/>
      <c r="AT636" t="n">
        <v>10</v>
      </c>
      <c r="AU636" t="inlineStr"/>
      <c r="AV636" t="n">
        <v>0</v>
      </c>
      <c r="AW636" t="n">
        <v>2</v>
      </c>
      <c r="AX636" t="n">
        <v>78872885</v>
      </c>
      <c r="AY636" t="n">
        <v>1</v>
      </c>
      <c r="AZ636" t="n">
        <v>0</v>
      </c>
      <c r="BA636" t="n">
        <v>586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ROUND(Y636*Source!I1301,7)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ROW(Source!A1301)</f>
        <v/>
      </c>
      <c r="B637" t="n">
        <v>78869116</v>
      </c>
      <c r="C637" t="n">
        <v>78872880</v>
      </c>
      <c r="D637" t="n">
        <v>29169828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509-6744</t>
        </is>
      </c>
      <c r="J637" t="inlineStr">
        <is>
          <t>ТССЦ Московской обл., 509-6744, приказ Минстроя России №675/пр от 28.02.2017 № 258/пр</t>
        </is>
      </c>
      <c r="K637" t="inlineStr">
        <is>
          <t>Лампы люминесцентные компактные энергосберегающие с цоколем Е27 мощностью 55 Вт</t>
        </is>
      </c>
      <c r="L637" t="n">
        <v>1354</v>
      </c>
      <c r="N637" t="n">
        <v>1010</v>
      </c>
      <c r="O637" t="inlineStr">
        <is>
          <t>шт.</t>
        </is>
      </c>
      <c r="P637" t="inlineStr">
        <is>
          <t>шт.</t>
        </is>
      </c>
      <c r="Q637" t="n">
        <v>1</v>
      </c>
      <c r="W637" t="n">
        <v>0</v>
      </c>
      <c r="X637" t="n">
        <v>-228955380</v>
      </c>
      <c r="Y637">
        <f>AT637</f>
        <v/>
      </c>
      <c r="AA637" t="n">
        <v>237.77</v>
      </c>
      <c r="AB637" t="n">
        <v>0</v>
      </c>
      <c r="AC637" t="n">
        <v>0</v>
      </c>
      <c r="AD637" t="n">
        <v>0</v>
      </c>
      <c r="AE637" t="n">
        <v>140.69</v>
      </c>
      <c r="AF637" t="n">
        <v>0</v>
      </c>
      <c r="AG637" t="n">
        <v>0</v>
      </c>
      <c r="AH637" t="n">
        <v>0</v>
      </c>
      <c r="AI637" t="n">
        <v>1.69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100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ROUND(Y637*Source!I1301,7)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ROW(Source!A1301)</f>
        <v/>
      </c>
      <c r="B638" t="n">
        <v>78869116</v>
      </c>
      <c r="C638" t="n">
        <v>78872880</v>
      </c>
      <c r="D638" t="n">
        <v>29164353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509-8001</t>
        </is>
      </c>
      <c r="J638" t="inlineStr">
        <is>
          <t>ТССЦ Московской обл., 509-8001, приказ Минстроя России №675/пр от 28.02.2017 № 258/пр</t>
        </is>
      </c>
      <c r="K638" t="inlineStr">
        <is>
          <t>Патроны потолочные</t>
        </is>
      </c>
      <c r="L638" t="n">
        <v>1354</v>
      </c>
      <c r="N638" t="n">
        <v>1010</v>
      </c>
      <c r="O638" t="inlineStr">
        <is>
          <t>шт.</t>
        </is>
      </c>
      <c r="P638" t="inlineStr">
        <is>
          <t>шт.</t>
        </is>
      </c>
      <c r="Q638" t="n">
        <v>1</v>
      </c>
      <c r="W638" t="n">
        <v>0</v>
      </c>
      <c r="X638" t="n">
        <v>46131977</v>
      </c>
      <c r="Y638">
        <f>AT638</f>
        <v/>
      </c>
      <c r="AA638" t="n">
        <v>23.78</v>
      </c>
      <c r="AB638" t="n">
        <v>0</v>
      </c>
      <c r="AC638" t="n">
        <v>0</v>
      </c>
      <c r="AD638" t="n">
        <v>0</v>
      </c>
      <c r="AE638" t="n">
        <v>5.25</v>
      </c>
      <c r="AF638" t="n">
        <v>0</v>
      </c>
      <c r="AG638" t="n">
        <v>0</v>
      </c>
      <c r="AH638" t="n">
        <v>0</v>
      </c>
      <c r="AI638" t="n">
        <v>4.53</v>
      </c>
      <c r="AJ638" t="n">
        <v>1</v>
      </c>
      <c r="AK638" t="n">
        <v>1</v>
      </c>
      <c r="AL638" t="n">
        <v>1</v>
      </c>
      <c r="AM638" t="n">
        <v>0</v>
      </c>
      <c r="AN638" t="n">
        <v>0</v>
      </c>
      <c r="AO638" t="n">
        <v>0</v>
      </c>
      <c r="AP638" t="n">
        <v>1</v>
      </c>
      <c r="AQ638" t="n">
        <v>0</v>
      </c>
      <c r="AR638" t="n">
        <v>0</v>
      </c>
      <c r="AS638" t="inlineStr"/>
      <c r="AT638" t="n">
        <v>100</v>
      </c>
      <c r="AU638" t="inlineStr"/>
      <c r="AV638" t="n">
        <v>0</v>
      </c>
      <c r="AW638" t="n">
        <v>1</v>
      </c>
      <c r="AX638" t="n">
        <v>-1</v>
      </c>
      <c r="AY638" t="n">
        <v>0</v>
      </c>
      <c r="AZ638" t="n">
        <v>0</v>
      </c>
      <c r="BA638" t="inlineStr"/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ROUND(Y638*Source!I1301,7)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ROW(Source!A1304)</f>
        <v/>
      </c>
      <c r="B639" t="n">
        <v>78869116</v>
      </c>
      <c r="C639" t="n">
        <v>78872887</v>
      </c>
      <c r="D639" t="n">
        <v>18442827</v>
      </c>
      <c r="E639" t="n">
        <v>1</v>
      </c>
      <c r="F639" t="n">
        <v>1</v>
      </c>
      <c r="G639" t="n">
        <v>1</v>
      </c>
      <c r="H639" t="n">
        <v>1</v>
      </c>
      <c r="I639" t="inlineStr">
        <is>
          <t>1-1053-90</t>
        </is>
      </c>
      <c r="J639" t="inlineStr"/>
      <c r="K639" t="inlineStr">
        <is>
          <t>Рабочий строитель среднего разряда 5,3</t>
        </is>
      </c>
      <c r="L639" t="n">
        <v>1369</v>
      </c>
      <c r="N639" t="n">
        <v>1013</v>
      </c>
      <c r="O639" t="inlineStr">
        <is>
          <t>чел.-ч</t>
        </is>
      </c>
      <c r="P639" t="inlineStr">
        <is>
          <t>чел.-ч</t>
        </is>
      </c>
      <c r="Q639" t="n">
        <v>1</v>
      </c>
      <c r="W639" t="n">
        <v>0</v>
      </c>
      <c r="X639" t="n">
        <v>717490484</v>
      </c>
      <c r="Y639">
        <f>(AT639*ROUND(10,7))</f>
        <v/>
      </c>
      <c r="AA639" t="n">
        <v>0</v>
      </c>
      <c r="AB639" t="n">
        <v>0</v>
      </c>
      <c r="AC639" t="n">
        <v>0</v>
      </c>
      <c r="AD639" t="n">
        <v>11.64</v>
      </c>
      <c r="AE639" t="n">
        <v>0</v>
      </c>
      <c r="AF639" t="n">
        <v>0</v>
      </c>
      <c r="AG639" t="n">
        <v>0</v>
      </c>
      <c r="AH639" t="n">
        <v>11.64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5.01</v>
      </c>
      <c r="AU639" t="inlineStr">
        <is>
          <t>)*10</t>
        </is>
      </c>
      <c r="AV639" t="n">
        <v>1</v>
      </c>
      <c r="AW639" t="n">
        <v>2</v>
      </c>
      <c r="AX639" t="n">
        <v>78872894</v>
      </c>
      <c r="AY639" t="n">
        <v>1</v>
      </c>
      <c r="AZ639" t="n">
        <v>2048</v>
      </c>
      <c r="BA639" t="n">
        <v>587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U639">
        <f>ROUND(AT639*Source!I1304*AH639*AL639,0)</f>
        <v/>
      </c>
      <c r="CV639">
        <f>ROUND(Y639*Source!I1304,7)</f>
        <v/>
      </c>
      <c r="CW639" t="n">
        <v>0</v>
      </c>
      <c r="CX639">
        <f>ROUND(Y639*Source!I1304,7)</f>
        <v/>
      </c>
      <c r="CY639">
        <f>AD639</f>
        <v/>
      </c>
      <c r="CZ639">
        <f>AH639</f>
        <v/>
      </c>
      <c r="DA639">
        <f>AL639</f>
        <v/>
      </c>
      <c r="DB639">
        <f>ROUND((ROUND(AT639*CZ639,2)*ROUND(10,7)),2)</f>
        <v/>
      </c>
      <c r="DC639">
        <f>ROUND((ROUND(AT639*AG639,2)*ROUND(10,7)),2)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DI639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ROW(Source!A1304)</f>
        <v/>
      </c>
      <c r="B640" t="n">
        <v>78869116</v>
      </c>
      <c r="C640" t="n">
        <v>78872887</v>
      </c>
      <c r="D640" t="n">
        <v>29172703</v>
      </c>
      <c r="E640" t="n">
        <v>1</v>
      </c>
      <c r="F640" t="n">
        <v>1</v>
      </c>
      <c r="G640" t="n">
        <v>1</v>
      </c>
      <c r="H640" t="n">
        <v>2</v>
      </c>
      <c r="I640" t="inlineStr">
        <is>
          <t>042900</t>
        </is>
      </c>
      <c r="J640" t="inlineStr">
        <is>
          <t>ТСЭМ Московской обл., 042900, приказ Минстроя России №675/пр от 28.02.2017 № 264/пр</t>
        </is>
      </c>
      <c r="K6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40" t="n">
        <v>1368</v>
      </c>
      <c r="N640" t="n">
        <v>1011</v>
      </c>
      <c r="O640" t="inlineStr">
        <is>
          <t>маш.-ч</t>
        </is>
      </c>
      <c r="P640" t="inlineStr">
        <is>
          <t>маш.-ч</t>
        </is>
      </c>
      <c r="Q640" t="n">
        <v>1</v>
      </c>
      <c r="W640" t="n">
        <v>0</v>
      </c>
      <c r="X640" t="n">
        <v>1695838894</v>
      </c>
      <c r="Y640">
        <f>(AT640*ROUND(10,7))</f>
        <v/>
      </c>
      <c r="AA640" t="n">
        <v>0</v>
      </c>
      <c r="AB640" t="n">
        <v>177.13</v>
      </c>
      <c r="AC640" t="n">
        <v>0</v>
      </c>
      <c r="AD640" t="n">
        <v>0</v>
      </c>
      <c r="AE640" t="n">
        <v>0</v>
      </c>
      <c r="AF640" t="n">
        <v>29.67</v>
      </c>
      <c r="AG640" t="n">
        <v>0</v>
      </c>
      <c r="AH640" t="n">
        <v>0</v>
      </c>
      <c r="AI640" t="n">
        <v>1</v>
      </c>
      <c r="AJ640" t="n">
        <v>5.97</v>
      </c>
      <c r="AK640" t="n">
        <v>52.25</v>
      </c>
      <c r="AL640" t="n">
        <v>1</v>
      </c>
      <c r="AM640" t="n">
        <v>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</v>
      </c>
      <c r="AU640" t="inlineStr">
        <is>
          <t>)*10</t>
        </is>
      </c>
      <c r="AV640" t="n">
        <v>0</v>
      </c>
      <c r="AW640" t="n">
        <v>2</v>
      </c>
      <c r="AX640" t="n">
        <v>78872895</v>
      </c>
      <c r="AY640" t="n">
        <v>1</v>
      </c>
      <c r="AZ640" t="n">
        <v>0</v>
      </c>
      <c r="BA640" t="n">
        <v>588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V640" t="n">
        <v>0</v>
      </c>
      <c r="CW640">
        <f>ROUND(Y640*Source!I1304*DO640,7)</f>
        <v/>
      </c>
      <c r="CX640">
        <f>ROUND(Y640*Source!I1304,7)</f>
        <v/>
      </c>
      <c r="CY640">
        <f>AB640</f>
        <v/>
      </c>
      <c r="CZ640">
        <f>AF640</f>
        <v/>
      </c>
      <c r="DA640">
        <f>AJ640</f>
        <v/>
      </c>
      <c r="DB640">
        <f>ROUND((ROUND(AT640*CZ640,2)*ROUND(10,7)),2)</f>
        <v/>
      </c>
      <c r="DC640">
        <f>ROUND((ROUND(AT640*AG640,2)*ROUND(10,7)),2)</f>
        <v/>
      </c>
      <c r="DD640" t="inlineStr"/>
      <c r="DE640" t="inlineStr"/>
      <c r="DF640">
        <f>ROUND(ROUND(AE640,0)*CX640,0)</f>
        <v/>
      </c>
      <c r="DG640">
        <f>ROUND(ROUND(AF640*AJ640,0)*CX640,0)</f>
        <v/>
      </c>
      <c r="DH640">
        <f>ROUND(ROUND(AG640*AK640,0)*CX640,0)</f>
        <v/>
      </c>
      <c r="DI640">
        <f>ROUND(ROUND(AH640,0)*CX640,0)</f>
        <v/>
      </c>
      <c r="DJ640">
        <f>DG640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ROW(Source!A1304)</f>
        <v/>
      </c>
      <c r="B641" t="n">
        <v>78869116</v>
      </c>
      <c r="C641" t="n">
        <v>78872887</v>
      </c>
      <c r="D641" t="n">
        <v>29110398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101-0388</t>
        </is>
      </c>
      <c r="J641" t="inlineStr">
        <is>
          <t>ТССЦ Московской обл., 101-0388, приказ Минстроя России №675/пр от 28.02.2017 № 254/пр</t>
        </is>
      </c>
      <c r="K641" t="inlineStr">
        <is>
          <t>Краски масляные земляные марки МА-0115 мумия, сурик железный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W641" t="n">
        <v>0</v>
      </c>
      <c r="X641" t="n">
        <v>1625292450</v>
      </c>
      <c r="Y641">
        <f>(AT641*ROUND(10,7))</f>
        <v/>
      </c>
      <c r="AA641" t="n">
        <v>76804.47</v>
      </c>
      <c r="AB641" t="n">
        <v>0</v>
      </c>
      <c r="AC641" t="n">
        <v>0</v>
      </c>
      <c r="AD641" t="n">
        <v>0</v>
      </c>
      <c r="AE641" t="n">
        <v>15118.99</v>
      </c>
      <c r="AF641" t="n">
        <v>0</v>
      </c>
      <c r="AG641" t="n">
        <v>0</v>
      </c>
      <c r="AH641" t="n">
        <v>0</v>
      </c>
      <c r="AI641" t="n">
        <v>5.08</v>
      </c>
      <c r="AJ641" t="n">
        <v>1</v>
      </c>
      <c r="AK641" t="n">
        <v>1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5e-05</v>
      </c>
      <c r="AU641" t="inlineStr">
        <is>
          <t>)*10</t>
        </is>
      </c>
      <c r="AV641" t="n">
        <v>0</v>
      </c>
      <c r="AW641" t="n">
        <v>2</v>
      </c>
      <c r="AX641" t="n">
        <v>78872896</v>
      </c>
      <c r="AY641" t="n">
        <v>1</v>
      </c>
      <c r="AZ641" t="n">
        <v>0</v>
      </c>
      <c r="BA641" t="n">
        <v>589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 t="n">
        <v>0</v>
      </c>
      <c r="CX641">
        <f>ROUND(Y641*Source!I1304,7)</f>
        <v/>
      </c>
      <c r="CY641">
        <f>AA641</f>
        <v/>
      </c>
      <c r="CZ641">
        <f>AE641</f>
        <v/>
      </c>
      <c r="DA641">
        <f>AI641</f>
        <v/>
      </c>
      <c r="DB641">
        <f>ROUND((ROUND(AT641*CZ641,2)*ROUND(10,7)),2)</f>
        <v/>
      </c>
      <c r="DC641">
        <f>ROUND((ROUND(AT641*AG641,2)*ROUND(10,7)),2)</f>
        <v/>
      </c>
      <c r="DD641" t="inlineStr"/>
      <c r="DE641" t="inlineStr"/>
      <c r="DF641">
        <f>ROUND(ROUND(AE641*AI641,0)*CX641,0)</f>
        <v/>
      </c>
      <c r="DG641">
        <f>ROUND(ROUND(AF641,0)*CX641,0)</f>
        <v/>
      </c>
      <c r="DH641">
        <f>ROUND(ROUND(AG641,0)*CX641,0)</f>
        <v/>
      </c>
      <c r="DI641">
        <f>ROUND(ROUND(AH641,0)*CX641,0)</f>
        <v/>
      </c>
      <c r="DJ641">
        <f>DF641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ROW(Source!A1304)</f>
        <v/>
      </c>
      <c r="B642" t="n">
        <v>78869116</v>
      </c>
      <c r="C642" t="n">
        <v>78872887</v>
      </c>
      <c r="D642" t="n">
        <v>29110573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101-0628</t>
        </is>
      </c>
      <c r="J642" t="inlineStr">
        <is>
          <t>ТССЦ Московской обл., 101-0628, приказ Минстроя России №675/пр от 28.02.2017 № 254/пр</t>
        </is>
      </c>
      <c r="K642" t="inlineStr">
        <is>
          <t>Олифа комбинированная, марки К-3</t>
        </is>
      </c>
      <c r="L642" t="n">
        <v>1348</v>
      </c>
      <c r="N642" t="n">
        <v>1009</v>
      </c>
      <c r="O642" t="inlineStr">
        <is>
          <t>т</t>
        </is>
      </c>
      <c r="P642" t="inlineStr">
        <is>
          <t>т</t>
        </is>
      </c>
      <c r="Q642" t="n">
        <v>1000</v>
      </c>
      <c r="W642" t="n">
        <v>0</v>
      </c>
      <c r="X642" t="n">
        <v>24062879</v>
      </c>
      <c r="Y642">
        <f>(AT642*ROUND(10,7))</f>
        <v/>
      </c>
      <c r="AA642" t="n">
        <v>87631.5</v>
      </c>
      <c r="AB642" t="n">
        <v>0</v>
      </c>
      <c r="AC642" t="n">
        <v>0</v>
      </c>
      <c r="AD642" t="n">
        <v>0</v>
      </c>
      <c r="AE642" t="n">
        <v>16950</v>
      </c>
      <c r="AF642" t="n">
        <v>0</v>
      </c>
      <c r="AG642" t="n">
        <v>0</v>
      </c>
      <c r="AH642" t="n">
        <v>0</v>
      </c>
      <c r="AI642" t="n">
        <v>5.17</v>
      </c>
      <c r="AJ642" t="n">
        <v>1</v>
      </c>
      <c r="AK642" t="n">
        <v>1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2e-05</v>
      </c>
      <c r="AU642" t="inlineStr">
        <is>
          <t>)*10</t>
        </is>
      </c>
      <c r="AV642" t="n">
        <v>0</v>
      </c>
      <c r="AW642" t="n">
        <v>2</v>
      </c>
      <c r="AX642" t="n">
        <v>78872897</v>
      </c>
      <c r="AY642" t="n">
        <v>1</v>
      </c>
      <c r="AZ642" t="n">
        <v>0</v>
      </c>
      <c r="BA642" t="n">
        <v>590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 t="n">
        <v>0</v>
      </c>
      <c r="CX642">
        <f>ROUND(Y642*Source!I1304,7)</f>
        <v/>
      </c>
      <c r="CY642">
        <f>AA642</f>
        <v/>
      </c>
      <c r="CZ642">
        <f>AE642</f>
        <v/>
      </c>
      <c r="DA642">
        <f>AI642</f>
        <v/>
      </c>
      <c r="DB642">
        <f>ROUND((ROUND(AT642*CZ642,2)*ROUND(10,7)),2)</f>
        <v/>
      </c>
      <c r="DC642">
        <f>ROUND((ROUND(AT642*AG642,2)*ROUND(10,7)),2)</f>
        <v/>
      </c>
      <c r="DD642" t="inlineStr"/>
      <c r="DE642" t="inlineStr"/>
      <c r="DF642">
        <f>ROUND(ROUND(AE642*AI642,0)*CX642,0)</f>
        <v/>
      </c>
      <c r="DG642">
        <f>ROUND(ROUND(AF642,0)*CX642,0)</f>
        <v/>
      </c>
      <c r="DH642">
        <f>ROUND(ROUND(AG642,0)*CX642,0)</f>
        <v/>
      </c>
      <c r="DI642">
        <f>ROUND(ROUND(AH642,0)*CX642,0)</f>
        <v/>
      </c>
      <c r="DJ642">
        <f>DF642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ROW(Source!A1304)</f>
        <v/>
      </c>
      <c r="B643" t="n">
        <v>78869116</v>
      </c>
      <c r="C643" t="n">
        <v>78872887</v>
      </c>
      <c r="D643" t="n">
        <v>29107963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101-1669</t>
        </is>
      </c>
      <c r="J643" t="inlineStr">
        <is>
          <t>ТССЦ Московской обл., 101-1669, приказ Минстроя России №675/пр от 28.02.2017 № 254/пр</t>
        </is>
      </c>
      <c r="K643" t="inlineStr">
        <is>
          <t>Очес льняной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-2113933962</v>
      </c>
      <c r="Y643">
        <f>(AT643*ROUND(10,7))</f>
        <v/>
      </c>
      <c r="AA643" t="n">
        <v>590.67</v>
      </c>
      <c r="AB643" t="n">
        <v>0</v>
      </c>
      <c r="AC643" t="n">
        <v>0</v>
      </c>
      <c r="AD643" t="n">
        <v>0</v>
      </c>
      <c r="AE643" t="n">
        <v>37.29</v>
      </c>
      <c r="AF643" t="n">
        <v>0</v>
      </c>
      <c r="AG643" t="n">
        <v>0</v>
      </c>
      <c r="AH643" t="n">
        <v>0</v>
      </c>
      <c r="AI643" t="n">
        <v>15.84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0.02</v>
      </c>
      <c r="AU643" t="inlineStr">
        <is>
          <t>)*10</t>
        </is>
      </c>
      <c r="AV643" t="n">
        <v>0</v>
      </c>
      <c r="AW643" t="n">
        <v>2</v>
      </c>
      <c r="AX643" t="n">
        <v>78872898</v>
      </c>
      <c r="AY643" t="n">
        <v>1</v>
      </c>
      <c r="AZ643" t="n">
        <v>0</v>
      </c>
      <c r="BA643" t="n">
        <v>591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ROUND(Y643*Source!I1304,7)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ROUND((ROUND(AT643*CZ643,2)*ROUND(10,7)),2)</f>
        <v/>
      </c>
      <c r="DC643">
        <f>ROUND((ROUND(AT643*AG643,2)*ROUND(10,7)),2)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ROW(Source!A1304)</f>
        <v/>
      </c>
      <c r="B644" t="n">
        <v>78869116</v>
      </c>
      <c r="C644" t="n">
        <v>78872887</v>
      </c>
      <c r="D644" t="n">
        <v>29150040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411-0001</t>
        </is>
      </c>
      <c r="J644" t="inlineStr">
        <is>
          <t>ТССЦ Московской обл., 411-0001, приказ Минстроя России №675/пр от 28.02.2017 № 257/пр</t>
        </is>
      </c>
      <c r="K644" t="inlineStr">
        <is>
          <t>Вода</t>
        </is>
      </c>
      <c r="L644" t="n">
        <v>1339</v>
      </c>
      <c r="N644" t="n">
        <v>1007</v>
      </c>
      <c r="O644" t="inlineStr">
        <is>
          <t>м3</t>
        </is>
      </c>
      <c r="P644" t="inlineStr">
        <is>
          <t>м3</t>
        </is>
      </c>
      <c r="Q644" t="n">
        <v>1</v>
      </c>
      <c r="W644" t="n">
        <v>0</v>
      </c>
      <c r="X644" t="n">
        <v>619799737</v>
      </c>
      <c r="Y644">
        <f>(AT644*ROUND(10,7))</f>
        <v/>
      </c>
      <c r="AA644" t="n">
        <v>31.28</v>
      </c>
      <c r="AB644" t="n">
        <v>0</v>
      </c>
      <c r="AC644" t="n">
        <v>0</v>
      </c>
      <c r="AD644" t="n">
        <v>0</v>
      </c>
      <c r="AE644" t="n">
        <v>2.44</v>
      </c>
      <c r="AF644" t="n">
        <v>0</v>
      </c>
      <c r="AG644" t="n">
        <v>0</v>
      </c>
      <c r="AH644" t="n">
        <v>0</v>
      </c>
      <c r="AI644" t="n">
        <v>12.82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1</v>
      </c>
      <c r="AU644" t="inlineStr">
        <is>
          <t>)*10</t>
        </is>
      </c>
      <c r="AV644" t="n">
        <v>0</v>
      </c>
      <c r="AW644" t="n">
        <v>2</v>
      </c>
      <c r="AX644" t="n">
        <v>78872899</v>
      </c>
      <c r="AY644" t="n">
        <v>1</v>
      </c>
      <c r="AZ644" t="n">
        <v>0</v>
      </c>
      <c r="BA644" t="n">
        <v>592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ROUND(Y644*Source!I1304,7)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ROUND((ROUND(AT644*CZ644,2)*ROUND(10,7)),2)</f>
        <v/>
      </c>
      <c r="DC644">
        <f>ROUND((ROUND(AT644*AG644,2)*ROUND(10,7)),2)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ROW(Source!A1343)</f>
        <v/>
      </c>
      <c r="B645" t="n">
        <v>78869116</v>
      </c>
      <c r="C645" t="n">
        <v>78872959</v>
      </c>
      <c r="D645" t="n">
        <v>18408291</v>
      </c>
      <c r="E645" t="n">
        <v>1</v>
      </c>
      <c r="F645" t="n">
        <v>1</v>
      </c>
      <c r="G645" t="n">
        <v>1</v>
      </c>
      <c r="H645" t="n">
        <v>1</v>
      </c>
      <c r="I645" t="inlineStr">
        <is>
          <t>1-1025-90</t>
        </is>
      </c>
      <c r="J645" t="inlineStr"/>
      <c r="K645" t="inlineStr">
        <is>
          <t>Рабочий строитель среднего разряда 2,5</t>
        </is>
      </c>
      <c r="L645" t="n">
        <v>1369</v>
      </c>
      <c r="N645" t="n">
        <v>1013</v>
      </c>
      <c r="O645" t="inlineStr">
        <is>
          <t>чел.-ч</t>
        </is>
      </c>
      <c r="P645" t="inlineStr">
        <is>
          <t>чел.-ч</t>
        </is>
      </c>
      <c r="Q645" t="n">
        <v>1</v>
      </c>
      <c r="W645" t="n">
        <v>0</v>
      </c>
      <c r="X645" t="n">
        <v>1933892413</v>
      </c>
      <c r="Y645">
        <f>AT645</f>
        <v/>
      </c>
      <c r="AA645" t="n">
        <v>0</v>
      </c>
      <c r="AB645" t="n">
        <v>0</v>
      </c>
      <c r="AC645" t="n">
        <v>0</v>
      </c>
      <c r="AD645" t="n">
        <v>8.17</v>
      </c>
      <c r="AE645" t="n">
        <v>0</v>
      </c>
      <c r="AF645" t="n">
        <v>0</v>
      </c>
      <c r="AG645" t="n">
        <v>0</v>
      </c>
      <c r="AH645" t="n">
        <v>8.17</v>
      </c>
      <c r="AI645" t="n">
        <v>1</v>
      </c>
      <c r="AJ645" t="n">
        <v>1</v>
      </c>
      <c r="AK645" t="n">
        <v>1</v>
      </c>
      <c r="AL645" t="n">
        <v>1</v>
      </c>
      <c r="AM645" t="n">
        <v>-2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32.2</v>
      </c>
      <c r="AU645" t="inlineStr"/>
      <c r="AV645" t="n">
        <v>1</v>
      </c>
      <c r="AW645" t="n">
        <v>2</v>
      </c>
      <c r="AX645" t="n">
        <v>78872965</v>
      </c>
      <c r="AY645" t="n">
        <v>1</v>
      </c>
      <c r="AZ645" t="n">
        <v>0</v>
      </c>
      <c r="BA645" t="n">
        <v>593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U645">
        <f>ROUND(AT645*Source!I1343*AH645*AL645,0)</f>
        <v/>
      </c>
      <c r="CV645">
        <f>ROUND(Y645*Source!I1343,7)</f>
        <v/>
      </c>
      <c r="CW645" t="n">
        <v>0</v>
      </c>
      <c r="CX645">
        <f>ROUND(Y645*Source!I1343,7)</f>
        <v/>
      </c>
      <c r="CY645">
        <f>AD645</f>
        <v/>
      </c>
      <c r="CZ645">
        <f>AH645</f>
        <v/>
      </c>
      <c r="DA645">
        <f>AL645</f>
        <v/>
      </c>
      <c r="DB645">
        <f>ROUND(ROUND(AT645*CZ645,2),2)</f>
        <v/>
      </c>
      <c r="DC645">
        <f>ROUND(ROUND(AT645*AG645,2),2)</f>
        <v/>
      </c>
      <c r="DD645" t="inlineStr"/>
      <c r="DE645" t="inlineStr"/>
      <c r="DF645">
        <f>ROUND(ROUND(AE645,0)*CX645,0)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DI645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ROW(Source!A1343)</f>
        <v/>
      </c>
      <c r="B646" t="n">
        <v>78869116</v>
      </c>
      <c r="C646" t="n">
        <v>78872959</v>
      </c>
      <c r="D646" t="n">
        <v>29174913</v>
      </c>
      <c r="E646" t="n">
        <v>1</v>
      </c>
      <c r="F646" t="n">
        <v>1</v>
      </c>
      <c r="G646" t="n">
        <v>1</v>
      </c>
      <c r="H646" t="n">
        <v>2</v>
      </c>
      <c r="I646" t="inlineStr">
        <is>
          <t>400001</t>
        </is>
      </c>
      <c r="J646" t="inlineStr">
        <is>
          <t>ТСЭМ Московской обл., 400001, приказ Минстроя России №675/пр от 28.02.2017 № 264/пр</t>
        </is>
      </c>
      <c r="K646" t="inlineStr">
        <is>
          <t>Автомобили бортовые, грузоподъемность до 5 т</t>
        </is>
      </c>
      <c r="L646" t="n">
        <v>1368</v>
      </c>
      <c r="N646" t="n">
        <v>1011</v>
      </c>
      <c r="O646" t="inlineStr">
        <is>
          <t>маш.-ч</t>
        </is>
      </c>
      <c r="P646" t="inlineStr">
        <is>
          <t>маш.-ч</t>
        </is>
      </c>
      <c r="Q646" t="n">
        <v>1</v>
      </c>
      <c r="W646" t="n">
        <v>0</v>
      </c>
      <c r="X646" t="n">
        <v>1230759911</v>
      </c>
      <c r="Y646">
        <f>AT646</f>
        <v/>
      </c>
      <c r="AA646" t="n">
        <v>0</v>
      </c>
      <c r="AB646" t="n">
        <v>2177.51</v>
      </c>
      <c r="AC646" t="n">
        <v>606.1</v>
      </c>
      <c r="AD646" t="n">
        <v>0</v>
      </c>
      <c r="AE646" t="n">
        <v>0</v>
      </c>
      <c r="AF646" t="n">
        <v>87.17</v>
      </c>
      <c r="AG646" t="n">
        <v>11.6</v>
      </c>
      <c r="AH646" t="n">
        <v>0</v>
      </c>
      <c r="AI646" t="n">
        <v>1</v>
      </c>
      <c r="AJ646" t="n">
        <v>24.98</v>
      </c>
      <c r="AK646" t="n">
        <v>52.25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0.01</v>
      </c>
      <c r="AU646" t="inlineStr"/>
      <c r="AV646" t="n">
        <v>0</v>
      </c>
      <c r="AW646" t="n">
        <v>2</v>
      </c>
      <c r="AX646" t="n">
        <v>78872966</v>
      </c>
      <c r="AY646" t="n">
        <v>1</v>
      </c>
      <c r="AZ646" t="n">
        <v>0</v>
      </c>
      <c r="BA646" t="n">
        <v>594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>
        <f>ROUND(Y646*Source!I1343*DO646,7)</f>
        <v/>
      </c>
      <c r="CX646">
        <f>ROUND(Y646*Source!I1343,7)</f>
        <v/>
      </c>
      <c r="CY646">
        <f>AB646</f>
        <v/>
      </c>
      <c r="CZ646">
        <f>AF646</f>
        <v/>
      </c>
      <c r="DA646">
        <f>AJ646</f>
        <v/>
      </c>
      <c r="DB646">
        <f>ROUND(ROUND(AT646*CZ646,2),2)</f>
        <v/>
      </c>
      <c r="DC646">
        <f>ROUND(ROUND(AT646*AG646,2),2)</f>
        <v/>
      </c>
      <c r="DD646" t="inlineStr"/>
      <c r="DE646" t="inlineStr"/>
      <c r="DF646">
        <f>ROUND(ROUND(AE646,0)*CX646,0)</f>
        <v/>
      </c>
      <c r="DG646">
        <f>ROUND(ROUND(AF646*AJ646,0)*CX646,0)</f>
        <v/>
      </c>
      <c r="DH646">
        <f>ROUND(ROUND(AG646*AK646,0)*CX646,0)</f>
        <v/>
      </c>
      <c r="DI646">
        <f>ROUND(ROUND(AH646,0)*CX646,0)</f>
        <v/>
      </c>
      <c r="DJ646">
        <f>DG646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ROW(Source!A1343)</f>
        <v/>
      </c>
      <c r="B647" t="n">
        <v>78869116</v>
      </c>
      <c r="C647" t="n">
        <v>78872959</v>
      </c>
      <c r="D647" t="n">
        <v>29110139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101-1703</t>
        </is>
      </c>
      <c r="J647" t="inlineStr">
        <is>
          <t>ТССЦ Московской обл., 101-1703, приказ Минстроя России №675/пр от 28.02.2017 № 254/пр</t>
        </is>
      </c>
      <c r="K647" t="inlineStr">
        <is>
          <t>Прокладки резиновые (пластина техническая прессованная)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-1947909329</v>
      </c>
      <c r="Y647">
        <f>AT647</f>
        <v/>
      </c>
      <c r="AA647" t="n">
        <v>341.04</v>
      </c>
      <c r="AB647" t="n">
        <v>0</v>
      </c>
      <c r="AC647" t="n">
        <v>0</v>
      </c>
      <c r="AD647" t="n">
        <v>0</v>
      </c>
      <c r="AE647" t="n">
        <v>23.09</v>
      </c>
      <c r="AF647" t="n">
        <v>0</v>
      </c>
      <c r="AG647" t="n">
        <v>0</v>
      </c>
      <c r="AH647" t="n">
        <v>0</v>
      </c>
      <c r="AI647" t="n">
        <v>14.77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2</v>
      </c>
      <c r="AU647" t="inlineStr"/>
      <c r="AV647" t="n">
        <v>0</v>
      </c>
      <c r="AW647" t="n">
        <v>2</v>
      </c>
      <c r="AX647" t="n">
        <v>78872967</v>
      </c>
      <c r="AY647" t="n">
        <v>1</v>
      </c>
      <c r="AZ647" t="n">
        <v>0</v>
      </c>
      <c r="BA647" t="n">
        <v>595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ROUND(Y647*Source!I1343,7)</f>
        <v/>
      </c>
      <c r="CY647">
        <f>AA647</f>
        <v/>
      </c>
      <c r="CZ647">
        <f>AE647</f>
        <v/>
      </c>
      <c r="DA647">
        <f>AI647</f>
        <v/>
      </c>
      <c r="DB647">
        <f>ROUND(ROUND(AT647*CZ647,2),2)</f>
        <v/>
      </c>
      <c r="DC647">
        <f>ROUND(ROUND(AT647*AG647,2),2)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ROW(Source!A1343)</f>
        <v/>
      </c>
      <c r="B648" t="n">
        <v>78869116</v>
      </c>
      <c r="C648" t="n">
        <v>78872959</v>
      </c>
      <c r="D648" t="n">
        <v>29114240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101-2576</t>
        </is>
      </c>
      <c r="J648" t="inlineStr">
        <is>
          <t>ТССЦ Московской обл., 101-2576, приказ Минстроя России №675/пр от 28.02.2017 № 254/пр</t>
        </is>
      </c>
      <c r="K648" t="inlineStr">
        <is>
          <t>Болты с гайками и шайбами для санитарно-технических работ диаметром 16 мм</t>
        </is>
      </c>
      <c r="L648" t="n">
        <v>1348</v>
      </c>
      <c r="N648" t="n">
        <v>1009</v>
      </c>
      <c r="O648" t="inlineStr">
        <is>
          <t>т</t>
        </is>
      </c>
      <c r="P648" t="inlineStr">
        <is>
          <t>т</t>
        </is>
      </c>
      <c r="Q648" t="n">
        <v>1000</v>
      </c>
      <c r="W648" t="n">
        <v>0</v>
      </c>
      <c r="X648" t="n">
        <v>-1701539228</v>
      </c>
      <c r="Y648">
        <f>AT648</f>
        <v/>
      </c>
      <c r="AA648" t="n">
        <v>145037.4</v>
      </c>
      <c r="AB648" t="n">
        <v>0</v>
      </c>
      <c r="AC648" t="n">
        <v>0</v>
      </c>
      <c r="AD648" t="n">
        <v>0</v>
      </c>
      <c r="AE648" t="n">
        <v>14830</v>
      </c>
      <c r="AF648" t="n">
        <v>0</v>
      </c>
      <c r="AG648" t="n">
        <v>0</v>
      </c>
      <c r="AH648" t="n">
        <v>0</v>
      </c>
      <c r="AI648" t="n">
        <v>9.779999999999999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0.005</v>
      </c>
      <c r="AU648" t="inlineStr"/>
      <c r="AV648" t="n">
        <v>0</v>
      </c>
      <c r="AW648" t="n">
        <v>2</v>
      </c>
      <c r="AX648" t="n">
        <v>78872968</v>
      </c>
      <c r="AY648" t="n">
        <v>1</v>
      </c>
      <c r="AZ648" t="n">
        <v>0</v>
      </c>
      <c r="BA648" t="n">
        <v>596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ROUND(Y648*Source!I1343,7)</f>
        <v/>
      </c>
      <c r="CY648">
        <f>AA648</f>
        <v/>
      </c>
      <c r="CZ648">
        <f>AE648</f>
        <v/>
      </c>
      <c r="DA648">
        <f>AI648</f>
        <v/>
      </c>
      <c r="DB648">
        <f>ROUND(ROUND(AT648*CZ648,2),2)</f>
        <v/>
      </c>
      <c r="DC648">
        <f>ROUND(ROUND(AT648*AG648,2),2)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ROW(Source!A1343)</f>
        <v/>
      </c>
      <c r="B649" t="n">
        <v>78869116</v>
      </c>
      <c r="C649" t="n">
        <v>78872959</v>
      </c>
      <c r="D649" t="n">
        <v>29150040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411-0001</t>
        </is>
      </c>
      <c r="J649" t="inlineStr">
        <is>
          <t>ТССЦ Московской обл., 411-0001, приказ Минстроя России №675/пр от 28.02.2017 № 257/пр</t>
        </is>
      </c>
      <c r="K649" t="inlineStr">
        <is>
          <t>Вода</t>
        </is>
      </c>
      <c r="L649" t="n">
        <v>1339</v>
      </c>
      <c r="N649" t="n">
        <v>1007</v>
      </c>
      <c r="O649" t="inlineStr">
        <is>
          <t>м3</t>
        </is>
      </c>
      <c r="P649" t="inlineStr">
        <is>
          <t>м3</t>
        </is>
      </c>
      <c r="Q649" t="n">
        <v>1</v>
      </c>
      <c r="W649" t="n">
        <v>0</v>
      </c>
      <c r="X649" t="n">
        <v>619799737</v>
      </c>
      <c r="Y649">
        <f>AT649</f>
        <v/>
      </c>
      <c r="AA649" t="n">
        <v>31.28</v>
      </c>
      <c r="AB649" t="n">
        <v>0</v>
      </c>
      <c r="AC649" t="n">
        <v>0</v>
      </c>
      <c r="AD649" t="n">
        <v>0</v>
      </c>
      <c r="AE649" t="n">
        <v>2.44</v>
      </c>
      <c r="AF649" t="n">
        <v>0</v>
      </c>
      <c r="AG649" t="n">
        <v>0</v>
      </c>
      <c r="AH649" t="n">
        <v>0</v>
      </c>
      <c r="AI649" t="n">
        <v>12.82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7.8</v>
      </c>
      <c r="AU649" t="inlineStr"/>
      <c r="AV649" t="n">
        <v>0</v>
      </c>
      <c r="AW649" t="n">
        <v>2</v>
      </c>
      <c r="AX649" t="n">
        <v>78872969</v>
      </c>
      <c r="AY649" t="n">
        <v>1</v>
      </c>
      <c r="AZ649" t="n">
        <v>0</v>
      </c>
      <c r="BA649" t="n">
        <v>597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ROUND(Y649*Source!I1343,7)</f>
        <v/>
      </c>
      <c r="CY649">
        <f>AA649</f>
        <v/>
      </c>
      <c r="CZ649">
        <f>AE649</f>
        <v/>
      </c>
      <c r="DA649">
        <f>AI649</f>
        <v/>
      </c>
      <c r="DB649">
        <f>ROUND(ROUND(AT649*CZ649,2),2)</f>
        <v/>
      </c>
      <c r="DC649">
        <f>ROUND(ROUND(AT649*AG649,2),2)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ROW(Source!A1344)</f>
        <v/>
      </c>
      <c r="B650" t="n">
        <v>78869116</v>
      </c>
      <c r="C650" t="n">
        <v>78872970</v>
      </c>
      <c r="D650" t="n">
        <v>18407150</v>
      </c>
      <c r="E650" t="n">
        <v>1</v>
      </c>
      <c r="F650" t="n">
        <v>1</v>
      </c>
      <c r="G650" t="n">
        <v>1</v>
      </c>
      <c r="H650" t="n">
        <v>1</v>
      </c>
      <c r="I650" t="inlineStr">
        <is>
          <t>1-1030-90</t>
        </is>
      </c>
      <c r="J650" t="inlineStr"/>
      <c r="K650" t="inlineStr">
        <is>
          <t>Рабочий строитель среднего разряда 3</t>
        </is>
      </c>
      <c r="L650" t="n">
        <v>1369</v>
      </c>
      <c r="N650" t="n">
        <v>1013</v>
      </c>
      <c r="O650" t="inlineStr">
        <is>
          <t>чел.-ч</t>
        </is>
      </c>
      <c r="P650" t="inlineStr">
        <is>
          <t>чел.-ч</t>
        </is>
      </c>
      <c r="Q650" t="n">
        <v>1</v>
      </c>
      <c r="W650" t="n">
        <v>0</v>
      </c>
      <c r="X650" t="n">
        <v>-931037793</v>
      </c>
      <c r="Y650">
        <f>AT650</f>
        <v/>
      </c>
      <c r="AA650" t="n">
        <v>0</v>
      </c>
      <c r="AB650" t="n">
        <v>0</v>
      </c>
      <c r="AC650" t="n">
        <v>0</v>
      </c>
      <c r="AD650" t="n">
        <v>8.529999999999999</v>
      </c>
      <c r="AE650" t="n">
        <v>0</v>
      </c>
      <c r="AF650" t="n">
        <v>0</v>
      </c>
      <c r="AG650" t="n">
        <v>0</v>
      </c>
      <c r="AH650" t="n">
        <v>8.529999999999999</v>
      </c>
      <c r="AI650" t="n">
        <v>1</v>
      </c>
      <c r="AJ650" t="n">
        <v>1</v>
      </c>
      <c r="AK650" t="n">
        <v>1</v>
      </c>
      <c r="AL650" t="n">
        <v>1</v>
      </c>
      <c r="AM650" t="n">
        <v>-2</v>
      </c>
      <c r="AN650" t="n">
        <v>0</v>
      </c>
      <c r="AO650" t="n">
        <v>1</v>
      </c>
      <c r="AP650" t="n">
        <v>0</v>
      </c>
      <c r="AQ650" t="n">
        <v>0</v>
      </c>
      <c r="AR650" t="n">
        <v>0</v>
      </c>
      <c r="AS650" t="inlineStr"/>
      <c r="AT650" t="n">
        <v>13.9</v>
      </c>
      <c r="AU650" t="inlineStr"/>
      <c r="AV650" t="n">
        <v>1</v>
      </c>
      <c r="AW650" t="n">
        <v>2</v>
      </c>
      <c r="AX650" t="n">
        <v>78872975</v>
      </c>
      <c r="AY650" t="n">
        <v>1</v>
      </c>
      <c r="AZ650" t="n">
        <v>0</v>
      </c>
      <c r="BA650" t="n">
        <v>598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U650">
        <f>ROUND(AT650*Source!I1344*AH650*AL650,0)</f>
        <v/>
      </c>
      <c r="CV650">
        <f>ROUND(Y650*Source!I1344,7)</f>
        <v/>
      </c>
      <c r="CW650" t="n">
        <v>0</v>
      </c>
      <c r="CX650">
        <f>ROUND(Y650*Source!I1344,7)</f>
        <v/>
      </c>
      <c r="CY650">
        <f>AD650</f>
        <v/>
      </c>
      <c r="CZ650">
        <f>AH650</f>
        <v/>
      </c>
      <c r="DA650">
        <f>AL650</f>
        <v/>
      </c>
      <c r="DB650">
        <f>ROUND(ROUND(AT650*CZ650,2),2)</f>
        <v/>
      </c>
      <c r="DC650">
        <f>ROUND(ROUND(AT650*AG650,2),2)</f>
        <v/>
      </c>
      <c r="DD650" t="inlineStr"/>
      <c r="DE650" t="inlineStr"/>
      <c r="DF650">
        <f>ROUND(ROUND(AE650,0)*CX650,0)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DI650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ROW(Source!A1344)</f>
        <v/>
      </c>
      <c r="B651" t="n">
        <v>78869116</v>
      </c>
      <c r="C651" t="n">
        <v>78872970</v>
      </c>
      <c r="D651" t="n">
        <v>29169821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509-0696</t>
        </is>
      </c>
      <c r="J651" t="inlineStr">
        <is>
          <t>ТССЦ Московской обл., 509-0696, приказ Минстроя России №675/пр от 28.02.2017 № 258/пр</t>
        </is>
      </c>
      <c r="K651" t="inlineStr">
        <is>
          <t>Лампы люминесцентные ртутные низкого давления типа ЛБ, ЛД, ЛДЦ, ЛТВ, ЛБХ 20</t>
        </is>
      </c>
      <c r="L651" t="n">
        <v>1358</v>
      </c>
      <c r="N651" t="n">
        <v>1010</v>
      </c>
      <c r="O651" t="inlineStr">
        <is>
          <t>10 шт.</t>
        </is>
      </c>
      <c r="P651" t="inlineStr">
        <is>
          <t>10 шт.</t>
        </is>
      </c>
      <c r="Q651" t="n">
        <v>10</v>
      </c>
      <c r="W651" t="n">
        <v>0</v>
      </c>
      <c r="X651" t="n">
        <v>-1187244712</v>
      </c>
      <c r="Y651">
        <f>AT651</f>
        <v/>
      </c>
      <c r="AA651" t="n">
        <v>352.73</v>
      </c>
      <c r="AB651" t="n">
        <v>0</v>
      </c>
      <c r="AC651" t="n">
        <v>0</v>
      </c>
      <c r="AD651" t="n">
        <v>0</v>
      </c>
      <c r="AE651" t="n">
        <v>85.2</v>
      </c>
      <c r="AF651" t="n">
        <v>0</v>
      </c>
      <c r="AG651" t="n">
        <v>0</v>
      </c>
      <c r="AH651" t="n">
        <v>0</v>
      </c>
      <c r="AI651" t="n">
        <v>4.14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0</v>
      </c>
      <c r="AQ651" t="n">
        <v>0</v>
      </c>
      <c r="AR651" t="n">
        <v>0</v>
      </c>
      <c r="AS651" t="inlineStr"/>
      <c r="AT651" t="n">
        <v>10</v>
      </c>
      <c r="AU651" t="inlineStr"/>
      <c r="AV651" t="n">
        <v>0</v>
      </c>
      <c r="AW651" t="n">
        <v>2</v>
      </c>
      <c r="AX651" t="n">
        <v>78872976</v>
      </c>
      <c r="AY651" t="n">
        <v>1</v>
      </c>
      <c r="AZ651" t="n">
        <v>0</v>
      </c>
      <c r="BA651" t="n">
        <v>599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ROUND(Y651*Source!I1344,7)</f>
        <v/>
      </c>
      <c r="CY651">
        <f>AA651</f>
        <v/>
      </c>
      <c r="CZ651">
        <f>AE651</f>
        <v/>
      </c>
      <c r="DA651">
        <f>AI651</f>
        <v/>
      </c>
      <c r="DB651">
        <f>ROUND(ROUND(AT651*CZ651,2),2)</f>
        <v/>
      </c>
      <c r="DC651">
        <f>ROUND(ROUND(AT651*AG651,2),2)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ROW(Source!A1344)</f>
        <v/>
      </c>
      <c r="B652" t="n">
        <v>78869116</v>
      </c>
      <c r="C652" t="n">
        <v>78872970</v>
      </c>
      <c r="D652" t="n">
        <v>29169828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509-6744</t>
        </is>
      </c>
      <c r="J652" t="inlineStr">
        <is>
          <t>ТССЦ Московской обл., 509-6744, приказ Минстроя России №675/пр от 28.02.2017 № 258/пр</t>
        </is>
      </c>
      <c r="K652" t="inlineStr">
        <is>
          <t>Лампы люминесцентные компактные энергосберегающие с цоколем Е27 мощностью 55 Вт</t>
        </is>
      </c>
      <c r="L652" t="n">
        <v>1354</v>
      </c>
      <c r="N652" t="n">
        <v>1010</v>
      </c>
      <c r="O652" t="inlineStr">
        <is>
          <t>шт.</t>
        </is>
      </c>
      <c r="P652" t="inlineStr">
        <is>
          <t>шт.</t>
        </is>
      </c>
      <c r="Q652" t="n">
        <v>1</v>
      </c>
      <c r="W652" t="n">
        <v>0</v>
      </c>
      <c r="X652" t="n">
        <v>-228955380</v>
      </c>
      <c r="Y652">
        <f>AT652</f>
        <v/>
      </c>
      <c r="AA652" t="n">
        <v>237.77</v>
      </c>
      <c r="AB652" t="n">
        <v>0</v>
      </c>
      <c r="AC652" t="n">
        <v>0</v>
      </c>
      <c r="AD652" t="n">
        <v>0</v>
      </c>
      <c r="AE652" t="n">
        <v>140.69</v>
      </c>
      <c r="AF652" t="n">
        <v>0</v>
      </c>
      <c r="AG652" t="n">
        <v>0</v>
      </c>
      <c r="AH652" t="n">
        <v>0</v>
      </c>
      <c r="AI652" t="n">
        <v>1.69</v>
      </c>
      <c r="AJ652" t="n">
        <v>1</v>
      </c>
      <c r="AK652" t="n">
        <v>1</v>
      </c>
      <c r="AL652" t="n">
        <v>1</v>
      </c>
      <c r="AM652" t="n">
        <v>0</v>
      </c>
      <c r="AN652" t="n">
        <v>0</v>
      </c>
      <c r="AO652" t="n">
        <v>0</v>
      </c>
      <c r="AP652" t="n">
        <v>1</v>
      </c>
      <c r="AQ652" t="n">
        <v>0</v>
      </c>
      <c r="AR652" t="n">
        <v>0</v>
      </c>
      <c r="AS652" t="inlineStr"/>
      <c r="AT652" t="n">
        <v>100</v>
      </c>
      <c r="AU652" t="inlineStr"/>
      <c r="AV652" t="n">
        <v>0</v>
      </c>
      <c r="AW652" t="n">
        <v>1</v>
      </c>
      <c r="AX652" t="n">
        <v>-1</v>
      </c>
      <c r="AY652" t="n">
        <v>0</v>
      </c>
      <c r="AZ652" t="n">
        <v>0</v>
      </c>
      <c r="BA652" t="inlineStr"/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ROUND(Y652*Source!I1344,7)</f>
        <v/>
      </c>
      <c r="CY652">
        <f>AA652</f>
        <v/>
      </c>
      <c r="CZ652">
        <f>AE652</f>
        <v/>
      </c>
      <c r="DA652">
        <f>AI652</f>
        <v/>
      </c>
      <c r="DB652">
        <f>ROUND(ROUND(AT652*CZ652,2),2)</f>
        <v/>
      </c>
      <c r="DC652">
        <f>ROUND(ROUND(AT652*AG652,2),2)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ROW(Source!A1346)</f>
        <v/>
      </c>
      <c r="B653" t="n">
        <v>78869116</v>
      </c>
      <c r="C653" t="n">
        <v>78872979</v>
      </c>
      <c r="D653" t="n">
        <v>18442827</v>
      </c>
      <c r="E653" t="n">
        <v>1</v>
      </c>
      <c r="F653" t="n">
        <v>1</v>
      </c>
      <c r="G653" t="n">
        <v>1</v>
      </c>
      <c r="H653" t="n">
        <v>1</v>
      </c>
      <c r="I653" t="inlineStr">
        <is>
          <t>1-1053-90</t>
        </is>
      </c>
      <c r="J653" t="inlineStr"/>
      <c r="K653" t="inlineStr">
        <is>
          <t>Рабочий строитель среднего разряда 5,3</t>
        </is>
      </c>
      <c r="L653" t="n">
        <v>1369</v>
      </c>
      <c r="N653" t="n">
        <v>1013</v>
      </c>
      <c r="O653" t="inlineStr">
        <is>
          <t>чел.-ч</t>
        </is>
      </c>
      <c r="P653" t="inlineStr">
        <is>
          <t>чел.-ч</t>
        </is>
      </c>
      <c r="Q653" t="n">
        <v>1</v>
      </c>
      <c r="W653" t="n">
        <v>0</v>
      </c>
      <c r="X653" t="n">
        <v>717490484</v>
      </c>
      <c r="Y653">
        <f>(AT653*ROUND(10,7))</f>
        <v/>
      </c>
      <c r="AA653" t="n">
        <v>0</v>
      </c>
      <c r="AB653" t="n">
        <v>0</v>
      </c>
      <c r="AC653" t="n">
        <v>0</v>
      </c>
      <c r="AD653" t="n">
        <v>11.64</v>
      </c>
      <c r="AE653" t="n">
        <v>0</v>
      </c>
      <c r="AF653" t="n">
        <v>0</v>
      </c>
      <c r="AG653" t="n">
        <v>0</v>
      </c>
      <c r="AH653" t="n">
        <v>11.64</v>
      </c>
      <c r="AI653" t="n">
        <v>1</v>
      </c>
      <c r="AJ653" t="n">
        <v>1</v>
      </c>
      <c r="AK653" t="n">
        <v>1</v>
      </c>
      <c r="AL653" t="n">
        <v>1</v>
      </c>
      <c r="AM653" t="n">
        <v>-2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5.01</v>
      </c>
      <c r="AU653" t="inlineStr">
        <is>
          <t>)*10</t>
        </is>
      </c>
      <c r="AV653" t="n">
        <v>1</v>
      </c>
      <c r="AW653" t="n">
        <v>2</v>
      </c>
      <c r="AX653" t="n">
        <v>78872986</v>
      </c>
      <c r="AY653" t="n">
        <v>1</v>
      </c>
      <c r="AZ653" t="n">
        <v>2048</v>
      </c>
      <c r="BA653" t="n">
        <v>600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U653">
        <f>ROUND(AT653*Source!I1346*AH653*AL653,0)</f>
        <v/>
      </c>
      <c r="CV653">
        <f>ROUND(Y653*Source!I1346,7)</f>
        <v/>
      </c>
      <c r="CW653" t="n">
        <v>0</v>
      </c>
      <c r="CX653">
        <f>ROUND(Y653*Source!I1346,7)</f>
        <v/>
      </c>
      <c r="CY653">
        <f>AD653</f>
        <v/>
      </c>
      <c r="CZ653">
        <f>AH653</f>
        <v/>
      </c>
      <c r="DA653">
        <f>AL653</f>
        <v/>
      </c>
      <c r="DB653">
        <f>ROUND((ROUND(AT653*CZ653,2)*ROUND(10,7)),2)</f>
        <v/>
      </c>
      <c r="DC653">
        <f>ROUND((ROUND(AT653*AG653,2)*ROUND(10,7)),2)</f>
        <v/>
      </c>
      <c r="DD653" t="inlineStr"/>
      <c r="DE653" t="inlineStr"/>
      <c r="DF653">
        <f>ROUND(ROUND(AE653,0)*CX653,0)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DI653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ROW(Source!A1346)</f>
        <v/>
      </c>
      <c r="B654" t="n">
        <v>78869116</v>
      </c>
      <c r="C654" t="n">
        <v>78872979</v>
      </c>
      <c r="D654" t="n">
        <v>29172703</v>
      </c>
      <c r="E654" t="n">
        <v>1</v>
      </c>
      <c r="F654" t="n">
        <v>1</v>
      </c>
      <c r="G654" t="n">
        <v>1</v>
      </c>
      <c r="H654" t="n">
        <v>2</v>
      </c>
      <c r="I654" t="inlineStr">
        <is>
          <t>042900</t>
        </is>
      </c>
      <c r="J654" t="inlineStr">
        <is>
          <t>ТСЭМ Московской обл., 042900, приказ Минстроя России №675/пр от 28.02.2017 № 264/пр</t>
        </is>
      </c>
      <c r="K6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4" t="n">
        <v>1368</v>
      </c>
      <c r="N654" t="n">
        <v>1011</v>
      </c>
      <c r="O654" t="inlineStr">
        <is>
          <t>маш.-ч</t>
        </is>
      </c>
      <c r="P654" t="inlineStr">
        <is>
          <t>маш.-ч</t>
        </is>
      </c>
      <c r="Q654" t="n">
        <v>1</v>
      </c>
      <c r="W654" t="n">
        <v>0</v>
      </c>
      <c r="X654" t="n">
        <v>1695838894</v>
      </c>
      <c r="Y654">
        <f>(AT654*ROUND(10,7))</f>
        <v/>
      </c>
      <c r="AA654" t="n">
        <v>0</v>
      </c>
      <c r="AB654" t="n">
        <v>177.13</v>
      </c>
      <c r="AC654" t="n">
        <v>0</v>
      </c>
      <c r="AD654" t="n">
        <v>0</v>
      </c>
      <c r="AE654" t="n">
        <v>0</v>
      </c>
      <c r="AF654" t="n">
        <v>29.67</v>
      </c>
      <c r="AG654" t="n">
        <v>0</v>
      </c>
      <c r="AH654" t="n">
        <v>0</v>
      </c>
      <c r="AI654" t="n">
        <v>1</v>
      </c>
      <c r="AJ654" t="n">
        <v>5.97</v>
      </c>
      <c r="AK654" t="n">
        <v>52.25</v>
      </c>
      <c r="AL654" t="n">
        <v>1</v>
      </c>
      <c r="AM654" t="n">
        <v>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1.5</v>
      </c>
      <c r="AU654" t="inlineStr">
        <is>
          <t>)*10</t>
        </is>
      </c>
      <c r="AV654" t="n">
        <v>0</v>
      </c>
      <c r="AW654" t="n">
        <v>2</v>
      </c>
      <c r="AX654" t="n">
        <v>78872987</v>
      </c>
      <c r="AY654" t="n">
        <v>1</v>
      </c>
      <c r="AZ654" t="n">
        <v>0</v>
      </c>
      <c r="BA654" t="n">
        <v>601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>
        <f>ROUND(Y654*Source!I1346*DO654,7)</f>
        <v/>
      </c>
      <c r="CX654">
        <f>ROUND(Y654*Source!I1346,7)</f>
        <v/>
      </c>
      <c r="CY654">
        <f>AB654</f>
        <v/>
      </c>
      <c r="CZ654">
        <f>AF654</f>
        <v/>
      </c>
      <c r="DA654">
        <f>AJ654</f>
        <v/>
      </c>
      <c r="DB654">
        <f>ROUND((ROUND(AT654*CZ654,2)*ROUND(10,7)),2)</f>
        <v/>
      </c>
      <c r="DC654">
        <f>ROUND((ROUND(AT654*AG654,2)*ROUND(10,7)),2)</f>
        <v/>
      </c>
      <c r="DD654" t="inlineStr"/>
      <c r="DE654" t="inlineStr"/>
      <c r="DF654">
        <f>ROUND(ROUND(AE654,0)*CX654,0)</f>
        <v/>
      </c>
      <c r="DG654">
        <f>ROUND(ROUND(AF654*AJ654,0)*CX654,0)</f>
        <v/>
      </c>
      <c r="DH654">
        <f>ROUND(ROUND(AG654*AK654,0)*CX654,0)</f>
        <v/>
      </c>
      <c r="DI654">
        <f>ROUND(ROUND(AH654,0)*CX654,0)</f>
        <v/>
      </c>
      <c r="DJ654">
        <f>DG654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ROW(Source!A1346)</f>
        <v/>
      </c>
      <c r="B655" t="n">
        <v>78869116</v>
      </c>
      <c r="C655" t="n">
        <v>78872979</v>
      </c>
      <c r="D655" t="n">
        <v>29110398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101-0388</t>
        </is>
      </c>
      <c r="J655" t="inlineStr">
        <is>
          <t>ТССЦ Московской обл., 101-0388, приказ Минстроя России №675/пр от 28.02.2017 № 254/пр</t>
        </is>
      </c>
      <c r="K655" t="inlineStr">
        <is>
          <t>Краски масляные земляные марки МА-0115 мумия, сурик железный</t>
        </is>
      </c>
      <c r="L655" t="n">
        <v>1348</v>
      </c>
      <c r="N655" t="n">
        <v>1009</v>
      </c>
      <c r="O655" t="inlineStr">
        <is>
          <t>т</t>
        </is>
      </c>
      <c r="P655" t="inlineStr">
        <is>
          <t>т</t>
        </is>
      </c>
      <c r="Q655" t="n">
        <v>1000</v>
      </c>
      <c r="W655" t="n">
        <v>0</v>
      </c>
      <c r="X655" t="n">
        <v>1625292450</v>
      </c>
      <c r="Y655">
        <f>(AT655*ROUND(10,7))</f>
        <v/>
      </c>
      <c r="AA655" t="n">
        <v>76804.47</v>
      </c>
      <c r="AB655" t="n">
        <v>0</v>
      </c>
      <c r="AC655" t="n">
        <v>0</v>
      </c>
      <c r="AD655" t="n">
        <v>0</v>
      </c>
      <c r="AE655" t="n">
        <v>15118.99</v>
      </c>
      <c r="AF655" t="n">
        <v>0</v>
      </c>
      <c r="AG655" t="n">
        <v>0</v>
      </c>
      <c r="AH655" t="n">
        <v>0</v>
      </c>
      <c r="AI655" t="n">
        <v>5.08</v>
      </c>
      <c r="AJ655" t="n">
        <v>1</v>
      </c>
      <c r="AK655" t="n">
        <v>1</v>
      </c>
      <c r="AL655" t="n">
        <v>1</v>
      </c>
      <c r="AM655" t="n">
        <v>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5e-05</v>
      </c>
      <c r="AU655" t="inlineStr">
        <is>
          <t>)*10</t>
        </is>
      </c>
      <c r="AV655" t="n">
        <v>0</v>
      </c>
      <c r="AW655" t="n">
        <v>2</v>
      </c>
      <c r="AX655" t="n">
        <v>78872988</v>
      </c>
      <c r="AY655" t="n">
        <v>1</v>
      </c>
      <c r="AZ655" t="n">
        <v>0</v>
      </c>
      <c r="BA655" t="n">
        <v>602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V655" t="n">
        <v>0</v>
      </c>
      <c r="CW655" t="n">
        <v>0</v>
      </c>
      <c r="CX655">
        <f>ROUND(Y655*Source!I1346,7)</f>
        <v/>
      </c>
      <c r="CY655">
        <f>AA655</f>
        <v/>
      </c>
      <c r="CZ655">
        <f>AE655</f>
        <v/>
      </c>
      <c r="DA655">
        <f>AI655</f>
        <v/>
      </c>
      <c r="DB655">
        <f>ROUND((ROUND(AT655*CZ655,2)*ROUND(10,7)),2)</f>
        <v/>
      </c>
      <c r="DC655">
        <f>ROUND((ROUND(AT655*AG655,2)*ROUND(10,7)),2)</f>
        <v/>
      </c>
      <c r="DD655" t="inlineStr"/>
      <c r="DE655" t="inlineStr"/>
      <c r="DF655">
        <f>ROUND(ROUND(AE655*AI655,0)*CX655,0)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DF655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ROW(Source!A1346)</f>
        <v/>
      </c>
      <c r="B656" t="n">
        <v>78869116</v>
      </c>
      <c r="C656" t="n">
        <v>78872979</v>
      </c>
      <c r="D656" t="n">
        <v>29110573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101-0628</t>
        </is>
      </c>
      <c r="J656" t="inlineStr">
        <is>
          <t>ТССЦ Московской обл., 101-0628, приказ Минстроя России №675/пр от 28.02.2017 № 254/пр</t>
        </is>
      </c>
      <c r="K656" t="inlineStr">
        <is>
          <t>Олифа комбинированная, марки К-3</t>
        </is>
      </c>
      <c r="L656" t="n">
        <v>1348</v>
      </c>
      <c r="N656" t="n">
        <v>1009</v>
      </c>
      <c r="O656" t="inlineStr">
        <is>
          <t>т</t>
        </is>
      </c>
      <c r="P656" t="inlineStr">
        <is>
          <t>т</t>
        </is>
      </c>
      <c r="Q656" t="n">
        <v>1000</v>
      </c>
      <c r="W656" t="n">
        <v>0</v>
      </c>
      <c r="X656" t="n">
        <v>24062879</v>
      </c>
      <c r="Y656">
        <f>(AT656*ROUND(10,7))</f>
        <v/>
      </c>
      <c r="AA656" t="n">
        <v>87631.5</v>
      </c>
      <c r="AB656" t="n">
        <v>0</v>
      </c>
      <c r="AC656" t="n">
        <v>0</v>
      </c>
      <c r="AD656" t="n">
        <v>0</v>
      </c>
      <c r="AE656" t="n">
        <v>16950</v>
      </c>
      <c r="AF656" t="n">
        <v>0</v>
      </c>
      <c r="AG656" t="n">
        <v>0</v>
      </c>
      <c r="AH656" t="n">
        <v>0</v>
      </c>
      <c r="AI656" t="n">
        <v>5.17</v>
      </c>
      <c r="AJ656" t="n">
        <v>1</v>
      </c>
      <c r="AK656" t="n">
        <v>1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2e-05</v>
      </c>
      <c r="AU656" t="inlineStr">
        <is>
          <t>)*10</t>
        </is>
      </c>
      <c r="AV656" t="n">
        <v>0</v>
      </c>
      <c r="AW656" t="n">
        <v>2</v>
      </c>
      <c r="AX656" t="n">
        <v>78872989</v>
      </c>
      <c r="AY656" t="n">
        <v>1</v>
      </c>
      <c r="AZ656" t="n">
        <v>0</v>
      </c>
      <c r="BA656" t="n">
        <v>603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 t="n">
        <v>0</v>
      </c>
      <c r="CX656">
        <f>ROUND(Y656*Source!I1346,7)</f>
        <v/>
      </c>
      <c r="CY656">
        <f>AA656</f>
        <v/>
      </c>
      <c r="CZ656">
        <f>AE656</f>
        <v/>
      </c>
      <c r="DA656">
        <f>AI656</f>
        <v/>
      </c>
      <c r="DB656">
        <f>ROUND((ROUND(AT656*CZ656,2)*ROUND(10,7)),2)</f>
        <v/>
      </c>
      <c r="DC656">
        <f>ROUND((ROUND(AT656*AG656,2)*ROUND(10,7)),2)</f>
        <v/>
      </c>
      <c r="DD656" t="inlineStr"/>
      <c r="DE656" t="inlineStr"/>
      <c r="DF656">
        <f>ROUND(ROUND(AE656*AI656,0)*CX656,0)</f>
        <v/>
      </c>
      <c r="DG656">
        <f>ROUND(ROUND(AF656,0)*CX656,0)</f>
        <v/>
      </c>
      <c r="DH656">
        <f>ROUND(ROUND(AG656,0)*CX656,0)</f>
        <v/>
      </c>
      <c r="DI656">
        <f>ROUND(ROUND(AH656,0)*CX656,0)</f>
        <v/>
      </c>
      <c r="DJ656">
        <f>DF656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ROW(Source!A1346)</f>
        <v/>
      </c>
      <c r="B657" t="n">
        <v>78869116</v>
      </c>
      <c r="C657" t="n">
        <v>78872979</v>
      </c>
      <c r="D657" t="n">
        <v>29107963</v>
      </c>
      <c r="E657" t="n">
        <v>1</v>
      </c>
      <c r="F657" t="n">
        <v>1</v>
      </c>
      <c r="G657" t="n">
        <v>1</v>
      </c>
      <c r="H657" t="n">
        <v>3</v>
      </c>
      <c r="I657" t="inlineStr">
        <is>
          <t>101-1669</t>
        </is>
      </c>
      <c r="J657" t="inlineStr">
        <is>
          <t>ТССЦ Московской обл., 101-1669, приказ Минстроя России №675/пр от 28.02.2017 № 254/пр</t>
        </is>
      </c>
      <c r="K657" t="inlineStr">
        <is>
          <t>Очес льняной</t>
        </is>
      </c>
      <c r="L657" t="n">
        <v>1346</v>
      </c>
      <c r="N657" t="n">
        <v>1009</v>
      </c>
      <c r="O657" t="inlineStr">
        <is>
          <t>кг</t>
        </is>
      </c>
      <c r="P657" t="inlineStr">
        <is>
          <t>кг</t>
        </is>
      </c>
      <c r="Q657" t="n">
        <v>1</v>
      </c>
      <c r="W657" t="n">
        <v>0</v>
      </c>
      <c r="X657" t="n">
        <v>-2113933962</v>
      </c>
      <c r="Y657">
        <f>(AT657*ROUND(10,7))</f>
        <v/>
      </c>
      <c r="AA657" t="n">
        <v>590.67</v>
      </c>
      <c r="AB657" t="n">
        <v>0</v>
      </c>
      <c r="AC657" t="n">
        <v>0</v>
      </c>
      <c r="AD657" t="n">
        <v>0</v>
      </c>
      <c r="AE657" t="n">
        <v>37.29</v>
      </c>
      <c r="AF657" t="n">
        <v>0</v>
      </c>
      <c r="AG657" t="n">
        <v>0</v>
      </c>
      <c r="AH657" t="n">
        <v>0</v>
      </c>
      <c r="AI657" t="n">
        <v>15.84</v>
      </c>
      <c r="AJ657" t="n">
        <v>1</v>
      </c>
      <c r="AK657" t="n">
        <v>1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0.02</v>
      </c>
      <c r="AU657" t="inlineStr">
        <is>
          <t>)*10</t>
        </is>
      </c>
      <c r="AV657" t="n">
        <v>0</v>
      </c>
      <c r="AW657" t="n">
        <v>2</v>
      </c>
      <c r="AX657" t="n">
        <v>78872990</v>
      </c>
      <c r="AY657" t="n">
        <v>1</v>
      </c>
      <c r="AZ657" t="n">
        <v>0</v>
      </c>
      <c r="BA657" t="n">
        <v>604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 t="n">
        <v>0</v>
      </c>
      <c r="CX657">
        <f>ROUND(Y657*Source!I1346,7)</f>
        <v/>
      </c>
      <c r="CY657">
        <f>AA657</f>
        <v/>
      </c>
      <c r="CZ657">
        <f>AE657</f>
        <v/>
      </c>
      <c r="DA657">
        <f>AI657</f>
        <v/>
      </c>
      <c r="DB657">
        <f>ROUND((ROUND(AT657*CZ657,2)*ROUND(10,7)),2)</f>
        <v/>
      </c>
      <c r="DC657">
        <f>ROUND((ROUND(AT657*AG657,2)*ROUND(10,7)),2)</f>
        <v/>
      </c>
      <c r="DD657" t="inlineStr"/>
      <c r="DE657" t="inlineStr"/>
      <c r="DF657">
        <f>ROUND(ROUND(AE657*AI657,0)*CX657,0)</f>
        <v/>
      </c>
      <c r="DG657">
        <f>ROUND(ROUND(AF657,0)*CX657,0)</f>
        <v/>
      </c>
      <c r="DH657">
        <f>ROUND(ROUND(AG657,0)*CX657,0)</f>
        <v/>
      </c>
      <c r="DI657">
        <f>ROUND(ROUND(AH657,0)*CX657,0)</f>
        <v/>
      </c>
      <c r="DJ657">
        <f>DF657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ROW(Source!A1346)</f>
        <v/>
      </c>
      <c r="B658" t="n">
        <v>78869116</v>
      </c>
      <c r="C658" t="n">
        <v>78872979</v>
      </c>
      <c r="D658" t="n">
        <v>29150040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411-0001</t>
        </is>
      </c>
      <c r="J658" t="inlineStr">
        <is>
          <t>ТССЦ Московской обл., 411-0001, приказ Минстроя России №675/пр от 28.02.2017 № 257/пр</t>
        </is>
      </c>
      <c r="K658" t="inlineStr">
        <is>
          <t>Вода</t>
        </is>
      </c>
      <c r="L658" t="n">
        <v>1339</v>
      </c>
      <c r="N658" t="n">
        <v>1007</v>
      </c>
      <c r="O658" t="inlineStr">
        <is>
          <t>м3</t>
        </is>
      </c>
      <c r="P658" t="inlineStr">
        <is>
          <t>м3</t>
        </is>
      </c>
      <c r="Q658" t="n">
        <v>1</v>
      </c>
      <c r="W658" t="n">
        <v>0</v>
      </c>
      <c r="X658" t="n">
        <v>619799737</v>
      </c>
      <c r="Y658">
        <f>(AT658*ROUND(10,7))</f>
        <v/>
      </c>
      <c r="AA658" t="n">
        <v>31.28</v>
      </c>
      <c r="AB658" t="n">
        <v>0</v>
      </c>
      <c r="AC658" t="n">
        <v>0</v>
      </c>
      <c r="AD658" t="n">
        <v>0</v>
      </c>
      <c r="AE658" t="n">
        <v>2.44</v>
      </c>
      <c r="AF658" t="n">
        <v>0</v>
      </c>
      <c r="AG658" t="n">
        <v>0</v>
      </c>
      <c r="AH658" t="n">
        <v>0</v>
      </c>
      <c r="AI658" t="n">
        <v>12.82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1</v>
      </c>
      <c r="AU658" t="inlineStr">
        <is>
          <t>)*10</t>
        </is>
      </c>
      <c r="AV658" t="n">
        <v>0</v>
      </c>
      <c r="AW658" t="n">
        <v>2</v>
      </c>
      <c r="AX658" t="n">
        <v>78872991</v>
      </c>
      <c r="AY658" t="n">
        <v>1</v>
      </c>
      <c r="AZ658" t="n">
        <v>0</v>
      </c>
      <c r="BA658" t="n">
        <v>605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ROUND(Y658*Source!I1346,7)</f>
        <v/>
      </c>
      <c r="CY658">
        <f>AA658</f>
        <v/>
      </c>
      <c r="CZ658">
        <f>AE658</f>
        <v/>
      </c>
      <c r="DA658">
        <f>AI658</f>
        <v/>
      </c>
      <c r="DB658">
        <f>ROUND((ROUND(AT658*CZ658,2)*ROUND(10,7)),2)</f>
        <v/>
      </c>
      <c r="DC658">
        <f>ROUND((ROUND(AT658*AG658,2)*ROUND(10,7)),2)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ROW(Source!A1385)</f>
        <v/>
      </c>
      <c r="B659" t="n">
        <v>78869116</v>
      </c>
      <c r="C659" t="n">
        <v>78873053</v>
      </c>
      <c r="D659" t="n">
        <v>18408291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1-1025-90</t>
        </is>
      </c>
      <c r="J659" t="inlineStr"/>
      <c r="K659" t="inlineStr">
        <is>
          <t>Рабочий строитель среднего разряда 2,5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W659" t="n">
        <v>0</v>
      </c>
      <c r="X659" t="n">
        <v>1933892413</v>
      </c>
      <c r="Y659">
        <f>AT659</f>
        <v/>
      </c>
      <c r="AA659" t="n">
        <v>0</v>
      </c>
      <c r="AB659" t="n">
        <v>0</v>
      </c>
      <c r="AC659" t="n">
        <v>0</v>
      </c>
      <c r="AD659" t="n">
        <v>8.17</v>
      </c>
      <c r="AE659" t="n">
        <v>0</v>
      </c>
      <c r="AF659" t="n">
        <v>0</v>
      </c>
      <c r="AG659" t="n">
        <v>0</v>
      </c>
      <c r="AH659" t="n">
        <v>8.17</v>
      </c>
      <c r="AI659" t="n">
        <v>1</v>
      </c>
      <c r="AJ659" t="n">
        <v>1</v>
      </c>
      <c r="AK659" t="n">
        <v>1</v>
      </c>
      <c r="AL659" t="n">
        <v>1</v>
      </c>
      <c r="AM659" t="n">
        <v>-2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32.2</v>
      </c>
      <c r="AU659" t="inlineStr"/>
      <c r="AV659" t="n">
        <v>1</v>
      </c>
      <c r="AW659" t="n">
        <v>2</v>
      </c>
      <c r="AX659" t="n">
        <v>78873059</v>
      </c>
      <c r="AY659" t="n">
        <v>1</v>
      </c>
      <c r="AZ659" t="n">
        <v>0</v>
      </c>
      <c r="BA659" t="n">
        <v>606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U659">
        <f>ROUND(AT659*Source!I1385*AH659*AL659,0)</f>
        <v/>
      </c>
      <c r="CV659">
        <f>ROUND(Y659*Source!I1385,7)</f>
        <v/>
      </c>
      <c r="CW659" t="n">
        <v>0</v>
      </c>
      <c r="CX659">
        <f>ROUND(Y659*Source!I1385,7)</f>
        <v/>
      </c>
      <c r="CY659">
        <f>AD659</f>
        <v/>
      </c>
      <c r="CZ659">
        <f>AH659</f>
        <v/>
      </c>
      <c r="DA659">
        <f>AL659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DI659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ROW(Source!A1385)</f>
        <v/>
      </c>
      <c r="B660" t="n">
        <v>78869116</v>
      </c>
      <c r="C660" t="n">
        <v>78873053</v>
      </c>
      <c r="D660" t="n">
        <v>29174913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400001</t>
        </is>
      </c>
      <c r="J660" t="inlineStr">
        <is>
          <t>ТСЭМ Московской обл., 400001, приказ Минстроя России №675/пр от 28.02.2017 № 264/пр</t>
        </is>
      </c>
      <c r="K660" t="inlineStr">
        <is>
          <t>Автомобили бортовые, грузоподъемность до 5 т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W660" t="n">
        <v>0</v>
      </c>
      <c r="X660" t="n">
        <v>1230759911</v>
      </c>
      <c r="Y660">
        <f>AT660</f>
        <v/>
      </c>
      <c r="AA660" t="n">
        <v>0</v>
      </c>
      <c r="AB660" t="n">
        <v>2177.51</v>
      </c>
      <c r="AC660" t="n">
        <v>606.1</v>
      </c>
      <c r="AD660" t="n">
        <v>0</v>
      </c>
      <c r="AE660" t="n">
        <v>0</v>
      </c>
      <c r="AF660" t="n">
        <v>87.17</v>
      </c>
      <c r="AG660" t="n">
        <v>11.6</v>
      </c>
      <c r="AH660" t="n">
        <v>0</v>
      </c>
      <c r="AI660" t="n">
        <v>1</v>
      </c>
      <c r="AJ660" t="n">
        <v>24.98</v>
      </c>
      <c r="AK660" t="n">
        <v>52.25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0.01</v>
      </c>
      <c r="AU660" t="inlineStr"/>
      <c r="AV660" t="n">
        <v>0</v>
      </c>
      <c r="AW660" t="n">
        <v>2</v>
      </c>
      <c r="AX660" t="n">
        <v>78873060</v>
      </c>
      <c r="AY660" t="n">
        <v>1</v>
      </c>
      <c r="AZ660" t="n">
        <v>0</v>
      </c>
      <c r="BA660" t="n">
        <v>607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>
        <f>ROUND(Y660*Source!I1385*DO660,7)</f>
        <v/>
      </c>
      <c r="CX660">
        <f>ROUND(Y660*Source!I1385,7)</f>
        <v/>
      </c>
      <c r="CY660">
        <f>AB660</f>
        <v/>
      </c>
      <c r="CZ660">
        <f>AF660</f>
        <v/>
      </c>
      <c r="DA660">
        <f>AJ660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ROUND(ROUND(AE660,0)*CX660,0)</f>
        <v/>
      </c>
      <c r="DG660">
        <f>ROUND(ROUND(AF660*AJ660,0)*CX660,0)</f>
        <v/>
      </c>
      <c r="DH660">
        <f>ROUND(ROUND(AG660*AK660,0)*CX660,0)</f>
        <v/>
      </c>
      <c r="DI660">
        <f>ROUND(ROUND(AH660,0)*CX660,0)</f>
        <v/>
      </c>
      <c r="DJ660">
        <f>DG660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ROW(Source!A1385)</f>
        <v/>
      </c>
      <c r="B661" t="n">
        <v>78869116</v>
      </c>
      <c r="C661" t="n">
        <v>78873053</v>
      </c>
      <c r="D661" t="n">
        <v>29110139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101-1703</t>
        </is>
      </c>
      <c r="J661" t="inlineStr">
        <is>
          <t>ТССЦ Московской обл., 101-1703, приказ Минстроя России №675/пр от 28.02.2017 № 254/пр</t>
        </is>
      </c>
      <c r="K661" t="inlineStr">
        <is>
          <t>Прокладки резиновые (пластина техническая прессованная)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-1947909329</v>
      </c>
      <c r="Y661">
        <f>AT661</f>
        <v/>
      </c>
      <c r="AA661" t="n">
        <v>341.04</v>
      </c>
      <c r="AB661" t="n">
        <v>0</v>
      </c>
      <c r="AC661" t="n">
        <v>0</v>
      </c>
      <c r="AD661" t="n">
        <v>0</v>
      </c>
      <c r="AE661" t="n">
        <v>23.09</v>
      </c>
      <c r="AF661" t="n">
        <v>0</v>
      </c>
      <c r="AG661" t="n">
        <v>0</v>
      </c>
      <c r="AH661" t="n">
        <v>0</v>
      </c>
      <c r="AI661" t="n">
        <v>14.77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2</v>
      </c>
      <c r="AU661" t="inlineStr"/>
      <c r="AV661" t="n">
        <v>0</v>
      </c>
      <c r="AW661" t="n">
        <v>2</v>
      </c>
      <c r="AX661" t="n">
        <v>78873061</v>
      </c>
      <c r="AY661" t="n">
        <v>1</v>
      </c>
      <c r="AZ661" t="n">
        <v>0</v>
      </c>
      <c r="BA661" t="n">
        <v>608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ROUND(Y661*Source!I1385,7)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ROW(Source!A1385)</f>
        <v/>
      </c>
      <c r="B662" t="n">
        <v>78869116</v>
      </c>
      <c r="C662" t="n">
        <v>78873053</v>
      </c>
      <c r="D662" t="n">
        <v>29114240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101-2576</t>
        </is>
      </c>
      <c r="J662" t="inlineStr">
        <is>
          <t>ТССЦ Московской обл., 101-2576, приказ Минстроя России №675/пр от 28.02.2017 № 254/пр</t>
        </is>
      </c>
      <c r="K662" t="inlineStr">
        <is>
          <t>Болты с гайками и шайбами для санитарно-технических работ диаметром 16 мм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W662" t="n">
        <v>0</v>
      </c>
      <c r="X662" t="n">
        <v>-1701539228</v>
      </c>
      <c r="Y662">
        <f>AT662</f>
        <v/>
      </c>
      <c r="AA662" t="n">
        <v>145037.4</v>
      </c>
      <c r="AB662" t="n">
        <v>0</v>
      </c>
      <c r="AC662" t="n">
        <v>0</v>
      </c>
      <c r="AD662" t="n">
        <v>0</v>
      </c>
      <c r="AE662" t="n">
        <v>14830</v>
      </c>
      <c r="AF662" t="n">
        <v>0</v>
      </c>
      <c r="AG662" t="n">
        <v>0</v>
      </c>
      <c r="AH662" t="n">
        <v>0</v>
      </c>
      <c r="AI662" t="n">
        <v>9.779999999999999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0.005</v>
      </c>
      <c r="AU662" t="inlineStr"/>
      <c r="AV662" t="n">
        <v>0</v>
      </c>
      <c r="AW662" t="n">
        <v>2</v>
      </c>
      <c r="AX662" t="n">
        <v>78873062</v>
      </c>
      <c r="AY662" t="n">
        <v>1</v>
      </c>
      <c r="AZ662" t="n">
        <v>0</v>
      </c>
      <c r="BA662" t="n">
        <v>609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ROUND(Y662*Source!I1385,7)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ROW(Source!A1385)</f>
        <v/>
      </c>
      <c r="B663" t="n">
        <v>78869116</v>
      </c>
      <c r="C663" t="n">
        <v>78873053</v>
      </c>
      <c r="D663" t="n">
        <v>29150040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411-0001</t>
        </is>
      </c>
      <c r="J663" t="inlineStr">
        <is>
          <t>ТССЦ Московской обл., 411-0001, приказ Минстроя России №675/пр от 28.02.2017 № 257/пр</t>
        </is>
      </c>
      <c r="K663" t="inlineStr">
        <is>
          <t>Вода</t>
        </is>
      </c>
      <c r="L663" t="n">
        <v>1339</v>
      </c>
      <c r="N663" t="n">
        <v>1007</v>
      </c>
      <c r="O663" t="inlineStr">
        <is>
          <t>м3</t>
        </is>
      </c>
      <c r="P663" t="inlineStr">
        <is>
          <t>м3</t>
        </is>
      </c>
      <c r="Q663" t="n">
        <v>1</v>
      </c>
      <c r="W663" t="n">
        <v>0</v>
      </c>
      <c r="X663" t="n">
        <v>619799737</v>
      </c>
      <c r="Y663">
        <f>AT663</f>
        <v/>
      </c>
      <c r="AA663" t="n">
        <v>31.28</v>
      </c>
      <c r="AB663" t="n">
        <v>0</v>
      </c>
      <c r="AC663" t="n">
        <v>0</v>
      </c>
      <c r="AD663" t="n">
        <v>0</v>
      </c>
      <c r="AE663" t="n">
        <v>2.44</v>
      </c>
      <c r="AF663" t="n">
        <v>0</v>
      </c>
      <c r="AG663" t="n">
        <v>0</v>
      </c>
      <c r="AH663" t="n">
        <v>0</v>
      </c>
      <c r="AI663" t="n">
        <v>12.82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7.8</v>
      </c>
      <c r="AU663" t="inlineStr"/>
      <c r="AV663" t="n">
        <v>0</v>
      </c>
      <c r="AW663" t="n">
        <v>2</v>
      </c>
      <c r="AX663" t="n">
        <v>78873063</v>
      </c>
      <c r="AY663" t="n">
        <v>1</v>
      </c>
      <c r="AZ663" t="n">
        <v>0</v>
      </c>
      <c r="BA663" t="n">
        <v>610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ROUND(Y663*Source!I1385,7)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ROW(Source!A1386)</f>
        <v/>
      </c>
      <c r="B664" t="n">
        <v>78869116</v>
      </c>
      <c r="C664" t="n">
        <v>78873064</v>
      </c>
      <c r="D664" t="n">
        <v>18407150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1-1030-90</t>
        </is>
      </c>
      <c r="J664" t="inlineStr"/>
      <c r="K664" t="inlineStr">
        <is>
          <t>Рабочий строитель среднего разряда 3</t>
        </is>
      </c>
      <c r="L664" t="n">
        <v>1369</v>
      </c>
      <c r="N664" t="n">
        <v>1013</v>
      </c>
      <c r="O664" t="inlineStr">
        <is>
          <t>чел.-ч</t>
        </is>
      </c>
      <c r="P664" t="inlineStr">
        <is>
          <t>чел.-ч</t>
        </is>
      </c>
      <c r="Q664" t="n">
        <v>1</v>
      </c>
      <c r="W664" t="n">
        <v>0</v>
      </c>
      <c r="X664" t="n">
        <v>-931037793</v>
      </c>
      <c r="Y664">
        <f>AT664</f>
        <v/>
      </c>
      <c r="AA664" t="n">
        <v>0</v>
      </c>
      <c r="AB664" t="n">
        <v>0</v>
      </c>
      <c r="AC664" t="n">
        <v>0</v>
      </c>
      <c r="AD664" t="n">
        <v>8.529999999999999</v>
      </c>
      <c r="AE664" t="n">
        <v>0</v>
      </c>
      <c r="AF664" t="n">
        <v>0</v>
      </c>
      <c r="AG664" t="n">
        <v>0</v>
      </c>
      <c r="AH664" t="n">
        <v>8.529999999999999</v>
      </c>
      <c r="AI664" t="n">
        <v>1</v>
      </c>
      <c r="AJ664" t="n">
        <v>1</v>
      </c>
      <c r="AK664" t="n">
        <v>1</v>
      </c>
      <c r="AL664" t="n">
        <v>1</v>
      </c>
      <c r="AM664" t="n">
        <v>-2</v>
      </c>
      <c r="AN664" t="n">
        <v>0</v>
      </c>
      <c r="AO664" t="n">
        <v>1</v>
      </c>
      <c r="AP664" t="n">
        <v>0</v>
      </c>
      <c r="AQ664" t="n">
        <v>0</v>
      </c>
      <c r="AR664" t="n">
        <v>0</v>
      </c>
      <c r="AS664" t="inlineStr"/>
      <c r="AT664" t="n">
        <v>13.9</v>
      </c>
      <c r="AU664" t="inlineStr"/>
      <c r="AV664" t="n">
        <v>1</v>
      </c>
      <c r="AW664" t="n">
        <v>2</v>
      </c>
      <c r="AX664" t="n">
        <v>78873068</v>
      </c>
      <c r="AY664" t="n">
        <v>1</v>
      </c>
      <c r="AZ664" t="n">
        <v>0</v>
      </c>
      <c r="BA664" t="n">
        <v>611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U664">
        <f>ROUND(AT664*Source!I1386*AH664*AL664,0)</f>
        <v/>
      </c>
      <c r="CV664">
        <f>ROUND(Y664*Source!I1386,7)</f>
        <v/>
      </c>
      <c r="CW664" t="n">
        <v>0</v>
      </c>
      <c r="CX664">
        <f>ROUND(Y664*Source!I1386,7)</f>
        <v/>
      </c>
      <c r="CY664">
        <f>AD664</f>
        <v/>
      </c>
      <c r="CZ664">
        <f>AH664</f>
        <v/>
      </c>
      <c r="DA664">
        <f>AL664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DI664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ROW(Source!A1386)</f>
        <v/>
      </c>
      <c r="B665" t="n">
        <v>78869116</v>
      </c>
      <c r="C665" t="n">
        <v>78873064</v>
      </c>
      <c r="D665" t="n">
        <v>29169821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509-0696</t>
        </is>
      </c>
      <c r="J665" t="inlineStr">
        <is>
          <t>ТССЦ Московской обл., 509-0696, приказ Минстроя России №675/пр от 28.02.2017 № 258/пр</t>
        </is>
      </c>
      <c r="K665" t="inlineStr">
        <is>
          <t>Лампы люминесцентные ртутные низкого давления типа ЛБ, ЛД, ЛДЦ, ЛТВ, ЛБХ 20</t>
        </is>
      </c>
      <c r="L665" t="n">
        <v>1358</v>
      </c>
      <c r="N665" t="n">
        <v>1010</v>
      </c>
      <c r="O665" t="inlineStr">
        <is>
          <t>10 шт.</t>
        </is>
      </c>
      <c r="P665" t="inlineStr">
        <is>
          <t>10 шт.</t>
        </is>
      </c>
      <c r="Q665" t="n">
        <v>10</v>
      </c>
      <c r="W665" t="n">
        <v>0</v>
      </c>
      <c r="X665" t="n">
        <v>-1187244712</v>
      </c>
      <c r="Y665">
        <f>AT665</f>
        <v/>
      </c>
      <c r="AA665" t="n">
        <v>352.73</v>
      </c>
      <c r="AB665" t="n">
        <v>0</v>
      </c>
      <c r="AC665" t="n">
        <v>0</v>
      </c>
      <c r="AD665" t="n">
        <v>0</v>
      </c>
      <c r="AE665" t="n">
        <v>85.2</v>
      </c>
      <c r="AF665" t="n">
        <v>0</v>
      </c>
      <c r="AG665" t="n">
        <v>0</v>
      </c>
      <c r="AH665" t="n">
        <v>0</v>
      </c>
      <c r="AI665" t="n">
        <v>4.14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0</v>
      </c>
      <c r="AQ665" t="n">
        <v>0</v>
      </c>
      <c r="AR665" t="n">
        <v>0</v>
      </c>
      <c r="AS665" t="inlineStr"/>
      <c r="AT665" t="n">
        <v>10</v>
      </c>
      <c r="AU665" t="inlineStr"/>
      <c r="AV665" t="n">
        <v>0</v>
      </c>
      <c r="AW665" t="n">
        <v>2</v>
      </c>
      <c r="AX665" t="n">
        <v>78873069</v>
      </c>
      <c r="AY665" t="n">
        <v>1</v>
      </c>
      <c r="AZ665" t="n">
        <v>0</v>
      </c>
      <c r="BA665" t="n">
        <v>612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ROUND(Y665*Source!I1386,7)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ROW(Source!A1386)</f>
        <v/>
      </c>
      <c r="B666" t="n">
        <v>78869116</v>
      </c>
      <c r="C666" t="n">
        <v>78873064</v>
      </c>
      <c r="D666" t="n">
        <v>29169828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509-6744</t>
        </is>
      </c>
      <c r="J666" t="inlineStr">
        <is>
          <t>ТССЦ Московской обл., 509-6744, приказ Минстроя России №675/пр от 28.02.2017 № 258/пр</t>
        </is>
      </c>
      <c r="K666" t="inlineStr">
        <is>
          <t>Лампы люминесцентные компактные энергосберегающие с цоколем Е27 мощностью 55 Вт</t>
        </is>
      </c>
      <c r="L666" t="n">
        <v>1354</v>
      </c>
      <c r="N666" t="n">
        <v>1010</v>
      </c>
      <c r="O666" t="inlineStr">
        <is>
          <t>шт.</t>
        </is>
      </c>
      <c r="P666" t="inlineStr">
        <is>
          <t>шт.</t>
        </is>
      </c>
      <c r="Q666" t="n">
        <v>1</v>
      </c>
      <c r="W666" t="n">
        <v>0</v>
      </c>
      <c r="X666" t="n">
        <v>-228955380</v>
      </c>
      <c r="Y666">
        <f>AT666</f>
        <v/>
      </c>
      <c r="AA666" t="n">
        <v>237.77</v>
      </c>
      <c r="AB666" t="n">
        <v>0</v>
      </c>
      <c r="AC666" t="n">
        <v>0</v>
      </c>
      <c r="AD666" t="n">
        <v>0</v>
      </c>
      <c r="AE666" t="n">
        <v>140.69</v>
      </c>
      <c r="AF666" t="n">
        <v>0</v>
      </c>
      <c r="AG666" t="n">
        <v>0</v>
      </c>
      <c r="AH666" t="n">
        <v>0</v>
      </c>
      <c r="AI666" t="n">
        <v>1.69</v>
      </c>
      <c r="AJ666" t="n">
        <v>1</v>
      </c>
      <c r="AK666" t="n">
        <v>1</v>
      </c>
      <c r="AL666" t="n">
        <v>1</v>
      </c>
      <c r="AM666" t="n">
        <v>0</v>
      </c>
      <c r="AN666" t="n">
        <v>0</v>
      </c>
      <c r="AO666" t="n">
        <v>0</v>
      </c>
      <c r="AP666" t="n">
        <v>1</v>
      </c>
      <c r="AQ666" t="n">
        <v>0</v>
      </c>
      <c r="AR666" t="n">
        <v>0</v>
      </c>
      <c r="AS666" t="inlineStr"/>
      <c r="AT666" t="n">
        <v>100</v>
      </c>
      <c r="AU666" t="inlineStr"/>
      <c r="AV666" t="n">
        <v>0</v>
      </c>
      <c r="AW666" t="n">
        <v>1</v>
      </c>
      <c r="AX666" t="n">
        <v>-1</v>
      </c>
      <c r="AY666" t="n">
        <v>0</v>
      </c>
      <c r="AZ666" t="n">
        <v>0</v>
      </c>
      <c r="BA666" t="inlineStr"/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ROUND(Y666*Source!I1386,7)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ROW(Source!A1388)</f>
        <v/>
      </c>
      <c r="B667" t="n">
        <v>78869116</v>
      </c>
      <c r="C667" t="n">
        <v>78873071</v>
      </c>
      <c r="D667" t="n">
        <v>18442827</v>
      </c>
      <c r="E667" t="n">
        <v>1</v>
      </c>
      <c r="F667" t="n">
        <v>1</v>
      </c>
      <c r="G667" t="n">
        <v>1</v>
      </c>
      <c r="H667" t="n">
        <v>1</v>
      </c>
      <c r="I667" t="inlineStr">
        <is>
          <t>1-1053-90</t>
        </is>
      </c>
      <c r="J667" t="inlineStr"/>
      <c r="K667" t="inlineStr">
        <is>
          <t>Рабочий строитель среднего разряда 5,3</t>
        </is>
      </c>
      <c r="L667" t="n">
        <v>1369</v>
      </c>
      <c r="N667" t="n">
        <v>1013</v>
      </c>
      <c r="O667" t="inlineStr">
        <is>
          <t>чел.-ч</t>
        </is>
      </c>
      <c r="P667" t="inlineStr">
        <is>
          <t>чел.-ч</t>
        </is>
      </c>
      <c r="Q667" t="n">
        <v>1</v>
      </c>
      <c r="W667" t="n">
        <v>0</v>
      </c>
      <c r="X667" t="n">
        <v>717490484</v>
      </c>
      <c r="Y667">
        <f>(AT667*ROUND(8,7))</f>
        <v/>
      </c>
      <c r="AA667" t="n">
        <v>0</v>
      </c>
      <c r="AB667" t="n">
        <v>0</v>
      </c>
      <c r="AC667" t="n">
        <v>0</v>
      </c>
      <c r="AD667" t="n">
        <v>11.64</v>
      </c>
      <c r="AE667" t="n">
        <v>0</v>
      </c>
      <c r="AF667" t="n">
        <v>0</v>
      </c>
      <c r="AG667" t="n">
        <v>0</v>
      </c>
      <c r="AH667" t="n">
        <v>11.64</v>
      </c>
      <c r="AI667" t="n">
        <v>1</v>
      </c>
      <c r="AJ667" t="n">
        <v>1</v>
      </c>
      <c r="AK667" t="n">
        <v>1</v>
      </c>
      <c r="AL667" t="n">
        <v>1</v>
      </c>
      <c r="AM667" t="n">
        <v>-2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5.01</v>
      </c>
      <c r="AU667" t="inlineStr">
        <is>
          <t>)*8</t>
        </is>
      </c>
      <c r="AV667" t="n">
        <v>1</v>
      </c>
      <c r="AW667" t="n">
        <v>2</v>
      </c>
      <c r="AX667" t="n">
        <v>78873078</v>
      </c>
      <c r="AY667" t="n">
        <v>1</v>
      </c>
      <c r="AZ667" t="n">
        <v>0</v>
      </c>
      <c r="BA667" t="n">
        <v>613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U667">
        <f>ROUND(AT667*Source!I1388*AH667*AL667,0)</f>
        <v/>
      </c>
      <c r="CV667">
        <f>ROUND(Y667*Source!I1388,7)</f>
        <v/>
      </c>
      <c r="CW667" t="n">
        <v>0</v>
      </c>
      <c r="CX667">
        <f>ROUND(Y667*Source!I1388,7)</f>
        <v/>
      </c>
      <c r="CY667">
        <f>AD667</f>
        <v/>
      </c>
      <c r="CZ667">
        <f>AH667</f>
        <v/>
      </c>
      <c r="DA667">
        <f>AL667</f>
        <v/>
      </c>
      <c r="DB667">
        <f>ROUND((ROUND(AT667*CZ667,2)*ROUND(8,7)),2)</f>
        <v/>
      </c>
      <c r="DC667">
        <f>ROUND((ROUND(AT667*AG667,2)*ROUND(8,7)),2)</f>
        <v/>
      </c>
      <c r="DD667" t="inlineStr"/>
      <c r="DE667" t="inlineStr"/>
      <c r="DF667">
        <f>ROUND(ROUND(AE667,0)*CX667,0)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DI667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ROW(Source!A1388)</f>
        <v/>
      </c>
      <c r="B668" t="n">
        <v>78869116</v>
      </c>
      <c r="C668" t="n">
        <v>78873071</v>
      </c>
      <c r="D668" t="n">
        <v>29172703</v>
      </c>
      <c r="E668" t="n">
        <v>1</v>
      </c>
      <c r="F668" t="n">
        <v>1</v>
      </c>
      <c r="G668" t="n">
        <v>1</v>
      </c>
      <c r="H668" t="n">
        <v>2</v>
      </c>
      <c r="I668" t="inlineStr">
        <is>
          <t>042900</t>
        </is>
      </c>
      <c r="J668" t="inlineStr">
        <is>
          <t>ТСЭМ Московской обл., 042900, приказ Минстроя России №675/пр от 28.02.2017 № 264/пр</t>
        </is>
      </c>
      <c r="K66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8" t="n">
        <v>1368</v>
      </c>
      <c r="N668" t="n">
        <v>1011</v>
      </c>
      <c r="O668" t="inlineStr">
        <is>
          <t>маш.-ч</t>
        </is>
      </c>
      <c r="P668" t="inlineStr">
        <is>
          <t>маш.-ч</t>
        </is>
      </c>
      <c r="Q668" t="n">
        <v>1</v>
      </c>
      <c r="W668" t="n">
        <v>0</v>
      </c>
      <c r="X668" t="n">
        <v>1695838894</v>
      </c>
      <c r="Y668">
        <f>(AT668*ROUND(8,7))</f>
        <v/>
      </c>
      <c r="AA668" t="n">
        <v>0</v>
      </c>
      <c r="AB668" t="n">
        <v>177.13</v>
      </c>
      <c r="AC668" t="n">
        <v>0</v>
      </c>
      <c r="AD668" t="n">
        <v>0</v>
      </c>
      <c r="AE668" t="n">
        <v>0</v>
      </c>
      <c r="AF668" t="n">
        <v>29.67</v>
      </c>
      <c r="AG668" t="n">
        <v>0</v>
      </c>
      <c r="AH668" t="n">
        <v>0</v>
      </c>
      <c r="AI668" t="n">
        <v>1</v>
      </c>
      <c r="AJ668" t="n">
        <v>5.97</v>
      </c>
      <c r="AK668" t="n">
        <v>52.25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1.5</v>
      </c>
      <c r="AU668" t="inlineStr">
        <is>
          <t>)*8</t>
        </is>
      </c>
      <c r="AV668" t="n">
        <v>0</v>
      </c>
      <c r="AW668" t="n">
        <v>2</v>
      </c>
      <c r="AX668" t="n">
        <v>78873079</v>
      </c>
      <c r="AY668" t="n">
        <v>1</v>
      </c>
      <c r="AZ668" t="n">
        <v>0</v>
      </c>
      <c r="BA668" t="n">
        <v>614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>
        <f>ROUND(Y668*Source!I1388*DO668,7)</f>
        <v/>
      </c>
      <c r="CX668">
        <f>ROUND(Y668*Source!I1388,7)</f>
        <v/>
      </c>
      <c r="CY668">
        <f>AB668</f>
        <v/>
      </c>
      <c r="CZ668">
        <f>AF668</f>
        <v/>
      </c>
      <c r="DA668">
        <f>AJ668</f>
        <v/>
      </c>
      <c r="DB668">
        <f>ROUND((ROUND(AT668*CZ668,2)*ROUND(8,7)),2)</f>
        <v/>
      </c>
      <c r="DC668">
        <f>ROUND((ROUND(AT668*AG668,2)*ROUND(8,7)),2)</f>
        <v/>
      </c>
      <c r="DD668" t="inlineStr"/>
      <c r="DE668" t="inlineStr"/>
      <c r="DF668">
        <f>ROUND(ROUND(AE668,0)*CX668,0)</f>
        <v/>
      </c>
      <c r="DG668">
        <f>ROUND(ROUND(AF668*AJ668,0)*CX668,0)</f>
        <v/>
      </c>
      <c r="DH668">
        <f>ROUND(ROUND(AG668*AK668,0)*CX668,0)</f>
        <v/>
      </c>
      <c r="DI668">
        <f>ROUND(ROUND(AH668,0)*CX668,0)</f>
        <v/>
      </c>
      <c r="DJ668">
        <f>DG668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ROW(Source!A1388)</f>
        <v/>
      </c>
      <c r="B669" t="n">
        <v>78869116</v>
      </c>
      <c r="C669" t="n">
        <v>78873071</v>
      </c>
      <c r="D669" t="n">
        <v>29110398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101-0388</t>
        </is>
      </c>
      <c r="J669" t="inlineStr">
        <is>
          <t>ТССЦ Московской обл., 101-0388, приказ Минстроя России №675/пр от 28.02.2017 № 254/пр</t>
        </is>
      </c>
      <c r="K669" t="inlineStr">
        <is>
          <t>Краски масляные земляные марки МА-0115 мумия, сурик железный</t>
        </is>
      </c>
      <c r="L669" t="n">
        <v>1348</v>
      </c>
      <c r="N669" t="n">
        <v>1009</v>
      </c>
      <c r="O669" t="inlineStr">
        <is>
          <t>т</t>
        </is>
      </c>
      <c r="P669" t="inlineStr">
        <is>
          <t>т</t>
        </is>
      </c>
      <c r="Q669" t="n">
        <v>1000</v>
      </c>
      <c r="W669" t="n">
        <v>0</v>
      </c>
      <c r="X669" t="n">
        <v>1625292450</v>
      </c>
      <c r="Y669">
        <f>(AT669*ROUND(8,7))</f>
        <v/>
      </c>
      <c r="AA669" t="n">
        <v>76804.47</v>
      </c>
      <c r="AB669" t="n">
        <v>0</v>
      </c>
      <c r="AC669" t="n">
        <v>0</v>
      </c>
      <c r="AD669" t="n">
        <v>0</v>
      </c>
      <c r="AE669" t="n">
        <v>15118.99</v>
      </c>
      <c r="AF669" t="n">
        <v>0</v>
      </c>
      <c r="AG669" t="n">
        <v>0</v>
      </c>
      <c r="AH669" t="n">
        <v>0</v>
      </c>
      <c r="AI669" t="n">
        <v>5.08</v>
      </c>
      <c r="AJ669" t="n">
        <v>1</v>
      </c>
      <c r="AK669" t="n">
        <v>1</v>
      </c>
      <c r="AL669" t="n">
        <v>1</v>
      </c>
      <c r="AM669" t="n">
        <v>2</v>
      </c>
      <c r="AN669" t="n">
        <v>0</v>
      </c>
      <c r="AO669" t="n">
        <v>1</v>
      </c>
      <c r="AP669" t="n">
        <v>1</v>
      </c>
      <c r="AQ669" t="n">
        <v>0</v>
      </c>
      <c r="AR669" t="n">
        <v>0</v>
      </c>
      <c r="AS669" t="inlineStr"/>
      <c r="AT669" t="n">
        <v>5e-05</v>
      </c>
      <c r="AU669" t="inlineStr">
        <is>
          <t>)*8</t>
        </is>
      </c>
      <c r="AV669" t="n">
        <v>0</v>
      </c>
      <c r="AW669" t="n">
        <v>2</v>
      </c>
      <c r="AX669" t="n">
        <v>78873080</v>
      </c>
      <c r="AY669" t="n">
        <v>1</v>
      </c>
      <c r="AZ669" t="n">
        <v>0</v>
      </c>
      <c r="BA669" t="n">
        <v>615</v>
      </c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ROUND(Y669*Source!I1388,7)</f>
        <v/>
      </c>
      <c r="CY669">
        <f>AA669</f>
        <v/>
      </c>
      <c r="CZ669">
        <f>AE669</f>
        <v/>
      </c>
      <c r="DA669">
        <f>AI669</f>
        <v/>
      </c>
      <c r="DB669">
        <f>ROUND((ROUND(AT669*CZ669,2)*ROUND(8,7)),2)</f>
        <v/>
      </c>
      <c r="DC669">
        <f>ROUND((ROUND(AT669*AG669,2)*ROUND(8,7)),2)</f>
        <v/>
      </c>
      <c r="DD669" t="inlineStr"/>
      <c r="DE669" t="inlineStr"/>
      <c r="DF669">
        <f>ROUND(ROUND(AE669*AI669,0)*CX669,0)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ROW(Source!A1388)</f>
        <v/>
      </c>
      <c r="B670" t="n">
        <v>78869116</v>
      </c>
      <c r="C670" t="n">
        <v>78873071</v>
      </c>
      <c r="D670" t="n">
        <v>29110573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101-0628</t>
        </is>
      </c>
      <c r="J670" t="inlineStr">
        <is>
          <t>ТССЦ Московской обл., 101-0628, приказ Минстроя России №675/пр от 28.02.2017 № 254/пр</t>
        </is>
      </c>
      <c r="K670" t="inlineStr">
        <is>
          <t>Олифа комбинированная, марки К-3</t>
        </is>
      </c>
      <c r="L670" t="n">
        <v>1348</v>
      </c>
      <c r="N670" t="n">
        <v>1009</v>
      </c>
      <c r="O670" t="inlineStr">
        <is>
          <t>т</t>
        </is>
      </c>
      <c r="P670" t="inlineStr">
        <is>
          <t>т</t>
        </is>
      </c>
      <c r="Q670" t="n">
        <v>1000</v>
      </c>
      <c r="W670" t="n">
        <v>0</v>
      </c>
      <c r="X670" t="n">
        <v>24062879</v>
      </c>
      <c r="Y670">
        <f>(AT670*ROUND(8,7))</f>
        <v/>
      </c>
      <c r="AA670" t="n">
        <v>87631.5</v>
      </c>
      <c r="AB670" t="n">
        <v>0</v>
      </c>
      <c r="AC670" t="n">
        <v>0</v>
      </c>
      <c r="AD670" t="n">
        <v>0</v>
      </c>
      <c r="AE670" t="n">
        <v>16950</v>
      </c>
      <c r="AF670" t="n">
        <v>0</v>
      </c>
      <c r="AG670" t="n">
        <v>0</v>
      </c>
      <c r="AH670" t="n">
        <v>0</v>
      </c>
      <c r="AI670" t="n">
        <v>5.17</v>
      </c>
      <c r="AJ670" t="n">
        <v>1</v>
      </c>
      <c r="AK670" t="n">
        <v>1</v>
      </c>
      <c r="AL670" t="n">
        <v>1</v>
      </c>
      <c r="AM670" t="n">
        <v>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2e-05</v>
      </c>
      <c r="AU670" t="inlineStr">
        <is>
          <t>)*8</t>
        </is>
      </c>
      <c r="AV670" t="n">
        <v>0</v>
      </c>
      <c r="AW670" t="n">
        <v>2</v>
      </c>
      <c r="AX670" t="n">
        <v>78873081</v>
      </c>
      <c r="AY670" t="n">
        <v>1</v>
      </c>
      <c r="AZ670" t="n">
        <v>0</v>
      </c>
      <c r="BA670" t="n">
        <v>616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ROUND(Y670*Source!I1388,7)</f>
        <v/>
      </c>
      <c r="CY670">
        <f>AA670</f>
        <v/>
      </c>
      <c r="CZ670">
        <f>AE670</f>
        <v/>
      </c>
      <c r="DA670">
        <f>AI670</f>
        <v/>
      </c>
      <c r="DB670">
        <f>ROUND((ROUND(AT670*CZ670,2)*ROUND(8,7)),2)</f>
        <v/>
      </c>
      <c r="DC670">
        <f>ROUND((ROUND(AT670*AG670,2)*ROUND(8,7)),2)</f>
        <v/>
      </c>
      <c r="DD670" t="inlineStr"/>
      <c r="DE670" t="inlineStr"/>
      <c r="DF670">
        <f>ROUND(ROUND(AE670*AI670,0)*CX670,0)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ROW(Source!A1388)</f>
        <v/>
      </c>
      <c r="B671" t="n">
        <v>78869116</v>
      </c>
      <c r="C671" t="n">
        <v>78873071</v>
      </c>
      <c r="D671" t="n">
        <v>29107963</v>
      </c>
      <c r="E671" t="n">
        <v>1</v>
      </c>
      <c r="F671" t="n">
        <v>1</v>
      </c>
      <c r="G671" t="n">
        <v>1</v>
      </c>
      <c r="H671" t="n">
        <v>3</v>
      </c>
      <c r="I671" t="inlineStr">
        <is>
          <t>101-1669</t>
        </is>
      </c>
      <c r="J671" t="inlineStr">
        <is>
          <t>ТССЦ Московской обл., 101-1669, приказ Минстроя России №675/пр от 28.02.2017 № 254/пр</t>
        </is>
      </c>
      <c r="K671" t="inlineStr">
        <is>
          <t>Очес льняной</t>
        </is>
      </c>
      <c r="L671" t="n">
        <v>1346</v>
      </c>
      <c r="N671" t="n">
        <v>1009</v>
      </c>
      <c r="O671" t="inlineStr">
        <is>
          <t>кг</t>
        </is>
      </c>
      <c r="P671" t="inlineStr">
        <is>
          <t>кг</t>
        </is>
      </c>
      <c r="Q671" t="n">
        <v>1</v>
      </c>
      <c r="W671" t="n">
        <v>0</v>
      </c>
      <c r="X671" t="n">
        <v>-2113933962</v>
      </c>
      <c r="Y671">
        <f>(AT671*ROUND(8,7))</f>
        <v/>
      </c>
      <c r="AA671" t="n">
        <v>590.67</v>
      </c>
      <c r="AB671" t="n">
        <v>0</v>
      </c>
      <c r="AC671" t="n">
        <v>0</v>
      </c>
      <c r="AD671" t="n">
        <v>0</v>
      </c>
      <c r="AE671" t="n">
        <v>37.29</v>
      </c>
      <c r="AF671" t="n">
        <v>0</v>
      </c>
      <c r="AG671" t="n">
        <v>0</v>
      </c>
      <c r="AH671" t="n">
        <v>0</v>
      </c>
      <c r="AI671" t="n">
        <v>15.84</v>
      </c>
      <c r="AJ671" t="n">
        <v>1</v>
      </c>
      <c r="AK671" t="n">
        <v>1</v>
      </c>
      <c r="AL671" t="n">
        <v>1</v>
      </c>
      <c r="AM671" t="n">
        <v>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0.02</v>
      </c>
      <c r="AU671" t="inlineStr">
        <is>
          <t>)*8</t>
        </is>
      </c>
      <c r="AV671" t="n">
        <v>0</v>
      </c>
      <c r="AW671" t="n">
        <v>2</v>
      </c>
      <c r="AX671" t="n">
        <v>78873082</v>
      </c>
      <c r="AY671" t="n">
        <v>1</v>
      </c>
      <c r="AZ671" t="n">
        <v>0</v>
      </c>
      <c r="BA671" t="n">
        <v>617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V671" t="n">
        <v>0</v>
      </c>
      <c r="CW671" t="n">
        <v>0</v>
      </c>
      <c r="CX671">
        <f>ROUND(Y671*Source!I1388,7)</f>
        <v/>
      </c>
      <c r="CY671">
        <f>AA671</f>
        <v/>
      </c>
      <c r="CZ671">
        <f>AE671</f>
        <v/>
      </c>
      <c r="DA671">
        <f>AI671</f>
        <v/>
      </c>
      <c r="DB671">
        <f>ROUND((ROUND(AT671*CZ671,2)*ROUND(8,7)),2)</f>
        <v/>
      </c>
      <c r="DC671">
        <f>ROUND((ROUND(AT671*AG671,2)*ROUND(8,7)),2)</f>
        <v/>
      </c>
      <c r="DD671" t="inlineStr"/>
      <c r="DE671" t="inlineStr"/>
      <c r="DF671">
        <f>ROUND(ROUND(AE671*AI671,0)*CX671,0)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DF671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ROW(Source!A1388)</f>
        <v/>
      </c>
      <c r="B672" t="n">
        <v>78869116</v>
      </c>
      <c r="C672" t="n">
        <v>78873071</v>
      </c>
      <c r="D672" t="n">
        <v>29150040</v>
      </c>
      <c r="E672" t="n">
        <v>1</v>
      </c>
      <c r="F672" t="n">
        <v>1</v>
      </c>
      <c r="G672" t="n">
        <v>1</v>
      </c>
      <c r="H672" t="n">
        <v>3</v>
      </c>
      <c r="I672" t="inlineStr">
        <is>
          <t>411-0001</t>
        </is>
      </c>
      <c r="J672" t="inlineStr">
        <is>
          <t>ТССЦ Московской обл., 411-0001, приказ Минстроя России №675/пр от 28.02.2017 № 257/пр</t>
        </is>
      </c>
      <c r="K672" t="inlineStr">
        <is>
          <t>Вода</t>
        </is>
      </c>
      <c r="L672" t="n">
        <v>1339</v>
      </c>
      <c r="N672" t="n">
        <v>1007</v>
      </c>
      <c r="O672" t="inlineStr">
        <is>
          <t>м3</t>
        </is>
      </c>
      <c r="P672" t="inlineStr">
        <is>
          <t>м3</t>
        </is>
      </c>
      <c r="Q672" t="n">
        <v>1</v>
      </c>
      <c r="W672" t="n">
        <v>0</v>
      </c>
      <c r="X672" t="n">
        <v>619799737</v>
      </c>
      <c r="Y672">
        <f>(AT672*ROUND(8,7))</f>
        <v/>
      </c>
      <c r="AA672" t="n">
        <v>31.28</v>
      </c>
      <c r="AB672" t="n">
        <v>0</v>
      </c>
      <c r="AC672" t="n">
        <v>0</v>
      </c>
      <c r="AD672" t="n">
        <v>0</v>
      </c>
      <c r="AE672" t="n">
        <v>2.44</v>
      </c>
      <c r="AF672" t="n">
        <v>0</v>
      </c>
      <c r="AG672" t="n">
        <v>0</v>
      </c>
      <c r="AH672" t="n">
        <v>0</v>
      </c>
      <c r="AI672" t="n">
        <v>12.82</v>
      </c>
      <c r="AJ672" t="n">
        <v>1</v>
      </c>
      <c r="AK672" t="n">
        <v>1</v>
      </c>
      <c r="AL672" t="n">
        <v>1</v>
      </c>
      <c r="AM672" t="n">
        <v>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1</v>
      </c>
      <c r="AU672" t="inlineStr">
        <is>
          <t>)*8</t>
        </is>
      </c>
      <c r="AV672" t="n">
        <v>0</v>
      </c>
      <c r="AW672" t="n">
        <v>2</v>
      </c>
      <c r="AX672" t="n">
        <v>78873083</v>
      </c>
      <c r="AY672" t="n">
        <v>1</v>
      </c>
      <c r="AZ672" t="n">
        <v>0</v>
      </c>
      <c r="BA672" t="n">
        <v>618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ROUND(Y672*Source!I1388,7)</f>
        <v/>
      </c>
      <c r="CY672">
        <f>AA672</f>
        <v/>
      </c>
      <c r="CZ672">
        <f>AE672</f>
        <v/>
      </c>
      <c r="DA672">
        <f>AI672</f>
        <v/>
      </c>
      <c r="DB672">
        <f>ROUND((ROUND(AT672*CZ672,2)*ROUND(8,7)),2)</f>
        <v/>
      </c>
      <c r="DC672">
        <f>ROUND((ROUND(AT672*AG672,2)*ROUND(8,7)),2)</f>
        <v/>
      </c>
      <c r="DD672" t="inlineStr"/>
      <c r="DE672" t="inlineStr"/>
      <c r="DF672">
        <f>ROUND(ROUND(AE672*AI672,0)*CX672,0)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DF672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ROW(Source!A1427)</f>
        <v/>
      </c>
      <c r="B673" t="n">
        <v>78869116</v>
      </c>
      <c r="C673" t="n">
        <v>78873145</v>
      </c>
      <c r="D673" t="n">
        <v>18408291</v>
      </c>
      <c r="E673" t="n">
        <v>1</v>
      </c>
      <c r="F673" t="n">
        <v>1</v>
      </c>
      <c r="G673" t="n">
        <v>1</v>
      </c>
      <c r="H673" t="n">
        <v>1</v>
      </c>
      <c r="I673" t="inlineStr">
        <is>
          <t>1-1025-90</t>
        </is>
      </c>
      <c r="J673" t="inlineStr"/>
      <c r="K673" t="inlineStr">
        <is>
          <t>Рабочий строитель среднего разряда 2,5</t>
        </is>
      </c>
      <c r="L673" t="n">
        <v>1369</v>
      </c>
      <c r="N673" t="n">
        <v>1013</v>
      </c>
      <c r="O673" t="inlineStr">
        <is>
          <t>чел.-ч</t>
        </is>
      </c>
      <c r="P673" t="inlineStr">
        <is>
          <t>чел.-ч</t>
        </is>
      </c>
      <c r="Q673" t="n">
        <v>1</v>
      </c>
      <c r="W673" t="n">
        <v>0</v>
      </c>
      <c r="X673" t="n">
        <v>1933892413</v>
      </c>
      <c r="Y673">
        <f>AT673</f>
        <v/>
      </c>
      <c r="AA673" t="n">
        <v>0</v>
      </c>
      <c r="AB673" t="n">
        <v>0</v>
      </c>
      <c r="AC673" t="n">
        <v>0</v>
      </c>
      <c r="AD673" t="n">
        <v>8.17</v>
      </c>
      <c r="AE673" t="n">
        <v>0</v>
      </c>
      <c r="AF673" t="n">
        <v>0</v>
      </c>
      <c r="AG673" t="n">
        <v>0</v>
      </c>
      <c r="AH673" t="n">
        <v>8.17</v>
      </c>
      <c r="AI673" t="n">
        <v>1</v>
      </c>
      <c r="AJ673" t="n">
        <v>1</v>
      </c>
      <c r="AK673" t="n">
        <v>1</v>
      </c>
      <c r="AL673" t="n">
        <v>1</v>
      </c>
      <c r="AM673" t="n">
        <v>-2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32.2</v>
      </c>
      <c r="AU673" t="inlineStr"/>
      <c r="AV673" t="n">
        <v>1</v>
      </c>
      <c r="AW673" t="n">
        <v>2</v>
      </c>
      <c r="AX673" t="n">
        <v>78873151</v>
      </c>
      <c r="AY673" t="n">
        <v>1</v>
      </c>
      <c r="AZ673" t="n">
        <v>0</v>
      </c>
      <c r="BA673" t="n">
        <v>619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U673">
        <f>ROUND(AT673*Source!I1427*AH673*AL673,0)</f>
        <v/>
      </c>
      <c r="CV673">
        <f>ROUND(Y673*Source!I1427,7)</f>
        <v/>
      </c>
      <c r="CW673" t="n">
        <v>0</v>
      </c>
      <c r="CX673">
        <f>ROUND(Y673*Source!I1427,7)</f>
        <v/>
      </c>
      <c r="CY673">
        <f>AD673</f>
        <v/>
      </c>
      <c r="CZ673">
        <f>AH673</f>
        <v/>
      </c>
      <c r="DA673">
        <f>AL673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ROUND(ROUND(AF673,0)*CX673,0)</f>
        <v/>
      </c>
      <c r="DH673">
        <f>ROUND(ROUND(AG673,0)*CX673,0)</f>
        <v/>
      </c>
      <c r="DI673">
        <f>ROUND(ROUND(AH673,0)*CX673,0)</f>
        <v/>
      </c>
      <c r="DJ673">
        <f>DI673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ROW(Source!A1427)</f>
        <v/>
      </c>
      <c r="B674" t="n">
        <v>78869116</v>
      </c>
      <c r="C674" t="n">
        <v>78873145</v>
      </c>
      <c r="D674" t="n">
        <v>29174913</v>
      </c>
      <c r="E674" t="n">
        <v>1</v>
      </c>
      <c r="F674" t="n">
        <v>1</v>
      </c>
      <c r="G674" t="n">
        <v>1</v>
      </c>
      <c r="H674" t="n">
        <v>2</v>
      </c>
      <c r="I674" t="inlineStr">
        <is>
          <t>400001</t>
        </is>
      </c>
      <c r="J674" t="inlineStr">
        <is>
          <t>ТСЭМ Московской обл., 400001, приказ Минстроя России №675/пр от 28.02.2017 № 264/пр</t>
        </is>
      </c>
      <c r="K674" t="inlineStr">
        <is>
          <t>Автомобили бортовые, грузоподъемность до 5 т</t>
        </is>
      </c>
      <c r="L674" t="n">
        <v>1368</v>
      </c>
      <c r="N674" t="n">
        <v>1011</v>
      </c>
      <c r="O674" t="inlineStr">
        <is>
          <t>маш.-ч</t>
        </is>
      </c>
      <c r="P674" t="inlineStr">
        <is>
          <t>маш.-ч</t>
        </is>
      </c>
      <c r="Q674" t="n">
        <v>1</v>
      </c>
      <c r="W674" t="n">
        <v>0</v>
      </c>
      <c r="X674" t="n">
        <v>1230759911</v>
      </c>
      <c r="Y674">
        <f>AT674</f>
        <v/>
      </c>
      <c r="AA674" t="n">
        <v>0</v>
      </c>
      <c r="AB674" t="n">
        <v>2177.51</v>
      </c>
      <c r="AC674" t="n">
        <v>606.1</v>
      </c>
      <c r="AD674" t="n">
        <v>0</v>
      </c>
      <c r="AE674" t="n">
        <v>0</v>
      </c>
      <c r="AF674" t="n">
        <v>87.17</v>
      </c>
      <c r="AG674" t="n">
        <v>11.6</v>
      </c>
      <c r="AH674" t="n">
        <v>0</v>
      </c>
      <c r="AI674" t="n">
        <v>1</v>
      </c>
      <c r="AJ674" t="n">
        <v>24.98</v>
      </c>
      <c r="AK674" t="n">
        <v>52.25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0.01</v>
      </c>
      <c r="AU674" t="inlineStr"/>
      <c r="AV674" t="n">
        <v>0</v>
      </c>
      <c r="AW674" t="n">
        <v>2</v>
      </c>
      <c r="AX674" t="n">
        <v>78873152</v>
      </c>
      <c r="AY674" t="n">
        <v>1</v>
      </c>
      <c r="AZ674" t="n">
        <v>0</v>
      </c>
      <c r="BA674" t="n">
        <v>620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>
        <f>ROUND(Y674*Source!I1427*DO674,7)</f>
        <v/>
      </c>
      <c r="CX674">
        <f>ROUND(Y674*Source!I1427,7)</f>
        <v/>
      </c>
      <c r="CY674">
        <f>AB674</f>
        <v/>
      </c>
      <c r="CZ674">
        <f>AF674</f>
        <v/>
      </c>
      <c r="DA674">
        <f>AJ674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ROUND(ROUND(AE674,0)*CX674,0)</f>
        <v/>
      </c>
      <c r="DG674">
        <f>ROUND(ROUND(AF674*AJ674,0)*CX674,0)</f>
        <v/>
      </c>
      <c r="DH674">
        <f>ROUND(ROUND(AG674*AK674,0)*CX674,0)</f>
        <v/>
      </c>
      <c r="DI674">
        <f>ROUND(ROUND(AH674,0)*CX674,0)</f>
        <v/>
      </c>
      <c r="DJ674">
        <f>DG674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ROW(Source!A1427)</f>
        <v/>
      </c>
      <c r="B675" t="n">
        <v>78869116</v>
      </c>
      <c r="C675" t="n">
        <v>78873145</v>
      </c>
      <c r="D675" t="n">
        <v>29110139</v>
      </c>
      <c r="E675" t="n">
        <v>1</v>
      </c>
      <c r="F675" t="n">
        <v>1</v>
      </c>
      <c r="G675" t="n">
        <v>1</v>
      </c>
      <c r="H675" t="n">
        <v>3</v>
      </c>
      <c r="I675" t="inlineStr">
        <is>
          <t>101-1703</t>
        </is>
      </c>
      <c r="J675" t="inlineStr">
        <is>
          <t>ТССЦ Московской обл., 101-1703, приказ Минстроя России №675/пр от 28.02.2017 № 254/пр</t>
        </is>
      </c>
      <c r="K675" t="inlineStr">
        <is>
          <t>Прокладки резиновые (пластина техническая прессованная)</t>
        </is>
      </c>
      <c r="L675" t="n">
        <v>1346</v>
      </c>
      <c r="N675" t="n">
        <v>1009</v>
      </c>
      <c r="O675" t="inlineStr">
        <is>
          <t>кг</t>
        </is>
      </c>
      <c r="P675" t="inlineStr">
        <is>
          <t>кг</t>
        </is>
      </c>
      <c r="Q675" t="n">
        <v>1</v>
      </c>
      <c r="W675" t="n">
        <v>0</v>
      </c>
      <c r="X675" t="n">
        <v>-1947909329</v>
      </c>
      <c r="Y675">
        <f>AT675</f>
        <v/>
      </c>
      <c r="AA675" t="n">
        <v>341.04</v>
      </c>
      <c r="AB675" t="n">
        <v>0</v>
      </c>
      <c r="AC675" t="n">
        <v>0</v>
      </c>
      <c r="AD675" t="n">
        <v>0</v>
      </c>
      <c r="AE675" t="n">
        <v>23.09</v>
      </c>
      <c r="AF675" t="n">
        <v>0</v>
      </c>
      <c r="AG675" t="n">
        <v>0</v>
      </c>
      <c r="AH675" t="n">
        <v>0</v>
      </c>
      <c r="AI675" t="n">
        <v>14.77</v>
      </c>
      <c r="AJ675" t="n">
        <v>1</v>
      </c>
      <c r="AK675" t="n">
        <v>1</v>
      </c>
      <c r="AL675" t="n">
        <v>1</v>
      </c>
      <c r="AM675" t="n">
        <v>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2</v>
      </c>
      <c r="AU675" t="inlineStr"/>
      <c r="AV675" t="n">
        <v>0</v>
      </c>
      <c r="AW675" t="n">
        <v>2</v>
      </c>
      <c r="AX675" t="n">
        <v>78873153</v>
      </c>
      <c r="AY675" t="n">
        <v>1</v>
      </c>
      <c r="AZ675" t="n">
        <v>0</v>
      </c>
      <c r="BA675" t="n">
        <v>621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V675" t="n">
        <v>0</v>
      </c>
      <c r="CW675" t="n">
        <v>0</v>
      </c>
      <c r="CX675">
        <f>ROUND(Y675*Source!I1427,7)</f>
        <v/>
      </c>
      <c r="CY675">
        <f>AA675</f>
        <v/>
      </c>
      <c r="CZ675">
        <f>AE675</f>
        <v/>
      </c>
      <c r="DA675">
        <f>AI675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ROUND(ROUND(AE675*AI675,0)*CX675,0)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DF675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ROW(Source!A1427)</f>
        <v/>
      </c>
      <c r="B676" t="n">
        <v>78869116</v>
      </c>
      <c r="C676" t="n">
        <v>78873145</v>
      </c>
      <c r="D676" t="n">
        <v>29114240</v>
      </c>
      <c r="E676" t="n">
        <v>1</v>
      </c>
      <c r="F676" t="n">
        <v>1</v>
      </c>
      <c r="G676" t="n">
        <v>1</v>
      </c>
      <c r="H676" t="n">
        <v>3</v>
      </c>
      <c r="I676" t="inlineStr">
        <is>
          <t>101-2576</t>
        </is>
      </c>
      <c r="J676" t="inlineStr">
        <is>
          <t>ТССЦ Московской обл., 101-2576, приказ Минстроя России №675/пр от 28.02.2017 № 254/пр</t>
        </is>
      </c>
      <c r="K676" t="inlineStr">
        <is>
          <t>Болты с гайками и шайбами для санитарно-технических работ диаметром 16 мм</t>
        </is>
      </c>
      <c r="L676" t="n">
        <v>1348</v>
      </c>
      <c r="N676" t="n">
        <v>1009</v>
      </c>
      <c r="O676" t="inlineStr">
        <is>
          <t>т</t>
        </is>
      </c>
      <c r="P676" t="inlineStr">
        <is>
          <t>т</t>
        </is>
      </c>
      <c r="Q676" t="n">
        <v>1000</v>
      </c>
      <c r="W676" t="n">
        <v>0</v>
      </c>
      <c r="X676" t="n">
        <v>-1701539228</v>
      </c>
      <c r="Y676">
        <f>AT676</f>
        <v/>
      </c>
      <c r="AA676" t="n">
        <v>145037.4</v>
      </c>
      <c r="AB676" t="n">
        <v>0</v>
      </c>
      <c r="AC676" t="n">
        <v>0</v>
      </c>
      <c r="AD676" t="n">
        <v>0</v>
      </c>
      <c r="AE676" t="n">
        <v>14830</v>
      </c>
      <c r="AF676" t="n">
        <v>0</v>
      </c>
      <c r="AG676" t="n">
        <v>0</v>
      </c>
      <c r="AH676" t="n">
        <v>0</v>
      </c>
      <c r="AI676" t="n">
        <v>9.779999999999999</v>
      </c>
      <c r="AJ676" t="n">
        <v>1</v>
      </c>
      <c r="AK676" t="n">
        <v>1</v>
      </c>
      <c r="AL676" t="n">
        <v>1</v>
      </c>
      <c r="AM676" t="n">
        <v>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0.005</v>
      </c>
      <c r="AU676" t="inlineStr"/>
      <c r="AV676" t="n">
        <v>0</v>
      </c>
      <c r="AW676" t="n">
        <v>2</v>
      </c>
      <c r="AX676" t="n">
        <v>78873154</v>
      </c>
      <c r="AY676" t="n">
        <v>1</v>
      </c>
      <c r="AZ676" t="n">
        <v>0</v>
      </c>
      <c r="BA676" t="n">
        <v>622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ROUND(Y676*Source!I1427,7)</f>
        <v/>
      </c>
      <c r="CY676">
        <f>AA676</f>
        <v/>
      </c>
      <c r="CZ676">
        <f>AE676</f>
        <v/>
      </c>
      <c r="DA676">
        <f>AI676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ROUND(ROUND(AE676*AI676,0)*CX676,0)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DF676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ROW(Source!A1427)</f>
        <v/>
      </c>
      <c r="B677" t="n">
        <v>78869116</v>
      </c>
      <c r="C677" t="n">
        <v>78873145</v>
      </c>
      <c r="D677" t="n">
        <v>29150040</v>
      </c>
      <c r="E677" t="n">
        <v>1</v>
      </c>
      <c r="F677" t="n">
        <v>1</v>
      </c>
      <c r="G677" t="n">
        <v>1</v>
      </c>
      <c r="H677" t="n">
        <v>3</v>
      </c>
      <c r="I677" t="inlineStr">
        <is>
          <t>411-0001</t>
        </is>
      </c>
      <c r="J677" t="inlineStr">
        <is>
          <t>ТССЦ Московской обл., 411-0001, приказ Минстроя России №675/пр от 28.02.2017 № 257/пр</t>
        </is>
      </c>
      <c r="K677" t="inlineStr">
        <is>
          <t>Вода</t>
        </is>
      </c>
      <c r="L677" t="n">
        <v>1339</v>
      </c>
      <c r="N677" t="n">
        <v>1007</v>
      </c>
      <c r="O677" t="inlineStr">
        <is>
          <t>м3</t>
        </is>
      </c>
      <c r="P677" t="inlineStr">
        <is>
          <t>м3</t>
        </is>
      </c>
      <c r="Q677" t="n">
        <v>1</v>
      </c>
      <c r="W677" t="n">
        <v>0</v>
      </c>
      <c r="X677" t="n">
        <v>619799737</v>
      </c>
      <c r="Y677">
        <f>AT677</f>
        <v/>
      </c>
      <c r="AA677" t="n">
        <v>31.28</v>
      </c>
      <c r="AB677" t="n">
        <v>0</v>
      </c>
      <c r="AC677" t="n">
        <v>0</v>
      </c>
      <c r="AD677" t="n">
        <v>0</v>
      </c>
      <c r="AE677" t="n">
        <v>2.44</v>
      </c>
      <c r="AF677" t="n">
        <v>0</v>
      </c>
      <c r="AG677" t="n">
        <v>0</v>
      </c>
      <c r="AH677" t="n">
        <v>0</v>
      </c>
      <c r="AI677" t="n">
        <v>12.82</v>
      </c>
      <c r="AJ677" t="n">
        <v>1</v>
      </c>
      <c r="AK677" t="n">
        <v>1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7.8</v>
      </c>
      <c r="AU677" t="inlineStr"/>
      <c r="AV677" t="n">
        <v>0</v>
      </c>
      <c r="AW677" t="n">
        <v>2</v>
      </c>
      <c r="AX677" t="n">
        <v>78873155</v>
      </c>
      <c r="AY677" t="n">
        <v>1</v>
      </c>
      <c r="AZ677" t="n">
        <v>0</v>
      </c>
      <c r="BA677" t="n">
        <v>623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 t="n">
        <v>0</v>
      </c>
      <c r="CX677">
        <f>ROUND(Y677*Source!I1427,7)</f>
        <v/>
      </c>
      <c r="CY677">
        <f>AA677</f>
        <v/>
      </c>
      <c r="CZ677">
        <f>AE677</f>
        <v/>
      </c>
      <c r="DA677">
        <f>AI677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ROUND(ROUND(AE677*AI677,0)*CX677,0)</f>
        <v/>
      </c>
      <c r="DG677">
        <f>ROUND(ROUND(AF677,0)*CX677,0)</f>
        <v/>
      </c>
      <c r="DH677">
        <f>ROUND(ROUND(AG677,0)*CX677,0)</f>
        <v/>
      </c>
      <c r="DI677">
        <f>ROUND(ROUND(AH677,0)*CX677,0)</f>
        <v/>
      </c>
      <c r="DJ677">
        <f>DF677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ROW(Source!A1428)</f>
        <v/>
      </c>
      <c r="B678" t="n">
        <v>78869116</v>
      </c>
      <c r="C678" t="n">
        <v>78873163</v>
      </c>
      <c r="D678" t="n">
        <v>18442827</v>
      </c>
      <c r="E678" t="n">
        <v>1</v>
      </c>
      <c r="F678" t="n">
        <v>1</v>
      </c>
      <c r="G678" t="n">
        <v>1</v>
      </c>
      <c r="H678" t="n">
        <v>1</v>
      </c>
      <c r="I678" t="inlineStr">
        <is>
          <t>1-1053-90</t>
        </is>
      </c>
      <c r="J678" t="inlineStr"/>
      <c r="K678" t="inlineStr">
        <is>
          <t>Рабочий строитель среднего разряда 5,3</t>
        </is>
      </c>
      <c r="L678" t="n">
        <v>1369</v>
      </c>
      <c r="N678" t="n">
        <v>1013</v>
      </c>
      <c r="O678" t="inlineStr">
        <is>
          <t>чел.-ч</t>
        </is>
      </c>
      <c r="P678" t="inlineStr">
        <is>
          <t>чел.-ч</t>
        </is>
      </c>
      <c r="Q678" t="n">
        <v>1</v>
      </c>
      <c r="W678" t="n">
        <v>0</v>
      </c>
      <c r="X678" t="n">
        <v>717490484</v>
      </c>
      <c r="Y678">
        <f>(AT678*ROUND(7,7))</f>
        <v/>
      </c>
      <c r="AA678" t="n">
        <v>0</v>
      </c>
      <c r="AB678" t="n">
        <v>0</v>
      </c>
      <c r="AC678" t="n">
        <v>0</v>
      </c>
      <c r="AD678" t="n">
        <v>11.64</v>
      </c>
      <c r="AE678" t="n">
        <v>0</v>
      </c>
      <c r="AF678" t="n">
        <v>0</v>
      </c>
      <c r="AG678" t="n">
        <v>0</v>
      </c>
      <c r="AH678" t="n">
        <v>11.64</v>
      </c>
      <c r="AI678" t="n">
        <v>1</v>
      </c>
      <c r="AJ678" t="n">
        <v>1</v>
      </c>
      <c r="AK678" t="n">
        <v>1</v>
      </c>
      <c r="AL678" t="n">
        <v>1</v>
      </c>
      <c r="AM678" t="n">
        <v>-2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5.01</v>
      </c>
      <c r="AU678" t="inlineStr">
        <is>
          <t>)*7</t>
        </is>
      </c>
      <c r="AV678" t="n">
        <v>1</v>
      </c>
      <c r="AW678" t="n">
        <v>2</v>
      </c>
      <c r="AX678" t="n">
        <v>78873170</v>
      </c>
      <c r="AY678" t="n">
        <v>1</v>
      </c>
      <c r="AZ678" t="n">
        <v>0</v>
      </c>
      <c r="BA678" t="n">
        <v>624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U678">
        <f>ROUND(AT678*Source!I1428*AH678*AL678,0)</f>
        <v/>
      </c>
      <c r="CV678">
        <f>ROUND(Y678*Source!I1428,7)</f>
        <v/>
      </c>
      <c r="CW678" t="n">
        <v>0</v>
      </c>
      <c r="CX678">
        <f>ROUND(Y678*Source!I1428,7)</f>
        <v/>
      </c>
      <c r="CY678">
        <f>AD678</f>
        <v/>
      </c>
      <c r="CZ678">
        <f>AH678</f>
        <v/>
      </c>
      <c r="DA678">
        <f>AL678</f>
        <v/>
      </c>
      <c r="DB678">
        <f>ROUND((ROUND(AT678*CZ678,2)*ROUND(7,7)),2)</f>
        <v/>
      </c>
      <c r="DC678">
        <f>ROUND((ROUND(AT678*AG678,2)*ROUND(7,7)),2)</f>
        <v/>
      </c>
      <c r="DD678" t="inlineStr"/>
      <c r="DE678" t="inlineStr"/>
      <c r="DF678">
        <f>ROUND(ROUND(AE678,0)*CX678,0)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DI678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ROW(Source!A1428)</f>
        <v/>
      </c>
      <c r="B679" t="n">
        <v>78869116</v>
      </c>
      <c r="C679" t="n">
        <v>78873163</v>
      </c>
      <c r="D679" t="n">
        <v>29172703</v>
      </c>
      <c r="E679" t="n">
        <v>1</v>
      </c>
      <c r="F679" t="n">
        <v>1</v>
      </c>
      <c r="G679" t="n">
        <v>1</v>
      </c>
      <c r="H679" t="n">
        <v>2</v>
      </c>
      <c r="I679" t="inlineStr">
        <is>
          <t>042900</t>
        </is>
      </c>
      <c r="J679" t="inlineStr">
        <is>
          <t>ТСЭМ Московской обл., 042900, приказ Минстроя России №675/пр от 28.02.2017 № 264/пр</t>
        </is>
      </c>
      <c r="K67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79" t="n">
        <v>1368</v>
      </c>
      <c r="N679" t="n">
        <v>1011</v>
      </c>
      <c r="O679" t="inlineStr">
        <is>
          <t>маш.-ч</t>
        </is>
      </c>
      <c r="P679" t="inlineStr">
        <is>
          <t>маш.-ч</t>
        </is>
      </c>
      <c r="Q679" t="n">
        <v>1</v>
      </c>
      <c r="W679" t="n">
        <v>0</v>
      </c>
      <c r="X679" t="n">
        <v>1695838894</v>
      </c>
      <c r="Y679">
        <f>(AT679*ROUND(7,7))</f>
        <v/>
      </c>
      <c r="AA679" t="n">
        <v>0</v>
      </c>
      <c r="AB679" t="n">
        <v>177.13</v>
      </c>
      <c r="AC679" t="n">
        <v>0</v>
      </c>
      <c r="AD679" t="n">
        <v>0</v>
      </c>
      <c r="AE679" t="n">
        <v>0</v>
      </c>
      <c r="AF679" t="n">
        <v>29.67</v>
      </c>
      <c r="AG679" t="n">
        <v>0</v>
      </c>
      <c r="AH679" t="n">
        <v>0</v>
      </c>
      <c r="AI679" t="n">
        <v>1</v>
      </c>
      <c r="AJ679" t="n">
        <v>5.97</v>
      </c>
      <c r="AK679" t="n">
        <v>52.25</v>
      </c>
      <c r="AL679" t="n">
        <v>1</v>
      </c>
      <c r="AM679" t="n">
        <v>2</v>
      </c>
      <c r="AN679" t="n">
        <v>0</v>
      </c>
      <c r="AO679" t="n">
        <v>1</v>
      </c>
      <c r="AP679" t="n">
        <v>1</v>
      </c>
      <c r="AQ679" t="n">
        <v>0</v>
      </c>
      <c r="AR679" t="n">
        <v>0</v>
      </c>
      <c r="AS679" t="inlineStr"/>
      <c r="AT679" t="n">
        <v>1.5</v>
      </c>
      <c r="AU679" t="inlineStr">
        <is>
          <t>)*7</t>
        </is>
      </c>
      <c r="AV679" t="n">
        <v>0</v>
      </c>
      <c r="AW679" t="n">
        <v>2</v>
      </c>
      <c r="AX679" t="n">
        <v>78873171</v>
      </c>
      <c r="AY679" t="n">
        <v>1</v>
      </c>
      <c r="AZ679" t="n">
        <v>0</v>
      </c>
      <c r="BA679" t="n">
        <v>625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V679" t="n">
        <v>0</v>
      </c>
      <c r="CW679">
        <f>ROUND(Y679*Source!I1428*DO679,7)</f>
        <v/>
      </c>
      <c r="CX679">
        <f>ROUND(Y679*Source!I1428,7)</f>
        <v/>
      </c>
      <c r="CY679">
        <f>AB679</f>
        <v/>
      </c>
      <c r="CZ679">
        <f>AF679</f>
        <v/>
      </c>
      <c r="DA679">
        <f>AJ679</f>
        <v/>
      </c>
      <c r="DB679">
        <f>ROUND((ROUND(AT679*CZ679,2)*ROUND(7,7)),2)</f>
        <v/>
      </c>
      <c r="DC679">
        <f>ROUND((ROUND(AT679*AG679,2)*ROUND(7,7)),2)</f>
        <v/>
      </c>
      <c r="DD679" t="inlineStr"/>
      <c r="DE679" t="inlineStr"/>
      <c r="DF679">
        <f>ROUND(ROUND(AE679,0)*CX679,0)</f>
        <v/>
      </c>
      <c r="DG679">
        <f>ROUND(ROUND(AF679*AJ679,0)*CX679,0)</f>
        <v/>
      </c>
      <c r="DH679">
        <f>ROUND(ROUND(AG679*AK679,0)*CX679,0)</f>
        <v/>
      </c>
      <c r="DI679">
        <f>ROUND(ROUND(AH679,0)*CX679,0)</f>
        <v/>
      </c>
      <c r="DJ679">
        <f>DG679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ROW(Source!A1428)</f>
        <v/>
      </c>
      <c r="B680" t="n">
        <v>78869116</v>
      </c>
      <c r="C680" t="n">
        <v>78873163</v>
      </c>
      <c r="D680" t="n">
        <v>29110398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101-0388</t>
        </is>
      </c>
      <c r="J680" t="inlineStr">
        <is>
          <t>ТССЦ Московской обл., 101-0388, приказ Минстроя России №675/пр от 28.02.2017 № 254/пр</t>
        </is>
      </c>
      <c r="K680" t="inlineStr">
        <is>
          <t>Краски масляные земляные марки МА-0115 мумия, сурик железный</t>
        </is>
      </c>
      <c r="L680" t="n">
        <v>1348</v>
      </c>
      <c r="N680" t="n">
        <v>1009</v>
      </c>
      <c r="O680" t="inlineStr">
        <is>
          <t>т</t>
        </is>
      </c>
      <c r="P680" t="inlineStr">
        <is>
          <t>т</t>
        </is>
      </c>
      <c r="Q680" t="n">
        <v>1000</v>
      </c>
      <c r="W680" t="n">
        <v>0</v>
      </c>
      <c r="X680" t="n">
        <v>1625292450</v>
      </c>
      <c r="Y680">
        <f>(AT680*ROUND(7,7))</f>
        <v/>
      </c>
      <c r="AA680" t="n">
        <v>76804.47</v>
      </c>
      <c r="AB680" t="n">
        <v>0</v>
      </c>
      <c r="AC680" t="n">
        <v>0</v>
      </c>
      <c r="AD680" t="n">
        <v>0</v>
      </c>
      <c r="AE680" t="n">
        <v>15118.99</v>
      </c>
      <c r="AF680" t="n">
        <v>0</v>
      </c>
      <c r="AG680" t="n">
        <v>0</v>
      </c>
      <c r="AH680" t="n">
        <v>0</v>
      </c>
      <c r="AI680" t="n">
        <v>5.08</v>
      </c>
      <c r="AJ680" t="n">
        <v>1</v>
      </c>
      <c r="AK680" t="n">
        <v>1</v>
      </c>
      <c r="AL680" t="n">
        <v>1</v>
      </c>
      <c r="AM680" t="n">
        <v>2</v>
      </c>
      <c r="AN680" t="n">
        <v>0</v>
      </c>
      <c r="AO680" t="n">
        <v>1</v>
      </c>
      <c r="AP680" t="n">
        <v>1</v>
      </c>
      <c r="AQ680" t="n">
        <v>0</v>
      </c>
      <c r="AR680" t="n">
        <v>0</v>
      </c>
      <c r="AS680" t="inlineStr"/>
      <c r="AT680" t="n">
        <v>5e-05</v>
      </c>
      <c r="AU680" t="inlineStr">
        <is>
          <t>)*7</t>
        </is>
      </c>
      <c r="AV680" t="n">
        <v>0</v>
      </c>
      <c r="AW680" t="n">
        <v>2</v>
      </c>
      <c r="AX680" t="n">
        <v>78873172</v>
      </c>
      <c r="AY680" t="n">
        <v>1</v>
      </c>
      <c r="AZ680" t="n">
        <v>0</v>
      </c>
      <c r="BA680" t="n">
        <v>626</v>
      </c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ROUND(Y680*Source!I1428,7)</f>
        <v/>
      </c>
      <c r="CY680">
        <f>AA680</f>
        <v/>
      </c>
      <c r="CZ680">
        <f>AE680</f>
        <v/>
      </c>
      <c r="DA680">
        <f>AI680</f>
        <v/>
      </c>
      <c r="DB680">
        <f>ROUND((ROUND(AT680*CZ680,2)*ROUND(7,7)),2)</f>
        <v/>
      </c>
      <c r="DC680">
        <f>ROUND((ROUND(AT680*AG680,2)*ROUND(7,7)),2)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ROW(Source!A1428)</f>
        <v/>
      </c>
      <c r="B681" t="n">
        <v>78869116</v>
      </c>
      <c r="C681" t="n">
        <v>78873163</v>
      </c>
      <c r="D681" t="n">
        <v>29110573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101-0628</t>
        </is>
      </c>
      <c r="J681" t="inlineStr">
        <is>
          <t>ТССЦ Московской обл., 101-0628, приказ Минстроя России №675/пр от 28.02.2017 № 254/пр</t>
        </is>
      </c>
      <c r="K681" t="inlineStr">
        <is>
          <t>Олифа комбинированная, марки К-3</t>
        </is>
      </c>
      <c r="L681" t="n">
        <v>1348</v>
      </c>
      <c r="N681" t="n">
        <v>1009</v>
      </c>
      <c r="O681" t="inlineStr">
        <is>
          <t>т</t>
        </is>
      </c>
      <c r="P681" t="inlineStr">
        <is>
          <t>т</t>
        </is>
      </c>
      <c r="Q681" t="n">
        <v>1000</v>
      </c>
      <c r="W681" t="n">
        <v>0</v>
      </c>
      <c r="X681" t="n">
        <v>24062879</v>
      </c>
      <c r="Y681">
        <f>(AT681*ROUND(7,7))</f>
        <v/>
      </c>
      <c r="AA681" t="n">
        <v>87631.5</v>
      </c>
      <c r="AB681" t="n">
        <v>0</v>
      </c>
      <c r="AC681" t="n">
        <v>0</v>
      </c>
      <c r="AD681" t="n">
        <v>0</v>
      </c>
      <c r="AE681" t="n">
        <v>16950</v>
      </c>
      <c r="AF681" t="n">
        <v>0</v>
      </c>
      <c r="AG681" t="n">
        <v>0</v>
      </c>
      <c r="AH681" t="n">
        <v>0</v>
      </c>
      <c r="AI681" t="n">
        <v>5.17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1</v>
      </c>
      <c r="AQ681" t="n">
        <v>0</v>
      </c>
      <c r="AR681" t="n">
        <v>0</v>
      </c>
      <c r="AS681" t="inlineStr"/>
      <c r="AT681" t="n">
        <v>2e-05</v>
      </c>
      <c r="AU681" t="inlineStr">
        <is>
          <t>)*7</t>
        </is>
      </c>
      <c r="AV681" t="n">
        <v>0</v>
      </c>
      <c r="AW681" t="n">
        <v>2</v>
      </c>
      <c r="AX681" t="n">
        <v>78873173</v>
      </c>
      <c r="AY681" t="n">
        <v>1</v>
      </c>
      <c r="AZ681" t="n">
        <v>2048</v>
      </c>
      <c r="BA681" t="n">
        <v>627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ROUND(Y681*Source!I1428,7)</f>
        <v/>
      </c>
      <c r="CY681">
        <f>AA681</f>
        <v/>
      </c>
      <c r="CZ681">
        <f>AE681</f>
        <v/>
      </c>
      <c r="DA681">
        <f>AI681</f>
        <v/>
      </c>
      <c r="DB681">
        <f>ROUND((ROUND(AT681*CZ681,2)*ROUND(7,7)),2)</f>
        <v/>
      </c>
      <c r="DC681">
        <f>ROUND((ROUND(AT681*AG681,2)*ROUND(7,7)),2)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ROW(Source!A1428)</f>
        <v/>
      </c>
      <c r="B682" t="n">
        <v>78869116</v>
      </c>
      <c r="C682" t="n">
        <v>78873163</v>
      </c>
      <c r="D682" t="n">
        <v>29107963</v>
      </c>
      <c r="E682" t="n">
        <v>1</v>
      </c>
      <c r="F682" t="n">
        <v>1</v>
      </c>
      <c r="G682" t="n">
        <v>1</v>
      </c>
      <c r="H682" t="n">
        <v>3</v>
      </c>
      <c r="I682" t="inlineStr">
        <is>
          <t>101-1669</t>
        </is>
      </c>
      <c r="J682" t="inlineStr">
        <is>
          <t>ТССЦ Московской обл., 101-1669, приказ Минстроя России №675/пр от 28.02.2017 № 254/пр</t>
        </is>
      </c>
      <c r="K682" t="inlineStr">
        <is>
          <t>Очес льняной</t>
        </is>
      </c>
      <c r="L682" t="n">
        <v>1346</v>
      </c>
      <c r="N682" t="n">
        <v>1009</v>
      </c>
      <c r="O682" t="inlineStr">
        <is>
          <t>кг</t>
        </is>
      </c>
      <c r="P682" t="inlineStr">
        <is>
          <t>кг</t>
        </is>
      </c>
      <c r="Q682" t="n">
        <v>1</v>
      </c>
      <c r="W682" t="n">
        <v>0</v>
      </c>
      <c r="X682" t="n">
        <v>-2113933962</v>
      </c>
      <c r="Y682">
        <f>(AT682*ROUND(7,7))</f>
        <v/>
      </c>
      <c r="AA682" t="n">
        <v>590.67</v>
      </c>
      <c r="AB682" t="n">
        <v>0</v>
      </c>
      <c r="AC682" t="n">
        <v>0</v>
      </c>
      <c r="AD682" t="n">
        <v>0</v>
      </c>
      <c r="AE682" t="n">
        <v>37.29</v>
      </c>
      <c r="AF682" t="n">
        <v>0</v>
      </c>
      <c r="AG682" t="n">
        <v>0</v>
      </c>
      <c r="AH682" t="n">
        <v>0</v>
      </c>
      <c r="AI682" t="n">
        <v>15.84</v>
      </c>
      <c r="AJ682" t="n">
        <v>1</v>
      </c>
      <c r="AK682" t="n">
        <v>1</v>
      </c>
      <c r="AL682" t="n">
        <v>1</v>
      </c>
      <c r="AM682" t="n">
        <v>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0.02</v>
      </c>
      <c r="AU682" t="inlineStr">
        <is>
          <t>)*7</t>
        </is>
      </c>
      <c r="AV682" t="n">
        <v>0</v>
      </c>
      <c r="AW682" t="n">
        <v>2</v>
      </c>
      <c r="AX682" t="n">
        <v>78873174</v>
      </c>
      <c r="AY682" t="n">
        <v>1</v>
      </c>
      <c r="AZ682" t="n">
        <v>0</v>
      </c>
      <c r="BA682" t="n">
        <v>628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V682" t="n">
        <v>0</v>
      </c>
      <c r="CW682" t="n">
        <v>0</v>
      </c>
      <c r="CX682">
        <f>ROUND(Y682*Source!I1428,7)</f>
        <v/>
      </c>
      <c r="CY682">
        <f>AA682</f>
        <v/>
      </c>
      <c r="CZ682">
        <f>AE682</f>
        <v/>
      </c>
      <c r="DA682">
        <f>AI682</f>
        <v/>
      </c>
      <c r="DB682">
        <f>ROUND((ROUND(AT682*CZ682,2)*ROUND(7,7)),2)</f>
        <v/>
      </c>
      <c r="DC682">
        <f>ROUND((ROUND(AT682*AG682,2)*ROUND(7,7)),2)</f>
        <v/>
      </c>
      <c r="DD682" t="inlineStr"/>
      <c r="DE682" t="inlineStr"/>
      <c r="DF682">
        <f>ROUND(ROUND(AE682*AI682,0)*CX682,0)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DF682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ROW(Source!A1428)</f>
        <v/>
      </c>
      <c r="B683" t="n">
        <v>78869116</v>
      </c>
      <c r="C683" t="n">
        <v>78873163</v>
      </c>
      <c r="D683" t="n">
        <v>29150040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411-0001</t>
        </is>
      </c>
      <c r="J683" t="inlineStr">
        <is>
          <t>ТССЦ Московской обл., 411-0001, приказ Минстроя России №675/пр от 28.02.2017 № 257/пр</t>
        </is>
      </c>
      <c r="K683" t="inlineStr">
        <is>
          <t>Вода</t>
        </is>
      </c>
      <c r="L683" t="n">
        <v>1339</v>
      </c>
      <c r="N683" t="n">
        <v>1007</v>
      </c>
      <c r="O683" t="inlineStr">
        <is>
          <t>м3</t>
        </is>
      </c>
      <c r="P683" t="inlineStr">
        <is>
          <t>м3</t>
        </is>
      </c>
      <c r="Q683" t="n">
        <v>1</v>
      </c>
      <c r="W683" t="n">
        <v>0</v>
      </c>
      <c r="X683" t="n">
        <v>619799737</v>
      </c>
      <c r="Y683">
        <f>(AT683*ROUND(7,7))</f>
        <v/>
      </c>
      <c r="AA683" t="n">
        <v>31.28</v>
      </c>
      <c r="AB683" t="n">
        <v>0</v>
      </c>
      <c r="AC683" t="n">
        <v>0</v>
      </c>
      <c r="AD683" t="n">
        <v>0</v>
      </c>
      <c r="AE683" t="n">
        <v>2.44</v>
      </c>
      <c r="AF683" t="n">
        <v>0</v>
      </c>
      <c r="AG683" t="n">
        <v>0</v>
      </c>
      <c r="AH683" t="n">
        <v>0</v>
      </c>
      <c r="AI683" t="n">
        <v>12.82</v>
      </c>
      <c r="AJ683" t="n">
        <v>1</v>
      </c>
      <c r="AK683" t="n">
        <v>1</v>
      </c>
      <c r="AL683" t="n">
        <v>1</v>
      </c>
      <c r="AM683" t="n">
        <v>2</v>
      </c>
      <c r="AN683" t="n">
        <v>0</v>
      </c>
      <c r="AO683" t="n">
        <v>1</v>
      </c>
      <c r="AP683" t="n">
        <v>1</v>
      </c>
      <c r="AQ683" t="n">
        <v>0</v>
      </c>
      <c r="AR683" t="n">
        <v>0</v>
      </c>
      <c r="AS683" t="inlineStr"/>
      <c r="AT683" t="n">
        <v>1</v>
      </c>
      <c r="AU683" t="inlineStr">
        <is>
          <t>)*7</t>
        </is>
      </c>
      <c r="AV683" t="n">
        <v>0</v>
      </c>
      <c r="AW683" t="n">
        <v>2</v>
      </c>
      <c r="AX683" t="n">
        <v>78873175</v>
      </c>
      <c r="AY683" t="n">
        <v>1</v>
      </c>
      <c r="AZ683" t="n">
        <v>0</v>
      </c>
      <c r="BA683" t="n">
        <v>629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ROUND(Y683*Source!I1428,7)</f>
        <v/>
      </c>
      <c r="CY683">
        <f>AA683</f>
        <v/>
      </c>
      <c r="CZ683">
        <f>AE683</f>
        <v/>
      </c>
      <c r="DA683">
        <f>AI683</f>
        <v/>
      </c>
      <c r="DB683">
        <f>ROUND((ROUND(AT683*CZ683,2)*ROUND(7,7)),2)</f>
        <v/>
      </c>
      <c r="DC683">
        <f>ROUND((ROUND(AT683*AG683,2)*ROUND(7,7)),2)</f>
        <v/>
      </c>
      <c r="DD683" t="inlineStr"/>
      <c r="DE683" t="inlineStr"/>
      <c r="DF683">
        <f>ROUND(ROUND(AE683*AI683,0)*CX683,0)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ROW(Source!A1429)</f>
        <v/>
      </c>
      <c r="B684" t="n">
        <v>78869116</v>
      </c>
      <c r="C684" t="n">
        <v>78873180</v>
      </c>
      <c r="D684" t="n">
        <v>18409850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1-1035-90</t>
        </is>
      </c>
      <c r="J684" t="inlineStr"/>
      <c r="K684" t="inlineStr">
        <is>
          <t>Рабочий строитель среднего разряда 3,5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855544366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9.07</v>
      </c>
      <c r="AE684" t="n">
        <v>0</v>
      </c>
      <c r="AF684" t="n">
        <v>0</v>
      </c>
      <c r="AG684" t="n">
        <v>0</v>
      </c>
      <c r="AH684" t="n">
        <v>9.07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133</v>
      </c>
      <c r="AU684" t="inlineStr"/>
      <c r="AV684" t="n">
        <v>1</v>
      </c>
      <c r="AW684" t="n">
        <v>2</v>
      </c>
      <c r="AX684" t="n">
        <v>78873204</v>
      </c>
      <c r="AY684" t="n">
        <v>1</v>
      </c>
      <c r="AZ684" t="n">
        <v>0</v>
      </c>
      <c r="BA684" t="n">
        <v>630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ROUND(AT684*Source!I1429*AH684*AL684,0)</f>
        <v/>
      </c>
      <c r="CV684">
        <f>ROUND(Y684*Source!I1429,7)</f>
        <v/>
      </c>
      <c r="CW684" t="n">
        <v>0</v>
      </c>
      <c r="CX684">
        <f>ROUND(Y684*Source!I1429,7)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ROW(Source!A1429)</f>
        <v/>
      </c>
      <c r="B685" t="n">
        <v>78869116</v>
      </c>
      <c r="C685" t="n">
        <v>78873180</v>
      </c>
      <c r="D685" t="n">
        <v>29174913</v>
      </c>
      <c r="E685" t="n">
        <v>1</v>
      </c>
      <c r="F685" t="n">
        <v>1</v>
      </c>
      <c r="G685" t="n">
        <v>1</v>
      </c>
      <c r="H685" t="n">
        <v>2</v>
      </c>
      <c r="I685" t="inlineStr">
        <is>
          <t>400001</t>
        </is>
      </c>
      <c r="J685" t="inlineStr">
        <is>
          <t>ТСЭМ Московской обл., 400001, приказ Минстроя России №675/пр от 28.02.2017 № 264/пр</t>
        </is>
      </c>
      <c r="K685" t="inlineStr">
        <is>
          <t>Автомобили бортовые, грузоподъемность до 5 т</t>
        </is>
      </c>
      <c r="L685" t="n">
        <v>1368</v>
      </c>
      <c r="N685" t="n">
        <v>1011</v>
      </c>
      <c r="O685" t="inlineStr">
        <is>
          <t>маш.-ч</t>
        </is>
      </c>
      <c r="P685" t="inlineStr">
        <is>
          <t>маш.-ч</t>
        </is>
      </c>
      <c r="Q685" t="n">
        <v>1</v>
      </c>
      <c r="W685" t="n">
        <v>0</v>
      </c>
      <c r="X685" t="n">
        <v>1230759911</v>
      </c>
      <c r="Y685">
        <f>AT685</f>
        <v/>
      </c>
      <c r="AA685" t="n">
        <v>0</v>
      </c>
      <c r="AB685" t="n">
        <v>2177.51</v>
      </c>
      <c r="AC685" t="n">
        <v>606.1</v>
      </c>
      <c r="AD685" t="n">
        <v>0</v>
      </c>
      <c r="AE685" t="n">
        <v>0</v>
      </c>
      <c r="AF685" t="n">
        <v>87.17</v>
      </c>
      <c r="AG685" t="n">
        <v>11.6</v>
      </c>
      <c r="AH685" t="n">
        <v>0</v>
      </c>
      <c r="AI685" t="n">
        <v>1</v>
      </c>
      <c r="AJ685" t="n">
        <v>24.98</v>
      </c>
      <c r="AK685" t="n">
        <v>52.25</v>
      </c>
      <c r="AL685" t="n">
        <v>1</v>
      </c>
      <c r="AM685" t="n">
        <v>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0.26</v>
      </c>
      <c r="AU685" t="inlineStr"/>
      <c r="AV685" t="n">
        <v>0</v>
      </c>
      <c r="AW685" t="n">
        <v>2</v>
      </c>
      <c r="AX685" t="n">
        <v>78873205</v>
      </c>
      <c r="AY685" t="n">
        <v>1</v>
      </c>
      <c r="AZ685" t="n">
        <v>0</v>
      </c>
      <c r="BA685" t="n">
        <v>631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>
        <f>ROUND(Y685*Source!I1429*DO685,7)</f>
        <v/>
      </c>
      <c r="CX685">
        <f>ROUND(Y685*Source!I1429,7)</f>
        <v/>
      </c>
      <c r="CY685">
        <f>AB685</f>
        <v/>
      </c>
      <c r="CZ685">
        <f>AF685</f>
        <v/>
      </c>
      <c r="DA685">
        <f>AJ685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ROUND(ROUND(AF685*AJ685,0)*CX685,0)</f>
        <v/>
      </c>
      <c r="DH685">
        <f>ROUND(ROUND(AG685*AK685,0)*CX685,0)</f>
        <v/>
      </c>
      <c r="DI685">
        <f>ROUND(ROUND(AH685,0)*CX685,0)</f>
        <v/>
      </c>
      <c r="DJ685">
        <f>DG685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ROW(Source!A1429)</f>
        <v/>
      </c>
      <c r="B686" t="n">
        <v>78869116</v>
      </c>
      <c r="C686" t="n">
        <v>78873180</v>
      </c>
      <c r="D686" t="n">
        <v>29110398</v>
      </c>
      <c r="E686" t="n">
        <v>1</v>
      </c>
      <c r="F686" t="n">
        <v>1</v>
      </c>
      <c r="G686" t="n">
        <v>1</v>
      </c>
      <c r="H686" t="n">
        <v>3</v>
      </c>
      <c r="I686" t="inlineStr">
        <is>
          <t>101-0388</t>
        </is>
      </c>
      <c r="J686" t="inlineStr">
        <is>
          <t>ТССЦ Московской обл., 101-0388, приказ Минстроя России №675/пр от 28.02.2017 № 254/пр</t>
        </is>
      </c>
      <c r="K686" t="inlineStr">
        <is>
          <t>Краски масляные земляные марки МА-0115 мумия, сурик железный</t>
        </is>
      </c>
      <c r="L686" t="n">
        <v>1348</v>
      </c>
      <c r="N686" t="n">
        <v>1009</v>
      </c>
      <c r="O686" t="inlineStr">
        <is>
          <t>т</t>
        </is>
      </c>
      <c r="P686" t="inlineStr">
        <is>
          <t>т</t>
        </is>
      </c>
      <c r="Q686" t="n">
        <v>1000</v>
      </c>
      <c r="W686" t="n">
        <v>0</v>
      </c>
      <c r="X686" t="n">
        <v>1625292450</v>
      </c>
      <c r="Y686">
        <f>AT686</f>
        <v/>
      </c>
      <c r="AA686" t="n">
        <v>76804.47</v>
      </c>
      <c r="AB686" t="n">
        <v>0</v>
      </c>
      <c r="AC686" t="n">
        <v>0</v>
      </c>
      <c r="AD686" t="n">
        <v>0</v>
      </c>
      <c r="AE686" t="n">
        <v>15118.99</v>
      </c>
      <c r="AF686" t="n">
        <v>0</v>
      </c>
      <c r="AG686" t="n">
        <v>0</v>
      </c>
      <c r="AH686" t="n">
        <v>0</v>
      </c>
      <c r="AI686" t="n">
        <v>5.08</v>
      </c>
      <c r="AJ686" t="n">
        <v>1</v>
      </c>
      <c r="AK686" t="n">
        <v>1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0.0037</v>
      </c>
      <c r="AU686" t="inlineStr"/>
      <c r="AV686" t="n">
        <v>0</v>
      </c>
      <c r="AW686" t="n">
        <v>2</v>
      </c>
      <c r="AX686" t="n">
        <v>78873206</v>
      </c>
      <c r="AY686" t="n">
        <v>1</v>
      </c>
      <c r="AZ686" t="n">
        <v>0</v>
      </c>
      <c r="BA686" t="n">
        <v>632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 t="n">
        <v>0</v>
      </c>
      <c r="CX686">
        <f>ROUND(Y686*Source!I1429,7)</f>
        <v/>
      </c>
      <c r="CY686">
        <f>AA686</f>
        <v/>
      </c>
      <c r="CZ686">
        <f>AE686</f>
        <v/>
      </c>
      <c r="DA686">
        <f>AI686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ROUND(ROUND(AE686*AI686,0)*CX686,0)</f>
        <v/>
      </c>
      <c r="DG686">
        <f>ROUND(ROUND(AF686,0)*CX686,0)</f>
        <v/>
      </c>
      <c r="DH686">
        <f>ROUND(ROUND(AG686,0)*CX686,0)</f>
        <v/>
      </c>
      <c r="DI686">
        <f>ROUND(ROUND(AH686,0)*CX686,0)</f>
        <v/>
      </c>
      <c r="DJ686">
        <f>DF686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ROW(Source!A1429)</f>
        <v/>
      </c>
      <c r="B687" t="n">
        <v>78869116</v>
      </c>
      <c r="C687" t="n">
        <v>78873180</v>
      </c>
      <c r="D687" t="n">
        <v>29110573</v>
      </c>
      <c r="E687" t="n">
        <v>1</v>
      </c>
      <c r="F687" t="n">
        <v>1</v>
      </c>
      <c r="G687" t="n">
        <v>1</v>
      </c>
      <c r="H687" t="n">
        <v>3</v>
      </c>
      <c r="I687" t="inlineStr">
        <is>
          <t>101-0628</t>
        </is>
      </c>
      <c r="J687" t="inlineStr">
        <is>
          <t>ТССЦ Московской обл., 101-0628, приказ Минстроя России №675/пр от 28.02.2017 № 254/пр</t>
        </is>
      </c>
      <c r="K687" t="inlineStr">
        <is>
          <t>Олифа комбинированная, марки К-3</t>
        </is>
      </c>
      <c r="L687" t="n">
        <v>1348</v>
      </c>
      <c r="N687" t="n">
        <v>1009</v>
      </c>
      <c r="O687" t="inlineStr">
        <is>
          <t>т</t>
        </is>
      </c>
      <c r="P687" t="inlineStr">
        <is>
          <t>т</t>
        </is>
      </c>
      <c r="Q687" t="n">
        <v>1000</v>
      </c>
      <c r="W687" t="n">
        <v>0</v>
      </c>
      <c r="X687" t="n">
        <v>24062879</v>
      </c>
      <c r="Y687">
        <f>AT687</f>
        <v/>
      </c>
      <c r="AA687" t="n">
        <v>87631.5</v>
      </c>
      <c r="AB687" t="n">
        <v>0</v>
      </c>
      <c r="AC687" t="n">
        <v>0</v>
      </c>
      <c r="AD687" t="n">
        <v>0</v>
      </c>
      <c r="AE687" t="n">
        <v>16950</v>
      </c>
      <c r="AF687" t="n">
        <v>0</v>
      </c>
      <c r="AG687" t="n">
        <v>0</v>
      </c>
      <c r="AH687" t="n">
        <v>0</v>
      </c>
      <c r="AI687" t="n">
        <v>5.17</v>
      </c>
      <c r="AJ687" t="n">
        <v>1</v>
      </c>
      <c r="AK687" t="n">
        <v>1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0.0018</v>
      </c>
      <c r="AU687" t="inlineStr"/>
      <c r="AV687" t="n">
        <v>0</v>
      </c>
      <c r="AW687" t="n">
        <v>2</v>
      </c>
      <c r="AX687" t="n">
        <v>78873207</v>
      </c>
      <c r="AY687" t="n">
        <v>1</v>
      </c>
      <c r="AZ687" t="n">
        <v>0</v>
      </c>
      <c r="BA687" t="n">
        <v>633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 t="n">
        <v>0</v>
      </c>
      <c r="CX687">
        <f>ROUND(Y687*Source!I1429,7)</f>
        <v/>
      </c>
      <c r="CY687">
        <f>AA687</f>
        <v/>
      </c>
      <c r="CZ687">
        <f>AE687</f>
        <v/>
      </c>
      <c r="DA687">
        <f>AI687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ROUND(ROUND(AE687*AI687,0)*CX687,0)</f>
        <v/>
      </c>
      <c r="DG687">
        <f>ROUND(ROUND(AF687,0)*CX687,0)</f>
        <v/>
      </c>
      <c r="DH687">
        <f>ROUND(ROUND(AG687,0)*CX687,0)</f>
        <v/>
      </c>
      <c r="DI687">
        <f>ROUND(ROUND(AH687,0)*CX687,0)</f>
        <v/>
      </c>
      <c r="DJ687">
        <f>DF687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ROW(Source!A1429)</f>
        <v/>
      </c>
      <c r="B688" t="n">
        <v>78869116</v>
      </c>
      <c r="C688" t="n">
        <v>78873180</v>
      </c>
      <c r="D688" t="n">
        <v>29107963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101-1669</t>
        </is>
      </c>
      <c r="J688" t="inlineStr">
        <is>
          <t>ТССЦ Московской обл., 101-1669, приказ Минстроя России №675/пр от 28.02.2017 № 254/пр</t>
        </is>
      </c>
      <c r="K688" t="inlineStr">
        <is>
          <t>Очес льняной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-2113933962</v>
      </c>
      <c r="Y688">
        <f>AT688</f>
        <v/>
      </c>
      <c r="AA688" t="n">
        <v>590.67</v>
      </c>
      <c r="AB688" t="n">
        <v>0</v>
      </c>
      <c r="AC688" t="n">
        <v>0</v>
      </c>
      <c r="AD688" t="n">
        <v>0</v>
      </c>
      <c r="AE688" t="n">
        <v>37.29</v>
      </c>
      <c r="AF688" t="n">
        <v>0</v>
      </c>
      <c r="AG688" t="n">
        <v>0</v>
      </c>
      <c r="AH688" t="n">
        <v>0</v>
      </c>
      <c r="AI688" t="n">
        <v>15.84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1.84</v>
      </c>
      <c r="AU688" t="inlineStr"/>
      <c r="AV688" t="n">
        <v>0</v>
      </c>
      <c r="AW688" t="n">
        <v>2</v>
      </c>
      <c r="AX688" t="n">
        <v>78873208</v>
      </c>
      <c r="AY688" t="n">
        <v>1</v>
      </c>
      <c r="AZ688" t="n">
        <v>0</v>
      </c>
      <c r="BA688" t="n">
        <v>634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ROUND(Y688*Source!I1429,7)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ROW(Source!A1429)</f>
        <v/>
      </c>
      <c r="B689" t="n">
        <v>78869116</v>
      </c>
      <c r="C689" t="n">
        <v>78873180</v>
      </c>
      <c r="D689" t="n">
        <v>29143378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302-0062</t>
        </is>
      </c>
      <c r="J689" t="inlineStr">
        <is>
          <t>ТССЦ Московской обл., 302-0062, приказ Минстроя России №675/пр от 28.02.2017 № 256/пр</t>
        </is>
      </c>
      <c r="K689" t="inlineStr">
        <is>
          <t>Кран шаровый муфтовый Valtec для воды диаметром 15 мм, тип в/в</t>
        </is>
      </c>
      <c r="L689" t="n">
        <v>1354</v>
      </c>
      <c r="N689" t="n">
        <v>1010</v>
      </c>
      <c r="O689" t="inlineStr">
        <is>
          <t>шт.</t>
        </is>
      </c>
      <c r="P689" t="inlineStr">
        <is>
          <t>шт.</t>
        </is>
      </c>
      <c r="Q689" t="n">
        <v>1</v>
      </c>
      <c r="W689" t="n">
        <v>0</v>
      </c>
      <c r="X689" t="n">
        <v>-1687406522</v>
      </c>
      <c r="Y689">
        <f>AT689</f>
        <v/>
      </c>
      <c r="AA689" t="n">
        <v>384.3</v>
      </c>
      <c r="AB689" t="n">
        <v>0</v>
      </c>
      <c r="AC689" t="n">
        <v>0</v>
      </c>
      <c r="AD689" t="n">
        <v>0</v>
      </c>
      <c r="AE689" t="n">
        <v>28.53</v>
      </c>
      <c r="AF689" t="n">
        <v>0</v>
      </c>
      <c r="AG689" t="n">
        <v>0</v>
      </c>
      <c r="AH689" t="n">
        <v>0</v>
      </c>
      <c r="AI689" t="n">
        <v>13.47</v>
      </c>
      <c r="AJ689" t="n">
        <v>1</v>
      </c>
      <c r="AK689" t="n">
        <v>1</v>
      </c>
      <c r="AL689" t="n">
        <v>1</v>
      </c>
      <c r="AM689" t="n">
        <v>0</v>
      </c>
      <c r="AN689" t="n">
        <v>0</v>
      </c>
      <c r="AO689" t="n">
        <v>0</v>
      </c>
      <c r="AP689" t="n">
        <v>0</v>
      </c>
      <c r="AQ689" t="n">
        <v>0</v>
      </c>
      <c r="AR689" t="n">
        <v>0</v>
      </c>
      <c r="AS689" t="inlineStr"/>
      <c r="AT689" t="n">
        <v>66.66666669999999</v>
      </c>
      <c r="AU689" t="inlineStr"/>
      <c r="AV689" t="n">
        <v>0</v>
      </c>
      <c r="AW689" t="n">
        <v>1</v>
      </c>
      <c r="AX689" t="n">
        <v>-1</v>
      </c>
      <c r="AY689" t="n">
        <v>0</v>
      </c>
      <c r="AZ689" t="n">
        <v>0</v>
      </c>
      <c r="BA689" t="inlineStr"/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ROUND(Y689*Source!I1429,7)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ROW(Source!A1429)</f>
        <v/>
      </c>
      <c r="B690" t="n">
        <v>78869116</v>
      </c>
      <c r="C690" t="n">
        <v>78873180</v>
      </c>
      <c r="D690" t="n">
        <v>29143382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302-0066</t>
        </is>
      </c>
      <c r="J690" t="inlineStr">
        <is>
          <t>ТССЦ Московской обл., 302-0066, приказ Минстроя России №675/пр от 28.02.2017 № 256/пр</t>
        </is>
      </c>
      <c r="K690" t="inlineStr">
        <is>
          <t>Кран шаровый муфтовый Valtec для воды диаметром 40 мм, тип в/в</t>
        </is>
      </c>
      <c r="L690" t="n">
        <v>1354</v>
      </c>
      <c r="N690" t="n">
        <v>1010</v>
      </c>
      <c r="O690" t="inlineStr">
        <is>
          <t>шт.</t>
        </is>
      </c>
      <c r="P690" t="inlineStr">
        <is>
          <t>шт.</t>
        </is>
      </c>
      <c r="Q690" t="n">
        <v>1</v>
      </c>
      <c r="W690" t="n">
        <v>0</v>
      </c>
      <c r="X690" t="n">
        <v>-1542320480</v>
      </c>
      <c r="Y690">
        <f>AT690</f>
        <v/>
      </c>
      <c r="AA690" t="n">
        <v>2275.1</v>
      </c>
      <c r="AB690" t="n">
        <v>0</v>
      </c>
      <c r="AC690" t="n">
        <v>0</v>
      </c>
      <c r="AD690" t="n">
        <v>0</v>
      </c>
      <c r="AE690" t="n">
        <v>172.88</v>
      </c>
      <c r="AF690" t="n">
        <v>0</v>
      </c>
      <c r="AG690" t="n">
        <v>0</v>
      </c>
      <c r="AH690" t="n">
        <v>0</v>
      </c>
      <c r="AI690" t="n">
        <v>13.16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33.3333333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ROUND(Y690*Source!I1429,7)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ROW(Source!A1429)</f>
        <v/>
      </c>
      <c r="B691" t="n">
        <v>78869116</v>
      </c>
      <c r="C691" t="n">
        <v>78873180</v>
      </c>
      <c r="D691" t="n">
        <v>29142469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302-1346</t>
        </is>
      </c>
      <c r="J691" t="inlineStr">
        <is>
          <t>ТССЦ Московской обл., 302-1346, приказ Минстроя России №675/пр от 28.02.2017 № 256/пр</t>
        </is>
      </c>
      <c r="K691" t="inlineStr">
        <is>
          <t>Вентили проходные муфтовые 15кч18п для воды давлением 1,6 МПа (16 кгс/см2), диаметром 50 мм</t>
        </is>
      </c>
      <c r="L691" t="n">
        <v>1354</v>
      </c>
      <c r="N691" t="n">
        <v>1010</v>
      </c>
      <c r="O691" t="inlineStr">
        <is>
          <t>шт.</t>
        </is>
      </c>
      <c r="P691" t="inlineStr">
        <is>
          <t>шт.</t>
        </is>
      </c>
      <c r="Q691" t="n">
        <v>1</v>
      </c>
      <c r="W691" t="n">
        <v>0</v>
      </c>
      <c r="X691" t="n">
        <v>-800039523</v>
      </c>
      <c r="Y691">
        <f>AT691</f>
        <v/>
      </c>
      <c r="AA691" t="n">
        <v>991.25</v>
      </c>
      <c r="AB691" t="n">
        <v>0</v>
      </c>
      <c r="AC691" t="n">
        <v>0</v>
      </c>
      <c r="AD691" t="n">
        <v>0</v>
      </c>
      <c r="AE691" t="n">
        <v>82.33</v>
      </c>
      <c r="AF691" t="n">
        <v>0</v>
      </c>
      <c r="AG691" t="n">
        <v>0</v>
      </c>
      <c r="AH691" t="n">
        <v>0</v>
      </c>
      <c r="AI691" t="n">
        <v>12.04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100</v>
      </c>
      <c r="AU691" t="inlineStr"/>
      <c r="AV691" t="n">
        <v>0</v>
      </c>
      <c r="AW691" t="n">
        <v>2</v>
      </c>
      <c r="AX691" t="n">
        <v>78873209</v>
      </c>
      <c r="AY691" t="n">
        <v>1</v>
      </c>
      <c r="AZ691" t="n">
        <v>0</v>
      </c>
      <c r="BA691" t="n">
        <v>635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ROUND(Y691*Source!I1429,7)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ROW(Source!A1429)</f>
        <v/>
      </c>
      <c r="B692" t="n">
        <v>78869116</v>
      </c>
      <c r="C692" t="n">
        <v>78873180</v>
      </c>
      <c r="D692" t="n">
        <v>29159170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507-5010</t>
        </is>
      </c>
      <c r="J692" t="inlineStr">
        <is>
          <t>ТССЦ Московской обл., 507-5010, приказ Минстроя России №675/пр от 28.02.2017 № 258/пр</t>
        </is>
      </c>
      <c r="K692" t="inlineStr">
        <is>
          <t>Муфта полипропиленовая соединительная диаметром 40 мм</t>
        </is>
      </c>
      <c r="L692" t="n">
        <v>1358</v>
      </c>
      <c r="N692" t="n">
        <v>1010</v>
      </c>
      <c r="O692" t="inlineStr">
        <is>
          <t>10 шт.</t>
        </is>
      </c>
      <c r="P692" t="inlineStr">
        <is>
          <t>10 шт.</t>
        </is>
      </c>
      <c r="Q692" t="n">
        <v>10</v>
      </c>
      <c r="W692" t="n">
        <v>0</v>
      </c>
      <c r="X692" t="n">
        <v>1049066160</v>
      </c>
      <c r="Y692">
        <f>AT692</f>
        <v/>
      </c>
      <c r="AA692" t="n">
        <v>204.68</v>
      </c>
      <c r="AB692" t="n">
        <v>0</v>
      </c>
      <c r="AC692" t="n">
        <v>0</v>
      </c>
      <c r="AD692" t="n">
        <v>0</v>
      </c>
      <c r="AE692" t="n">
        <v>24.9</v>
      </c>
      <c r="AF692" t="n">
        <v>0</v>
      </c>
      <c r="AG692" t="n">
        <v>0</v>
      </c>
      <c r="AH692" t="n">
        <v>0</v>
      </c>
      <c r="AI692" t="n">
        <v>8.220000000000001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ROUND(Y692*Source!I1429,7)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ROW(Source!A1429)</f>
        <v/>
      </c>
      <c r="B693" t="n">
        <v>78869116</v>
      </c>
      <c r="C693" t="n">
        <v>78873180</v>
      </c>
      <c r="D693" t="n">
        <v>29164350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509-9899</t>
        </is>
      </c>
      <c r="J693" t="inlineStr">
        <is>
          <t>ТССЦ Московской обл., 509-9899, приказ Минстроя России №675/пр от 28.02.2017 № 258/пр</t>
        </is>
      </c>
      <c r="K693" t="inlineStr">
        <is>
          <t>Строительный мусор и масса возвратных материалов</t>
        </is>
      </c>
      <c r="L693" t="n">
        <v>1348</v>
      </c>
      <c r="N693" t="n">
        <v>1009</v>
      </c>
      <c r="O693" t="inlineStr">
        <is>
          <t>т</t>
        </is>
      </c>
      <c r="P693" t="inlineStr">
        <is>
          <t>т</t>
        </is>
      </c>
      <c r="Q693" t="n">
        <v>1000</v>
      </c>
      <c r="W693" t="n">
        <v>0</v>
      </c>
      <c r="X693" t="n">
        <v>1839160745</v>
      </c>
      <c r="Y693">
        <f>AT693</f>
        <v/>
      </c>
      <c r="AA693" t="n">
        <v>0</v>
      </c>
      <c r="AB693" t="n">
        <v>0</v>
      </c>
      <c r="AC693" t="n">
        <v>0</v>
      </c>
      <c r="AD693" t="n">
        <v>0</v>
      </c>
      <c r="AE693" t="n">
        <v>0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0</v>
      </c>
      <c r="AN693" t="n">
        <v>0</v>
      </c>
      <c r="AO693" t="n">
        <v>0</v>
      </c>
      <c r="AP693" t="n">
        <v>1</v>
      </c>
      <c r="AQ693" t="n">
        <v>0</v>
      </c>
      <c r="AR693" t="n">
        <v>0</v>
      </c>
      <c r="AS693" t="inlineStr"/>
      <c r="AT693" t="n">
        <v>0.24</v>
      </c>
      <c r="AU693" t="inlineStr"/>
      <c r="AV693" t="n">
        <v>0</v>
      </c>
      <c r="AW693" t="n">
        <v>2</v>
      </c>
      <c r="AX693" t="n">
        <v>78873210</v>
      </c>
      <c r="AY693" t="n">
        <v>1</v>
      </c>
      <c r="AZ693" t="n">
        <v>0</v>
      </c>
      <c r="BA693" t="n">
        <v>636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ROUND(Y693*Source!I1429,7)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ROW(Source!A1434)</f>
        <v/>
      </c>
      <c r="B694" t="n">
        <v>78869116</v>
      </c>
      <c r="C694" t="n">
        <v>78873218</v>
      </c>
      <c r="D694" t="n">
        <v>18410280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1-1039-90</t>
        </is>
      </c>
      <c r="J694" t="inlineStr"/>
      <c r="K694" t="inlineStr">
        <is>
          <t>Рабочий строитель среднего разряда 3,9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-464685602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9.51</v>
      </c>
      <c r="AE694" t="n">
        <v>0</v>
      </c>
      <c r="AF694" t="n">
        <v>0</v>
      </c>
      <c r="AG694" t="n">
        <v>0</v>
      </c>
      <c r="AH694" t="n">
        <v>9.51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71</v>
      </c>
      <c r="AU694" t="inlineStr"/>
      <c r="AV694" t="n">
        <v>1</v>
      </c>
      <c r="AW694" t="n">
        <v>2</v>
      </c>
      <c r="AX694" t="n">
        <v>78873227</v>
      </c>
      <c r="AY694" t="n">
        <v>1</v>
      </c>
      <c r="AZ694" t="n">
        <v>0</v>
      </c>
      <c r="BA694" t="n">
        <v>637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ROUND(AT694*Source!I1434*AH694*AL694,0)</f>
        <v/>
      </c>
      <c r="CV694">
        <f>ROUND(Y694*Source!I1434,7)</f>
        <v/>
      </c>
      <c r="CW694" t="n">
        <v>0</v>
      </c>
      <c r="CX694">
        <f>ROUND(Y694*Source!I1434,7)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ROW(Source!A1434)</f>
        <v/>
      </c>
      <c r="B695" t="n">
        <v>78869116</v>
      </c>
      <c r="C695" t="n">
        <v>78873218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0.11</v>
      </c>
      <c r="AU695" t="inlineStr"/>
      <c r="AV695" t="n">
        <v>2</v>
      </c>
      <c r="AW695" t="n">
        <v>2</v>
      </c>
      <c r="AX695" t="n">
        <v>78873228</v>
      </c>
      <c r="AY695" t="n">
        <v>1</v>
      </c>
      <c r="AZ695" t="n">
        <v>0</v>
      </c>
      <c r="BA695" t="n">
        <v>638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ROUND(Y695*Source!I1434,7)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ROW(Source!A1434)</f>
        <v/>
      </c>
      <c r="B696" t="n">
        <v>78869116</v>
      </c>
      <c r="C696" t="n">
        <v>78873218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0.11</v>
      </c>
      <c r="AU696" t="inlineStr"/>
      <c r="AV696" t="n">
        <v>0</v>
      </c>
      <c r="AW696" t="n">
        <v>2</v>
      </c>
      <c r="AX696" t="n">
        <v>78873229</v>
      </c>
      <c r="AY696" t="n">
        <v>1</v>
      </c>
      <c r="AZ696" t="n">
        <v>0</v>
      </c>
      <c r="BA696" t="n">
        <v>639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ROUND(Y696*Source!I1434*DO696,7)</f>
        <v/>
      </c>
      <c r="CX696">
        <f>ROUND(Y696*Source!I1434,7)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ROW(Source!A1434)</f>
        <v/>
      </c>
      <c r="B697" t="n">
        <v>78869116</v>
      </c>
      <c r="C697" t="n">
        <v>78873218</v>
      </c>
      <c r="D697" t="n">
        <v>29110398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101-0388</t>
        </is>
      </c>
      <c r="J697" t="inlineStr">
        <is>
          <t>ТССЦ Московской обл., 101-0388, приказ Минстроя России №675/пр от 28.02.2017 № 254/пр</t>
        </is>
      </c>
      <c r="K697" t="inlineStr">
        <is>
          <t>Краски масляные земляные марки МА-0115 мумия, сурик железный</t>
        </is>
      </c>
      <c r="L697" t="n">
        <v>1348</v>
      </c>
      <c r="N697" t="n">
        <v>1009</v>
      </c>
      <c r="O697" t="inlineStr">
        <is>
          <t>т</t>
        </is>
      </c>
      <c r="P697" t="inlineStr">
        <is>
          <t>т</t>
        </is>
      </c>
      <c r="Q697" t="n">
        <v>1000</v>
      </c>
      <c r="W697" t="n">
        <v>0</v>
      </c>
      <c r="X697" t="n">
        <v>1625292450</v>
      </c>
      <c r="Y697">
        <f>AT697</f>
        <v/>
      </c>
      <c r="AA697" t="n">
        <v>76804.47</v>
      </c>
      <c r="AB697" t="n">
        <v>0</v>
      </c>
      <c r="AC697" t="n">
        <v>0</v>
      </c>
      <c r="AD697" t="n">
        <v>0</v>
      </c>
      <c r="AE697" t="n">
        <v>15118.99</v>
      </c>
      <c r="AF697" t="n">
        <v>0</v>
      </c>
      <c r="AG697" t="n">
        <v>0</v>
      </c>
      <c r="AH697" t="n">
        <v>0</v>
      </c>
      <c r="AI697" t="n">
        <v>5.08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0.0013</v>
      </c>
      <c r="AU697" t="inlineStr"/>
      <c r="AV697" t="n">
        <v>0</v>
      </c>
      <c r="AW697" t="n">
        <v>2</v>
      </c>
      <c r="AX697" t="n">
        <v>78873230</v>
      </c>
      <c r="AY697" t="n">
        <v>1</v>
      </c>
      <c r="AZ697" t="n">
        <v>0</v>
      </c>
      <c r="BA697" t="n">
        <v>640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ROUND(Y697*Source!I1434,7)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ROW(Source!A1434)</f>
        <v/>
      </c>
      <c r="B698" t="n">
        <v>78869116</v>
      </c>
      <c r="C698" t="n">
        <v>78873218</v>
      </c>
      <c r="D698" t="n">
        <v>29110573</v>
      </c>
      <c r="E698" t="n">
        <v>1</v>
      </c>
      <c r="F698" t="n">
        <v>1</v>
      </c>
      <c r="G698" t="n">
        <v>1</v>
      </c>
      <c r="H698" t="n">
        <v>3</v>
      </c>
      <c r="I698" t="inlineStr">
        <is>
          <t>101-0628</t>
        </is>
      </c>
      <c r="J698" t="inlineStr">
        <is>
          <t>ТССЦ Московской обл., 101-0628, приказ Минстроя России №675/пр от 28.02.2017 № 254/пр</t>
        </is>
      </c>
      <c r="K698" t="inlineStr">
        <is>
          <t>Олифа комбинированная, марки К-3</t>
        </is>
      </c>
      <c r="L698" t="n">
        <v>1348</v>
      </c>
      <c r="N698" t="n">
        <v>1009</v>
      </c>
      <c r="O698" t="inlineStr">
        <is>
          <t>т</t>
        </is>
      </c>
      <c r="P698" t="inlineStr">
        <is>
          <t>т</t>
        </is>
      </c>
      <c r="Q698" t="n">
        <v>1000</v>
      </c>
      <c r="W698" t="n">
        <v>0</v>
      </c>
      <c r="X698" t="n">
        <v>24062879</v>
      </c>
      <c r="Y698">
        <f>AT698</f>
        <v/>
      </c>
      <c r="AA698" t="n">
        <v>87631.5</v>
      </c>
      <c r="AB698" t="n">
        <v>0</v>
      </c>
      <c r="AC698" t="n">
        <v>0</v>
      </c>
      <c r="AD698" t="n">
        <v>0</v>
      </c>
      <c r="AE698" t="n">
        <v>16950</v>
      </c>
      <c r="AF698" t="n">
        <v>0</v>
      </c>
      <c r="AG698" t="n">
        <v>0</v>
      </c>
      <c r="AH698" t="n">
        <v>0</v>
      </c>
      <c r="AI698" t="n">
        <v>5.17</v>
      </c>
      <c r="AJ698" t="n">
        <v>1</v>
      </c>
      <c r="AK698" t="n">
        <v>1</v>
      </c>
      <c r="AL698" t="n">
        <v>1</v>
      </c>
      <c r="AM698" t="n">
        <v>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0.0024</v>
      </c>
      <c r="AU698" t="inlineStr"/>
      <c r="AV698" t="n">
        <v>0</v>
      </c>
      <c r="AW698" t="n">
        <v>2</v>
      </c>
      <c r="AX698" t="n">
        <v>78873231</v>
      </c>
      <c r="AY698" t="n">
        <v>1</v>
      </c>
      <c r="AZ698" t="n">
        <v>0</v>
      </c>
      <c r="BA698" t="n">
        <v>641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V698" t="n">
        <v>0</v>
      </c>
      <c r="CW698" t="n">
        <v>0</v>
      </c>
      <c r="CX698">
        <f>ROUND(Y698*Source!I1434,7)</f>
        <v/>
      </c>
      <c r="CY698">
        <f>AA698</f>
        <v/>
      </c>
      <c r="CZ698">
        <f>AE698</f>
        <v/>
      </c>
      <c r="DA698">
        <f>AI698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ROUND(ROUND(AE698*AI698,0)*CX698,0)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DF698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ROW(Source!A1434)</f>
        <v/>
      </c>
      <c r="B699" t="n">
        <v>78869116</v>
      </c>
      <c r="C699" t="n">
        <v>78873218</v>
      </c>
      <c r="D699" t="n">
        <v>29107963</v>
      </c>
      <c r="E699" t="n">
        <v>1</v>
      </c>
      <c r="F699" t="n">
        <v>1</v>
      </c>
      <c r="G699" t="n">
        <v>1</v>
      </c>
      <c r="H699" t="n">
        <v>3</v>
      </c>
      <c r="I699" t="inlineStr">
        <is>
          <t>101-1669</t>
        </is>
      </c>
      <c r="J699" t="inlineStr">
        <is>
          <t>ТССЦ Московской обл., 101-1669, приказ Минстроя России №675/пр от 28.02.2017 № 254/пр</t>
        </is>
      </c>
      <c r="K699" t="inlineStr">
        <is>
          <t>Очес льняной</t>
        </is>
      </c>
      <c r="L699" t="n">
        <v>1346</v>
      </c>
      <c r="N699" t="n">
        <v>1009</v>
      </c>
      <c r="O699" t="inlineStr">
        <is>
          <t>кг</t>
        </is>
      </c>
      <c r="P699" t="inlineStr">
        <is>
          <t>кг</t>
        </is>
      </c>
      <c r="Q699" t="n">
        <v>1</v>
      </c>
      <c r="W699" t="n">
        <v>0</v>
      </c>
      <c r="X699" t="n">
        <v>-2113933962</v>
      </c>
      <c r="Y699">
        <f>AT699</f>
        <v/>
      </c>
      <c r="AA699" t="n">
        <v>590.67</v>
      </c>
      <c r="AB699" t="n">
        <v>0</v>
      </c>
      <c r="AC699" t="n">
        <v>0</v>
      </c>
      <c r="AD699" t="n">
        <v>0</v>
      </c>
      <c r="AE699" t="n">
        <v>37.29</v>
      </c>
      <c r="AF699" t="n">
        <v>0</v>
      </c>
      <c r="AG699" t="n">
        <v>0</v>
      </c>
      <c r="AH699" t="n">
        <v>0</v>
      </c>
      <c r="AI699" t="n">
        <v>15.84</v>
      </c>
      <c r="AJ699" t="n">
        <v>1</v>
      </c>
      <c r="AK699" t="n">
        <v>1</v>
      </c>
      <c r="AL699" t="n">
        <v>1</v>
      </c>
      <c r="AM699" t="n">
        <v>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0.5600000000000001</v>
      </c>
      <c r="AU699" t="inlineStr"/>
      <c r="AV699" t="n">
        <v>0</v>
      </c>
      <c r="AW699" t="n">
        <v>2</v>
      </c>
      <c r="AX699" t="n">
        <v>78873232</v>
      </c>
      <c r="AY699" t="n">
        <v>1</v>
      </c>
      <c r="AZ699" t="n">
        <v>0</v>
      </c>
      <c r="BA699" t="n">
        <v>642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ROUND(Y699*Source!I1434,7)</f>
        <v/>
      </c>
      <c r="CY699">
        <f>AA699</f>
        <v/>
      </c>
      <c r="CZ699">
        <f>AE699</f>
        <v/>
      </c>
      <c r="DA699">
        <f>AI699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ROUND(ROUND(AE699*AI699,0)*CX699,0)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DF699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ROW(Source!A1434)</f>
        <v/>
      </c>
      <c r="B700" t="n">
        <v>78869116</v>
      </c>
      <c r="C700" t="n">
        <v>78873218</v>
      </c>
      <c r="D700" t="n">
        <v>29144223</v>
      </c>
      <c r="E700" t="n">
        <v>1</v>
      </c>
      <c r="F700" t="n">
        <v>1</v>
      </c>
      <c r="G700" t="n">
        <v>1</v>
      </c>
      <c r="H700" t="n">
        <v>3</v>
      </c>
      <c r="I700" t="inlineStr">
        <is>
          <t>302-1240</t>
        </is>
      </c>
      <c r="J700" t="inlineStr">
        <is>
          <t>ТССЦ Московской обл., 302-1240, приказ Минстроя России №675/пр от 28.02.2017 № 256/пр</t>
        </is>
      </c>
      <c r="K700" t="inlineStr">
        <is>
          <t>Сгоны стальные с муфтой и контргайкой, диаметром 40 мм</t>
        </is>
      </c>
      <c r="L700" t="n">
        <v>1354</v>
      </c>
      <c r="N700" t="n">
        <v>1010</v>
      </c>
      <c r="O700" t="inlineStr">
        <is>
          <t>шт.</t>
        </is>
      </c>
      <c r="P700" t="inlineStr">
        <is>
          <t>шт.</t>
        </is>
      </c>
      <c r="Q700" t="n">
        <v>1</v>
      </c>
      <c r="W700" t="n">
        <v>0</v>
      </c>
      <c r="X700" t="n">
        <v>1872180420</v>
      </c>
      <c r="Y700">
        <f>AT700</f>
        <v/>
      </c>
      <c r="AA700" t="n">
        <v>273.38</v>
      </c>
      <c r="AB700" t="n">
        <v>0</v>
      </c>
      <c r="AC700" t="n">
        <v>0</v>
      </c>
      <c r="AD700" t="n">
        <v>0</v>
      </c>
      <c r="AE700" t="n">
        <v>18.88</v>
      </c>
      <c r="AF700" t="n">
        <v>0</v>
      </c>
      <c r="AG700" t="n">
        <v>0</v>
      </c>
      <c r="AH700" t="n">
        <v>0</v>
      </c>
      <c r="AI700" t="n">
        <v>14.48</v>
      </c>
      <c r="AJ700" t="n">
        <v>1</v>
      </c>
      <c r="AK700" t="n">
        <v>1</v>
      </c>
      <c r="AL700" t="n">
        <v>1</v>
      </c>
      <c r="AM700" t="n">
        <v>0</v>
      </c>
      <c r="AN700" t="n">
        <v>0</v>
      </c>
      <c r="AO700" t="n">
        <v>0</v>
      </c>
      <c r="AP700" t="n">
        <v>1</v>
      </c>
      <c r="AQ700" t="n">
        <v>0</v>
      </c>
      <c r="AR700" t="n">
        <v>0</v>
      </c>
      <c r="AS700" t="inlineStr"/>
      <c r="AT700" t="n">
        <v>100</v>
      </c>
      <c r="AU700" t="inlineStr"/>
      <c r="AV700" t="n">
        <v>0</v>
      </c>
      <c r="AW700" t="n">
        <v>1</v>
      </c>
      <c r="AX700" t="n">
        <v>-1</v>
      </c>
      <c r="AY700" t="n">
        <v>0</v>
      </c>
      <c r="AZ700" t="n">
        <v>0</v>
      </c>
      <c r="BA700" t="inlineStr"/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 t="n">
        <v>0</v>
      </c>
      <c r="CX700">
        <f>ROUND(Y700*Source!I1434,7)</f>
        <v/>
      </c>
      <c r="CY700">
        <f>AA700</f>
        <v/>
      </c>
      <c r="CZ700">
        <f>AE700</f>
        <v/>
      </c>
      <c r="DA700">
        <f>AI700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ROUND(ROUND(AE700*AI700,0)*CX700,0)</f>
        <v/>
      </c>
      <c r="DG700">
        <f>ROUND(ROUND(AF700,0)*CX700,0)</f>
        <v/>
      </c>
      <c r="DH700">
        <f>ROUND(ROUND(AG700,0)*CX700,0)</f>
        <v/>
      </c>
      <c r="DI700">
        <f>ROUND(ROUND(AH700,0)*CX700,0)</f>
        <v/>
      </c>
      <c r="DJ700">
        <f>DF700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ROW(Source!A1434)</f>
        <v/>
      </c>
      <c r="B701" t="n">
        <v>78869116</v>
      </c>
      <c r="C701" t="n">
        <v>78873218</v>
      </c>
      <c r="D701" t="n">
        <v>29144224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302-1241</t>
        </is>
      </c>
      <c r="J701" t="inlineStr">
        <is>
          <t>ТССЦ Московской обл., 302-1241, приказ Минстроя России №675/пр от 28.02.2017 № 256/пр</t>
        </is>
      </c>
      <c r="K701" t="inlineStr">
        <is>
          <t>Сгоны стальные с муфтой и контргайкой, диаметром 50 мм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1</v>
      </c>
      <c r="X701" t="n">
        <v>-1108176549</v>
      </c>
      <c r="Y701">
        <f>AT701</f>
        <v/>
      </c>
      <c r="AA701" t="n">
        <v>391.55</v>
      </c>
      <c r="AB701" t="n">
        <v>0</v>
      </c>
      <c r="AC701" t="n">
        <v>0</v>
      </c>
      <c r="AD701" t="n">
        <v>0</v>
      </c>
      <c r="AE701" t="n">
        <v>28.58</v>
      </c>
      <c r="AF701" t="n">
        <v>0</v>
      </c>
      <c r="AG701" t="n">
        <v>0</v>
      </c>
      <c r="AH701" t="n">
        <v>0</v>
      </c>
      <c r="AI701" t="n">
        <v>13.7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-100</v>
      </c>
      <c r="AU701" t="inlineStr"/>
      <c r="AV701" t="n">
        <v>0</v>
      </c>
      <c r="AW701" t="n">
        <v>2</v>
      </c>
      <c r="AX701" t="n">
        <v>78873233</v>
      </c>
      <c r="AY701" t="n">
        <v>1</v>
      </c>
      <c r="AZ701" t="n">
        <v>6144</v>
      </c>
      <c r="BA701" t="n">
        <v>643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ROUND(Y701*Source!I1434,7)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  <row r="702">
      <c r="A702">
        <f>ROW(Source!A1475)</f>
        <v/>
      </c>
      <c r="B702" t="n">
        <v>78869116</v>
      </c>
      <c r="C702" t="n">
        <v>78873299</v>
      </c>
      <c r="D702" t="n">
        <v>18408291</v>
      </c>
      <c r="E702" t="n">
        <v>1</v>
      </c>
      <c r="F702" t="n">
        <v>1</v>
      </c>
      <c r="G702" t="n">
        <v>1</v>
      </c>
      <c r="H702" t="n">
        <v>1</v>
      </c>
      <c r="I702" t="inlineStr">
        <is>
          <t>1-1025-90</t>
        </is>
      </c>
      <c r="J702" t="inlineStr"/>
      <c r="K702" t="inlineStr">
        <is>
          <t>Рабочий строитель среднего разряда 2,5</t>
        </is>
      </c>
      <c r="L702" t="n">
        <v>1369</v>
      </c>
      <c r="N702" t="n">
        <v>1013</v>
      </c>
      <c r="O702" t="inlineStr">
        <is>
          <t>чел.-ч</t>
        </is>
      </c>
      <c r="P702" t="inlineStr">
        <is>
          <t>чел.-ч</t>
        </is>
      </c>
      <c r="Q702" t="n">
        <v>1</v>
      </c>
      <c r="W702" t="n">
        <v>0</v>
      </c>
      <c r="X702" t="n">
        <v>1933892413</v>
      </c>
      <c r="Y702">
        <f>AT702</f>
        <v/>
      </c>
      <c r="AA702" t="n">
        <v>0</v>
      </c>
      <c r="AB702" t="n">
        <v>0</v>
      </c>
      <c r="AC702" t="n">
        <v>0</v>
      </c>
      <c r="AD702" t="n">
        <v>8.17</v>
      </c>
      <c r="AE702" t="n">
        <v>0</v>
      </c>
      <c r="AF702" t="n">
        <v>0</v>
      </c>
      <c r="AG702" t="n">
        <v>0</v>
      </c>
      <c r="AH702" t="n">
        <v>8.17</v>
      </c>
      <c r="AI702" t="n">
        <v>1</v>
      </c>
      <c r="AJ702" t="n">
        <v>1</v>
      </c>
      <c r="AK702" t="n">
        <v>1</v>
      </c>
      <c r="AL702" t="n">
        <v>1</v>
      </c>
      <c r="AM702" t="n">
        <v>-2</v>
      </c>
      <c r="AN702" t="n">
        <v>0</v>
      </c>
      <c r="AO702" t="n">
        <v>1</v>
      </c>
      <c r="AP702" t="n">
        <v>1</v>
      </c>
      <c r="AQ702" t="n">
        <v>0</v>
      </c>
      <c r="AR702" t="n">
        <v>0</v>
      </c>
      <c r="AS702" t="inlineStr"/>
      <c r="AT702" t="n">
        <v>32.2</v>
      </c>
      <c r="AU702" t="inlineStr"/>
      <c r="AV702" t="n">
        <v>1</v>
      </c>
      <c r="AW702" t="n">
        <v>2</v>
      </c>
      <c r="AX702" t="n">
        <v>78873305</v>
      </c>
      <c r="AY702" t="n">
        <v>1</v>
      </c>
      <c r="AZ702" t="n">
        <v>0</v>
      </c>
      <c r="BA702" t="n">
        <v>644</v>
      </c>
      <c r="BB702" t="n">
        <v>0</v>
      </c>
      <c r="BC702" t="n">
        <v>0</v>
      </c>
      <c r="BD702" t="n">
        <v>0</v>
      </c>
      <c r="BE702" t="n">
        <v>0</v>
      </c>
      <c r="BF702" t="n">
        <v>0</v>
      </c>
      <c r="BG702" t="n">
        <v>0</v>
      </c>
      <c r="BH702" t="n">
        <v>0</v>
      </c>
      <c r="BI702" t="n">
        <v>0</v>
      </c>
      <c r="BJ702" t="n">
        <v>0</v>
      </c>
      <c r="BK702" t="n">
        <v>0</v>
      </c>
      <c r="BL702" t="n">
        <v>0</v>
      </c>
      <c r="BM702" t="n">
        <v>0</v>
      </c>
      <c r="BN702" t="n">
        <v>0</v>
      </c>
      <c r="BO702" t="n">
        <v>0</v>
      </c>
      <c r="BP702" t="n">
        <v>0</v>
      </c>
      <c r="BQ702" t="n">
        <v>0</v>
      </c>
      <c r="BR702" t="n">
        <v>0</v>
      </c>
      <c r="BS702" t="n">
        <v>0</v>
      </c>
      <c r="BT702" t="n">
        <v>0</v>
      </c>
      <c r="BU702" t="n">
        <v>0</v>
      </c>
      <c r="BV702" t="n">
        <v>0</v>
      </c>
      <c r="BW702" t="n">
        <v>0</v>
      </c>
      <c r="CU702">
        <f>ROUND(AT702*Source!I1475*AH702*AL702,0)</f>
        <v/>
      </c>
      <c r="CV702">
        <f>ROUND(Y702*Source!I1475,7)</f>
        <v/>
      </c>
      <c r="CW702" t="n">
        <v>0</v>
      </c>
      <c r="CX702">
        <f>ROUND(Y702*Source!I1475,7)</f>
        <v/>
      </c>
      <c r="CY702">
        <f>AD702</f>
        <v/>
      </c>
      <c r="CZ702">
        <f>AH702</f>
        <v/>
      </c>
      <c r="DA702">
        <f>AL702</f>
        <v/>
      </c>
      <c r="DB702">
        <f>ROUND(ROUND(AT702*CZ702,2),2)</f>
        <v/>
      </c>
      <c r="DC702">
        <f>ROUND(ROUND(AT702*AG702,2),2)</f>
        <v/>
      </c>
      <c r="DD702" t="inlineStr"/>
      <c r="DE702" t="inlineStr"/>
      <c r="DF702">
        <f>ROUND(ROUND(AE702,0)*CX702,0)</f>
        <v/>
      </c>
      <c r="DG702">
        <f>ROUND(ROUND(AF702,0)*CX702,0)</f>
        <v/>
      </c>
      <c r="DH702">
        <f>ROUND(ROUND(AG702,0)*CX702,0)</f>
        <v/>
      </c>
      <c r="DI702">
        <f>ROUND(ROUND(AH702,0)*CX702,0)</f>
        <v/>
      </c>
      <c r="DJ702">
        <f>DI702</f>
        <v/>
      </c>
      <c r="DK702" t="n">
        <v>0</v>
      </c>
      <c r="DL702" t="inlineStr"/>
      <c r="DM702" t="n">
        <v>0</v>
      </c>
      <c r="DN702" t="inlineStr"/>
      <c r="DO702" t="n">
        <v>0</v>
      </c>
    </row>
    <row r="703">
      <c r="A703">
        <f>ROW(Source!A1475)</f>
        <v/>
      </c>
      <c r="B703" t="n">
        <v>78869116</v>
      </c>
      <c r="C703" t="n">
        <v>78873299</v>
      </c>
      <c r="D703" t="n">
        <v>29174913</v>
      </c>
      <c r="E703" t="n">
        <v>1</v>
      </c>
      <c r="F703" t="n">
        <v>1</v>
      </c>
      <c r="G703" t="n">
        <v>1</v>
      </c>
      <c r="H703" t="n">
        <v>2</v>
      </c>
      <c r="I703" t="inlineStr">
        <is>
          <t>400001</t>
        </is>
      </c>
      <c r="J703" t="inlineStr">
        <is>
          <t>ТСЭМ Московской обл., 400001, приказ Минстроя России №675/пр от 28.02.2017 № 264/пр</t>
        </is>
      </c>
      <c r="K703" t="inlineStr">
        <is>
          <t>Автомобили бортовые, грузоподъемность до 5 т</t>
        </is>
      </c>
      <c r="L703" t="n">
        <v>1368</v>
      </c>
      <c r="N703" t="n">
        <v>1011</v>
      </c>
      <c r="O703" t="inlineStr">
        <is>
          <t>маш.-ч</t>
        </is>
      </c>
      <c r="P703" t="inlineStr">
        <is>
          <t>маш.-ч</t>
        </is>
      </c>
      <c r="Q703" t="n">
        <v>1</v>
      </c>
      <c r="W703" t="n">
        <v>0</v>
      </c>
      <c r="X703" t="n">
        <v>1230759911</v>
      </c>
      <c r="Y703">
        <f>AT703</f>
        <v/>
      </c>
      <c r="AA703" t="n">
        <v>0</v>
      </c>
      <c r="AB703" t="n">
        <v>2177.51</v>
      </c>
      <c r="AC703" t="n">
        <v>606.1</v>
      </c>
      <c r="AD703" t="n">
        <v>0</v>
      </c>
      <c r="AE703" t="n">
        <v>0</v>
      </c>
      <c r="AF703" t="n">
        <v>87.17</v>
      </c>
      <c r="AG703" t="n">
        <v>11.6</v>
      </c>
      <c r="AH703" t="n">
        <v>0</v>
      </c>
      <c r="AI703" t="n">
        <v>1</v>
      </c>
      <c r="AJ703" t="n">
        <v>24.98</v>
      </c>
      <c r="AK703" t="n">
        <v>52.25</v>
      </c>
      <c r="AL703" t="n">
        <v>1</v>
      </c>
      <c r="AM703" t="n">
        <v>2</v>
      </c>
      <c r="AN703" t="n">
        <v>0</v>
      </c>
      <c r="AO703" t="n">
        <v>1</v>
      </c>
      <c r="AP703" t="n">
        <v>1</v>
      </c>
      <c r="AQ703" t="n">
        <v>0</v>
      </c>
      <c r="AR703" t="n">
        <v>0</v>
      </c>
      <c r="AS703" t="inlineStr"/>
      <c r="AT703" t="n">
        <v>0.01</v>
      </c>
      <c r="AU703" t="inlineStr"/>
      <c r="AV703" t="n">
        <v>0</v>
      </c>
      <c r="AW703" t="n">
        <v>2</v>
      </c>
      <c r="AX703" t="n">
        <v>78873306</v>
      </c>
      <c r="AY703" t="n">
        <v>1</v>
      </c>
      <c r="AZ703" t="n">
        <v>0</v>
      </c>
      <c r="BA703" t="n">
        <v>645</v>
      </c>
      <c r="BB703" t="n">
        <v>0</v>
      </c>
      <c r="BC703" t="n">
        <v>0</v>
      </c>
      <c r="BD703" t="n">
        <v>0</v>
      </c>
      <c r="BE703" t="n">
        <v>0</v>
      </c>
      <c r="BF703" t="n">
        <v>0</v>
      </c>
      <c r="BG703" t="n">
        <v>0</v>
      </c>
      <c r="BH703" t="n">
        <v>0</v>
      </c>
      <c r="BI703" t="n">
        <v>0</v>
      </c>
      <c r="BJ703" t="n">
        <v>0</v>
      </c>
      <c r="BK703" t="n">
        <v>0</v>
      </c>
      <c r="BL703" t="n">
        <v>0</v>
      </c>
      <c r="BM703" t="n">
        <v>0</v>
      </c>
      <c r="BN703" t="n">
        <v>0</v>
      </c>
      <c r="BO703" t="n">
        <v>0</v>
      </c>
      <c r="BP703" t="n">
        <v>0</v>
      </c>
      <c r="BQ703" t="n">
        <v>0</v>
      </c>
      <c r="BR703" t="n">
        <v>0</v>
      </c>
      <c r="BS703" t="n">
        <v>0</v>
      </c>
      <c r="BT703" t="n">
        <v>0</v>
      </c>
      <c r="BU703" t="n">
        <v>0</v>
      </c>
      <c r="BV703" t="n">
        <v>0</v>
      </c>
      <c r="BW703" t="n">
        <v>0</v>
      </c>
      <c r="CV703" t="n">
        <v>0</v>
      </c>
      <c r="CW703">
        <f>ROUND(Y703*Source!I1475*DO703,7)</f>
        <v/>
      </c>
      <c r="CX703">
        <f>ROUND(Y703*Source!I1475,7)</f>
        <v/>
      </c>
      <c r="CY703">
        <f>AB703</f>
        <v/>
      </c>
      <c r="CZ703">
        <f>AF703</f>
        <v/>
      </c>
      <c r="DA703">
        <f>AJ703</f>
        <v/>
      </c>
      <c r="DB703">
        <f>ROUND(ROUND(AT703*CZ703,2),2)</f>
        <v/>
      </c>
      <c r="DC703">
        <f>ROUND(ROUND(AT703*AG703,2),2)</f>
        <v/>
      </c>
      <c r="DD703" t="inlineStr"/>
      <c r="DE703" t="inlineStr"/>
      <c r="DF703">
        <f>ROUND(ROUND(AE703,0)*CX703,0)</f>
        <v/>
      </c>
      <c r="DG703">
        <f>ROUND(ROUND(AF703*AJ703,0)*CX703,0)</f>
        <v/>
      </c>
      <c r="DH703">
        <f>ROUND(ROUND(AG703*AK703,0)*CX703,0)</f>
        <v/>
      </c>
      <c r="DI703">
        <f>ROUND(ROUND(AH703,0)*CX703,0)</f>
        <v/>
      </c>
      <c r="DJ703">
        <f>DG703</f>
        <v/>
      </c>
      <c r="DK703" t="n">
        <v>0</v>
      </c>
      <c r="DL703" t="inlineStr"/>
      <c r="DM703" t="n">
        <v>0</v>
      </c>
      <c r="DN703" t="inlineStr"/>
      <c r="DO703" t="n">
        <v>0</v>
      </c>
    </row>
    <row r="704">
      <c r="A704">
        <f>ROW(Source!A1475)</f>
        <v/>
      </c>
      <c r="B704" t="n">
        <v>78869116</v>
      </c>
      <c r="C704" t="n">
        <v>78873299</v>
      </c>
      <c r="D704" t="n">
        <v>29110139</v>
      </c>
      <c r="E704" t="n">
        <v>1</v>
      </c>
      <c r="F704" t="n">
        <v>1</v>
      </c>
      <c r="G704" t="n">
        <v>1</v>
      </c>
      <c r="H704" t="n">
        <v>3</v>
      </c>
      <c r="I704" t="inlineStr">
        <is>
          <t>101-1703</t>
        </is>
      </c>
      <c r="J704" t="inlineStr">
        <is>
          <t>ТССЦ Московской обл., 101-1703, приказ Минстроя России №675/пр от 28.02.2017 № 254/пр</t>
        </is>
      </c>
      <c r="K704" t="inlineStr">
        <is>
          <t>Прокладки резиновые (пластина техническая прессованная)</t>
        </is>
      </c>
      <c r="L704" t="n">
        <v>1346</v>
      </c>
      <c r="N704" t="n">
        <v>1009</v>
      </c>
      <c r="O704" t="inlineStr">
        <is>
          <t>кг</t>
        </is>
      </c>
      <c r="P704" t="inlineStr">
        <is>
          <t>кг</t>
        </is>
      </c>
      <c r="Q704" t="n">
        <v>1</v>
      </c>
      <c r="W704" t="n">
        <v>0</v>
      </c>
      <c r="X704" t="n">
        <v>-1947909329</v>
      </c>
      <c r="Y704">
        <f>AT704</f>
        <v/>
      </c>
      <c r="AA704" t="n">
        <v>341.04</v>
      </c>
      <c r="AB704" t="n">
        <v>0</v>
      </c>
      <c r="AC704" t="n">
        <v>0</v>
      </c>
      <c r="AD704" t="n">
        <v>0</v>
      </c>
      <c r="AE704" t="n">
        <v>23.09</v>
      </c>
      <c r="AF704" t="n">
        <v>0</v>
      </c>
      <c r="AG704" t="n">
        <v>0</v>
      </c>
      <c r="AH704" t="n">
        <v>0</v>
      </c>
      <c r="AI704" t="n">
        <v>14.77</v>
      </c>
      <c r="AJ704" t="n">
        <v>1</v>
      </c>
      <c r="AK704" t="n">
        <v>1</v>
      </c>
      <c r="AL704" t="n">
        <v>1</v>
      </c>
      <c r="AM704" t="n">
        <v>2</v>
      </c>
      <c r="AN704" t="n">
        <v>0</v>
      </c>
      <c r="AO704" t="n">
        <v>1</v>
      </c>
      <c r="AP704" t="n">
        <v>1</v>
      </c>
      <c r="AQ704" t="n">
        <v>0</v>
      </c>
      <c r="AR704" t="n">
        <v>0</v>
      </c>
      <c r="AS704" t="inlineStr"/>
      <c r="AT704" t="n">
        <v>2</v>
      </c>
      <c r="AU704" t="inlineStr"/>
      <c r="AV704" t="n">
        <v>0</v>
      </c>
      <c r="AW704" t="n">
        <v>2</v>
      </c>
      <c r="AX704" t="n">
        <v>78873307</v>
      </c>
      <c r="AY704" t="n">
        <v>1</v>
      </c>
      <c r="AZ704" t="n">
        <v>0</v>
      </c>
      <c r="BA704" t="n">
        <v>646</v>
      </c>
      <c r="BB704" t="n">
        <v>0</v>
      </c>
      <c r="BC704" t="n">
        <v>0</v>
      </c>
      <c r="BD704" t="n">
        <v>0</v>
      </c>
      <c r="BE704" t="n">
        <v>0</v>
      </c>
      <c r="BF704" t="n">
        <v>0</v>
      </c>
      <c r="BG704" t="n">
        <v>0</v>
      </c>
      <c r="BH704" t="n">
        <v>0</v>
      </c>
      <c r="BI704" t="n">
        <v>0</v>
      </c>
      <c r="BJ704" t="n">
        <v>0</v>
      </c>
      <c r="BK704" t="n">
        <v>0</v>
      </c>
      <c r="BL704" t="n">
        <v>0</v>
      </c>
      <c r="BM704" t="n">
        <v>0</v>
      </c>
      <c r="BN704" t="n">
        <v>0</v>
      </c>
      <c r="BO704" t="n">
        <v>0</v>
      </c>
      <c r="BP704" t="n">
        <v>0</v>
      </c>
      <c r="BQ704" t="n">
        <v>0</v>
      </c>
      <c r="BR704" t="n">
        <v>0</v>
      </c>
      <c r="BS704" t="n">
        <v>0</v>
      </c>
      <c r="BT704" t="n">
        <v>0</v>
      </c>
      <c r="BU704" t="n">
        <v>0</v>
      </c>
      <c r="BV704" t="n">
        <v>0</v>
      </c>
      <c r="BW704" t="n">
        <v>0</v>
      </c>
      <c r="CV704" t="n">
        <v>0</v>
      </c>
      <c r="CW704" t="n">
        <v>0</v>
      </c>
      <c r="CX704">
        <f>ROUND(Y704*Source!I1475,7)</f>
        <v/>
      </c>
      <c r="CY704">
        <f>AA704</f>
        <v/>
      </c>
      <c r="CZ704">
        <f>AE704</f>
        <v/>
      </c>
      <c r="DA704">
        <f>AI704</f>
        <v/>
      </c>
      <c r="DB704">
        <f>ROUND(ROUND(AT704*CZ704,2),2)</f>
        <v/>
      </c>
      <c r="DC704">
        <f>ROUND(ROUND(AT704*AG704,2),2)</f>
        <v/>
      </c>
      <c r="DD704" t="inlineStr"/>
      <c r="DE704" t="inlineStr"/>
      <c r="DF704">
        <f>ROUND(ROUND(AE704*AI704,0)*CX704,0)</f>
        <v/>
      </c>
      <c r="DG704">
        <f>ROUND(ROUND(AF704,0)*CX704,0)</f>
        <v/>
      </c>
      <c r="DH704">
        <f>ROUND(ROUND(AG704,0)*CX704,0)</f>
        <v/>
      </c>
      <c r="DI704">
        <f>ROUND(ROUND(AH704,0)*CX704,0)</f>
        <v/>
      </c>
      <c r="DJ704">
        <f>DF704</f>
        <v/>
      </c>
      <c r="DK704" t="n">
        <v>0</v>
      </c>
      <c r="DL704" t="inlineStr"/>
      <c r="DM704" t="n">
        <v>0</v>
      </c>
      <c r="DN704" t="inlineStr"/>
      <c r="DO704" t="n">
        <v>0</v>
      </c>
    </row>
    <row r="705">
      <c r="A705">
        <f>ROW(Source!A1475)</f>
        <v/>
      </c>
      <c r="B705" t="n">
        <v>78869116</v>
      </c>
      <c r="C705" t="n">
        <v>78873299</v>
      </c>
      <c r="D705" t="n">
        <v>29114240</v>
      </c>
      <c r="E705" t="n">
        <v>1</v>
      </c>
      <c r="F705" t="n">
        <v>1</v>
      </c>
      <c r="G705" t="n">
        <v>1</v>
      </c>
      <c r="H705" t="n">
        <v>3</v>
      </c>
      <c r="I705" t="inlineStr">
        <is>
          <t>101-2576</t>
        </is>
      </c>
      <c r="J705" t="inlineStr">
        <is>
          <t>ТССЦ Московской обл., 101-2576, приказ Минстроя России №675/пр от 28.02.2017 № 254/пр</t>
        </is>
      </c>
      <c r="K705" t="inlineStr">
        <is>
          <t>Болты с гайками и шайбами для санитарно-технических работ диаметром 16 мм</t>
        </is>
      </c>
      <c r="L705" t="n">
        <v>1348</v>
      </c>
      <c r="N705" t="n">
        <v>1009</v>
      </c>
      <c r="O705" t="inlineStr">
        <is>
          <t>т</t>
        </is>
      </c>
      <c r="P705" t="inlineStr">
        <is>
          <t>т</t>
        </is>
      </c>
      <c r="Q705" t="n">
        <v>1000</v>
      </c>
      <c r="W705" t="n">
        <v>0</v>
      </c>
      <c r="X705" t="n">
        <v>-1701539228</v>
      </c>
      <c r="Y705">
        <f>AT705</f>
        <v/>
      </c>
      <c r="AA705" t="n">
        <v>145037.4</v>
      </c>
      <c r="AB705" t="n">
        <v>0</v>
      </c>
      <c r="AC705" t="n">
        <v>0</v>
      </c>
      <c r="AD705" t="n">
        <v>0</v>
      </c>
      <c r="AE705" t="n">
        <v>14830</v>
      </c>
      <c r="AF705" t="n">
        <v>0</v>
      </c>
      <c r="AG705" t="n">
        <v>0</v>
      </c>
      <c r="AH705" t="n">
        <v>0</v>
      </c>
      <c r="AI705" t="n">
        <v>9.779999999999999</v>
      </c>
      <c r="AJ705" t="n">
        <v>1</v>
      </c>
      <c r="AK705" t="n">
        <v>1</v>
      </c>
      <c r="AL705" t="n">
        <v>1</v>
      </c>
      <c r="AM705" t="n">
        <v>2</v>
      </c>
      <c r="AN705" t="n">
        <v>0</v>
      </c>
      <c r="AO705" t="n">
        <v>1</v>
      </c>
      <c r="AP705" t="n">
        <v>1</v>
      </c>
      <c r="AQ705" t="n">
        <v>0</v>
      </c>
      <c r="AR705" t="n">
        <v>0</v>
      </c>
      <c r="AS705" t="inlineStr"/>
      <c r="AT705" t="n">
        <v>0.005</v>
      </c>
      <c r="AU705" t="inlineStr"/>
      <c r="AV705" t="n">
        <v>0</v>
      </c>
      <c r="AW705" t="n">
        <v>2</v>
      </c>
      <c r="AX705" t="n">
        <v>78873308</v>
      </c>
      <c r="AY705" t="n">
        <v>1</v>
      </c>
      <c r="AZ705" t="n">
        <v>0</v>
      </c>
      <c r="BA705" t="n">
        <v>647</v>
      </c>
      <c r="BB705" t="n">
        <v>0</v>
      </c>
      <c r="BC705" t="n">
        <v>0</v>
      </c>
      <c r="BD705" t="n">
        <v>0</v>
      </c>
      <c r="BE705" t="n">
        <v>0</v>
      </c>
      <c r="BF705" t="n">
        <v>0</v>
      </c>
      <c r="BG705" t="n">
        <v>0</v>
      </c>
      <c r="BH705" t="n">
        <v>0</v>
      </c>
      <c r="BI705" t="n">
        <v>0</v>
      </c>
      <c r="BJ705" t="n">
        <v>0</v>
      </c>
      <c r="BK705" t="n">
        <v>0</v>
      </c>
      <c r="BL705" t="n">
        <v>0</v>
      </c>
      <c r="BM705" t="n">
        <v>0</v>
      </c>
      <c r="BN705" t="n">
        <v>0</v>
      </c>
      <c r="BO705" t="n">
        <v>0</v>
      </c>
      <c r="BP705" t="n">
        <v>0</v>
      </c>
      <c r="BQ705" t="n">
        <v>0</v>
      </c>
      <c r="BR705" t="n">
        <v>0</v>
      </c>
      <c r="BS705" t="n">
        <v>0</v>
      </c>
      <c r="BT705" t="n">
        <v>0</v>
      </c>
      <c r="BU705" t="n">
        <v>0</v>
      </c>
      <c r="BV705" t="n">
        <v>0</v>
      </c>
      <c r="BW705" t="n">
        <v>0</v>
      </c>
      <c r="CV705" t="n">
        <v>0</v>
      </c>
      <c r="CW705" t="n">
        <v>0</v>
      </c>
      <c r="CX705">
        <f>ROUND(Y705*Source!I1475,7)</f>
        <v/>
      </c>
      <c r="CY705">
        <f>AA705</f>
        <v/>
      </c>
      <c r="CZ705">
        <f>AE705</f>
        <v/>
      </c>
      <c r="DA705">
        <f>AI705</f>
        <v/>
      </c>
      <c r="DB705">
        <f>ROUND(ROUND(AT705*CZ705,2),2)</f>
        <v/>
      </c>
      <c r="DC705">
        <f>ROUND(ROUND(AT705*AG705,2),2)</f>
        <v/>
      </c>
      <c r="DD705" t="inlineStr"/>
      <c r="DE705" t="inlineStr"/>
      <c r="DF705">
        <f>ROUND(ROUND(AE705*AI705,0)*CX705,0)</f>
        <v/>
      </c>
      <c r="DG705">
        <f>ROUND(ROUND(AF705,0)*CX705,0)</f>
        <v/>
      </c>
      <c r="DH705">
        <f>ROUND(ROUND(AG705,0)*CX705,0)</f>
        <v/>
      </c>
      <c r="DI705">
        <f>ROUND(ROUND(AH705,0)*CX705,0)</f>
        <v/>
      </c>
      <c r="DJ705">
        <f>DF705</f>
        <v/>
      </c>
      <c r="DK705" t="n">
        <v>0</v>
      </c>
      <c r="DL705" t="inlineStr"/>
      <c r="DM705" t="n">
        <v>0</v>
      </c>
      <c r="DN705" t="inlineStr"/>
      <c r="DO705" t="n">
        <v>0</v>
      </c>
    </row>
    <row r="706">
      <c r="A706">
        <f>ROW(Source!A1475)</f>
        <v/>
      </c>
      <c r="B706" t="n">
        <v>78869116</v>
      </c>
      <c r="C706" t="n">
        <v>78873299</v>
      </c>
      <c r="D706" t="n">
        <v>29150040</v>
      </c>
      <c r="E706" t="n">
        <v>1</v>
      </c>
      <c r="F706" t="n">
        <v>1</v>
      </c>
      <c r="G706" t="n">
        <v>1</v>
      </c>
      <c r="H706" t="n">
        <v>3</v>
      </c>
      <c r="I706" t="inlineStr">
        <is>
          <t>411-0001</t>
        </is>
      </c>
      <c r="J706" t="inlineStr">
        <is>
          <t>ТССЦ Московской обл., 411-0001, приказ Минстроя России №675/пр от 28.02.2017 № 257/пр</t>
        </is>
      </c>
      <c r="K706" t="inlineStr">
        <is>
          <t>Вода</t>
        </is>
      </c>
      <c r="L706" t="n">
        <v>1339</v>
      </c>
      <c r="N706" t="n">
        <v>1007</v>
      </c>
      <c r="O706" t="inlineStr">
        <is>
          <t>м3</t>
        </is>
      </c>
      <c r="P706" t="inlineStr">
        <is>
          <t>м3</t>
        </is>
      </c>
      <c r="Q706" t="n">
        <v>1</v>
      </c>
      <c r="W706" t="n">
        <v>0</v>
      </c>
      <c r="X706" t="n">
        <v>619799737</v>
      </c>
      <c r="Y706">
        <f>AT706</f>
        <v/>
      </c>
      <c r="AA706" t="n">
        <v>31.28</v>
      </c>
      <c r="AB706" t="n">
        <v>0</v>
      </c>
      <c r="AC706" t="n">
        <v>0</v>
      </c>
      <c r="AD706" t="n">
        <v>0</v>
      </c>
      <c r="AE706" t="n">
        <v>2.44</v>
      </c>
      <c r="AF706" t="n">
        <v>0</v>
      </c>
      <c r="AG706" t="n">
        <v>0</v>
      </c>
      <c r="AH706" t="n">
        <v>0</v>
      </c>
      <c r="AI706" t="n">
        <v>12.82</v>
      </c>
      <c r="AJ706" t="n">
        <v>1</v>
      </c>
      <c r="AK706" t="n">
        <v>1</v>
      </c>
      <c r="AL706" t="n">
        <v>1</v>
      </c>
      <c r="AM706" t="n">
        <v>2</v>
      </c>
      <c r="AN706" t="n">
        <v>0</v>
      </c>
      <c r="AO706" t="n">
        <v>1</v>
      </c>
      <c r="AP706" t="n">
        <v>1</v>
      </c>
      <c r="AQ706" t="n">
        <v>0</v>
      </c>
      <c r="AR706" t="n">
        <v>0</v>
      </c>
      <c r="AS706" t="inlineStr"/>
      <c r="AT706" t="n">
        <v>7.8</v>
      </c>
      <c r="AU706" t="inlineStr"/>
      <c r="AV706" t="n">
        <v>0</v>
      </c>
      <c r="AW706" t="n">
        <v>2</v>
      </c>
      <c r="AX706" t="n">
        <v>78873309</v>
      </c>
      <c r="AY706" t="n">
        <v>1</v>
      </c>
      <c r="AZ706" t="n">
        <v>0</v>
      </c>
      <c r="BA706" t="n">
        <v>648</v>
      </c>
      <c r="BB706" t="n">
        <v>0</v>
      </c>
      <c r="BC706" t="n">
        <v>0</v>
      </c>
      <c r="BD706" t="n">
        <v>0</v>
      </c>
      <c r="BE706" t="n">
        <v>0</v>
      </c>
      <c r="BF706" t="n">
        <v>0</v>
      </c>
      <c r="BG706" t="n">
        <v>0</v>
      </c>
      <c r="BH706" t="n">
        <v>0</v>
      </c>
      <c r="BI706" t="n">
        <v>0</v>
      </c>
      <c r="BJ706" t="n">
        <v>0</v>
      </c>
      <c r="BK706" t="n">
        <v>0</v>
      </c>
      <c r="BL706" t="n">
        <v>0</v>
      </c>
      <c r="BM706" t="n">
        <v>0</v>
      </c>
      <c r="BN706" t="n">
        <v>0</v>
      </c>
      <c r="BO706" t="n">
        <v>0</v>
      </c>
      <c r="BP706" t="n">
        <v>0</v>
      </c>
      <c r="BQ706" t="n">
        <v>0</v>
      </c>
      <c r="BR706" t="n">
        <v>0</v>
      </c>
      <c r="BS706" t="n">
        <v>0</v>
      </c>
      <c r="BT706" t="n">
        <v>0</v>
      </c>
      <c r="BU706" t="n">
        <v>0</v>
      </c>
      <c r="BV706" t="n">
        <v>0</v>
      </c>
      <c r="BW706" t="n">
        <v>0</v>
      </c>
      <c r="CV706" t="n">
        <v>0</v>
      </c>
      <c r="CW706" t="n">
        <v>0</v>
      </c>
      <c r="CX706">
        <f>ROUND(Y706*Source!I1475,7)</f>
        <v/>
      </c>
      <c r="CY706">
        <f>AA706</f>
        <v/>
      </c>
      <c r="CZ706">
        <f>AE706</f>
        <v/>
      </c>
      <c r="DA706">
        <f>AI706</f>
        <v/>
      </c>
      <c r="DB706">
        <f>ROUND(ROUND(AT706*CZ706,2),2)</f>
        <v/>
      </c>
      <c r="DC706">
        <f>ROUND(ROUND(AT706*AG706,2),2)</f>
        <v/>
      </c>
      <c r="DD706" t="inlineStr"/>
      <c r="DE706" t="inlineStr"/>
      <c r="DF706">
        <f>ROUND(ROUND(AE706*AI706,0)*CX706,0)</f>
        <v/>
      </c>
      <c r="DG706">
        <f>ROUND(ROUND(AF706,0)*CX706,0)</f>
        <v/>
      </c>
      <c r="DH706">
        <f>ROUND(ROUND(AG706,0)*CX706,0)</f>
        <v/>
      </c>
      <c r="DI706">
        <f>ROUND(ROUND(AH706,0)*CX706,0)</f>
        <v/>
      </c>
      <c r="DJ706">
        <f>DF706</f>
        <v/>
      </c>
      <c r="DK706" t="n">
        <v>0</v>
      </c>
      <c r="DL706" t="inlineStr"/>
      <c r="DM706" t="n">
        <v>0</v>
      </c>
      <c r="DN706" t="inlineStr"/>
      <c r="DO706" t="n">
        <v>0</v>
      </c>
    </row>
    <row r="707">
      <c r="A707">
        <f>ROW(Source!A1476)</f>
        <v/>
      </c>
      <c r="B707" t="n">
        <v>78869116</v>
      </c>
      <c r="C707" t="n">
        <v>78873310</v>
      </c>
      <c r="D707" t="n">
        <v>18407150</v>
      </c>
      <c r="E707" t="n">
        <v>1</v>
      </c>
      <c r="F707" t="n">
        <v>1</v>
      </c>
      <c r="G707" t="n">
        <v>1</v>
      </c>
      <c r="H707" t="n">
        <v>1</v>
      </c>
      <c r="I707" t="inlineStr">
        <is>
          <t>1-1030-90</t>
        </is>
      </c>
      <c r="J707" t="inlineStr"/>
      <c r="K707" t="inlineStr">
        <is>
          <t>Рабочий строитель среднего разряда 3</t>
        </is>
      </c>
      <c r="L707" t="n">
        <v>1369</v>
      </c>
      <c r="N707" t="n">
        <v>1013</v>
      </c>
      <c r="O707" t="inlineStr">
        <is>
          <t>чел.-ч</t>
        </is>
      </c>
      <c r="P707" t="inlineStr">
        <is>
          <t>чел.-ч</t>
        </is>
      </c>
      <c r="Q707" t="n">
        <v>1</v>
      </c>
      <c r="W707" t="n">
        <v>0</v>
      </c>
      <c r="X707" t="n">
        <v>-931037793</v>
      </c>
      <c r="Y707">
        <f>AT707</f>
        <v/>
      </c>
      <c r="AA707" t="n">
        <v>0</v>
      </c>
      <c r="AB707" t="n">
        <v>0</v>
      </c>
      <c r="AC707" t="n">
        <v>0</v>
      </c>
      <c r="AD707" t="n">
        <v>8.529999999999999</v>
      </c>
      <c r="AE707" t="n">
        <v>0</v>
      </c>
      <c r="AF707" t="n">
        <v>0</v>
      </c>
      <c r="AG707" t="n">
        <v>0</v>
      </c>
      <c r="AH707" t="n">
        <v>8.529999999999999</v>
      </c>
      <c r="AI707" t="n">
        <v>1</v>
      </c>
      <c r="AJ707" t="n">
        <v>1</v>
      </c>
      <c r="AK707" t="n">
        <v>1</v>
      </c>
      <c r="AL707" t="n">
        <v>1</v>
      </c>
      <c r="AM707" t="n">
        <v>-2</v>
      </c>
      <c r="AN707" t="n">
        <v>0</v>
      </c>
      <c r="AO707" t="n">
        <v>1</v>
      </c>
      <c r="AP707" t="n">
        <v>0</v>
      </c>
      <c r="AQ707" t="n">
        <v>0</v>
      </c>
      <c r="AR707" t="n">
        <v>0</v>
      </c>
      <c r="AS707" t="inlineStr"/>
      <c r="AT707" t="n">
        <v>13.9</v>
      </c>
      <c r="AU707" t="inlineStr"/>
      <c r="AV707" t="n">
        <v>1</v>
      </c>
      <c r="AW707" t="n">
        <v>2</v>
      </c>
      <c r="AX707" t="n">
        <v>78873314</v>
      </c>
      <c r="AY707" t="n">
        <v>1</v>
      </c>
      <c r="AZ707" t="n">
        <v>0</v>
      </c>
      <c r="BA707" t="n">
        <v>649</v>
      </c>
      <c r="BB707" t="n">
        <v>0</v>
      </c>
      <c r="BC707" t="n">
        <v>0</v>
      </c>
      <c r="BD707" t="n">
        <v>0</v>
      </c>
      <c r="BE707" t="n">
        <v>0</v>
      </c>
      <c r="BF707" t="n">
        <v>0</v>
      </c>
      <c r="BG707" t="n">
        <v>0</v>
      </c>
      <c r="BH707" t="n">
        <v>0</v>
      </c>
      <c r="BI707" t="n">
        <v>0</v>
      </c>
      <c r="BJ707" t="n">
        <v>0</v>
      </c>
      <c r="BK707" t="n">
        <v>0</v>
      </c>
      <c r="BL707" t="n">
        <v>0</v>
      </c>
      <c r="BM707" t="n">
        <v>0</v>
      </c>
      <c r="BN707" t="n">
        <v>0</v>
      </c>
      <c r="BO707" t="n">
        <v>0</v>
      </c>
      <c r="BP707" t="n">
        <v>0</v>
      </c>
      <c r="BQ707" t="n">
        <v>0</v>
      </c>
      <c r="BR707" t="n">
        <v>0</v>
      </c>
      <c r="BS707" t="n">
        <v>0</v>
      </c>
      <c r="BT707" t="n">
        <v>0</v>
      </c>
      <c r="BU707" t="n">
        <v>0</v>
      </c>
      <c r="BV707" t="n">
        <v>0</v>
      </c>
      <c r="BW707" t="n">
        <v>0</v>
      </c>
      <c r="CU707">
        <f>ROUND(AT707*Source!I1476*AH707*AL707,0)</f>
        <v/>
      </c>
      <c r="CV707">
        <f>ROUND(Y707*Source!I1476,7)</f>
        <v/>
      </c>
      <c r="CW707" t="n">
        <v>0</v>
      </c>
      <c r="CX707">
        <f>ROUND(Y707*Source!I1476,7)</f>
        <v/>
      </c>
      <c r="CY707">
        <f>AD707</f>
        <v/>
      </c>
      <c r="CZ707">
        <f>AH707</f>
        <v/>
      </c>
      <c r="DA707">
        <f>AL707</f>
        <v/>
      </c>
      <c r="DB707">
        <f>ROUND(ROUND(AT707*CZ707,2),2)</f>
        <v/>
      </c>
      <c r="DC707">
        <f>ROUND(ROUND(AT707*AG707,2),2)</f>
        <v/>
      </c>
      <c r="DD707" t="inlineStr"/>
      <c r="DE707" t="inlineStr"/>
      <c r="DF707">
        <f>ROUND(ROUND(AE707,0)*CX707,0)</f>
        <v/>
      </c>
      <c r="DG707">
        <f>ROUND(ROUND(AF707,0)*CX707,0)</f>
        <v/>
      </c>
      <c r="DH707">
        <f>ROUND(ROUND(AG707,0)*CX707,0)</f>
        <v/>
      </c>
      <c r="DI707">
        <f>ROUND(ROUND(AH707,0)*CX707,0)</f>
        <v/>
      </c>
      <c r="DJ707">
        <f>DI707</f>
        <v/>
      </c>
      <c r="DK707" t="n">
        <v>0</v>
      </c>
      <c r="DL707" t="inlineStr"/>
      <c r="DM707" t="n">
        <v>0</v>
      </c>
      <c r="DN707" t="inlineStr"/>
      <c r="DO707" t="n">
        <v>0</v>
      </c>
    </row>
    <row r="708">
      <c r="A708">
        <f>ROW(Source!A1476)</f>
        <v/>
      </c>
      <c r="B708" t="n">
        <v>78869116</v>
      </c>
      <c r="C708" t="n">
        <v>78873310</v>
      </c>
      <c r="D708" t="n">
        <v>29169821</v>
      </c>
      <c r="E708" t="n">
        <v>1</v>
      </c>
      <c r="F708" t="n">
        <v>1</v>
      </c>
      <c r="G708" t="n">
        <v>1</v>
      </c>
      <c r="H708" t="n">
        <v>3</v>
      </c>
      <c r="I708" t="inlineStr">
        <is>
          <t>509-0696</t>
        </is>
      </c>
      <c r="J708" t="inlineStr">
        <is>
          <t>ТССЦ Московской обл., 509-0696, приказ Минстроя России №675/пр от 28.02.2017 № 258/пр</t>
        </is>
      </c>
      <c r="K708" t="inlineStr">
        <is>
          <t>Лампы люминесцентные ртутные низкого давления типа ЛБ, ЛД, ЛДЦ, ЛТВ, ЛБХ 20</t>
        </is>
      </c>
      <c r="L708" t="n">
        <v>1358</v>
      </c>
      <c r="N708" t="n">
        <v>1010</v>
      </c>
      <c r="O708" t="inlineStr">
        <is>
          <t>10 шт.</t>
        </is>
      </c>
      <c r="P708" t="inlineStr">
        <is>
          <t>10 шт.</t>
        </is>
      </c>
      <c r="Q708" t="n">
        <v>10</v>
      </c>
      <c r="W708" t="n">
        <v>0</v>
      </c>
      <c r="X708" t="n">
        <v>-1187244712</v>
      </c>
      <c r="Y708">
        <f>AT708</f>
        <v/>
      </c>
      <c r="AA708" t="n">
        <v>352.73</v>
      </c>
      <c r="AB708" t="n">
        <v>0</v>
      </c>
      <c r="AC708" t="n">
        <v>0</v>
      </c>
      <c r="AD708" t="n">
        <v>0</v>
      </c>
      <c r="AE708" t="n">
        <v>85.2</v>
      </c>
      <c r="AF708" t="n">
        <v>0</v>
      </c>
      <c r="AG708" t="n">
        <v>0</v>
      </c>
      <c r="AH708" t="n">
        <v>0</v>
      </c>
      <c r="AI708" t="n">
        <v>4.14</v>
      </c>
      <c r="AJ708" t="n">
        <v>1</v>
      </c>
      <c r="AK708" t="n">
        <v>1</v>
      </c>
      <c r="AL708" t="n">
        <v>1</v>
      </c>
      <c r="AM708" t="n">
        <v>2</v>
      </c>
      <c r="AN708" t="n">
        <v>0</v>
      </c>
      <c r="AO708" t="n">
        <v>1</v>
      </c>
      <c r="AP708" t="n">
        <v>0</v>
      </c>
      <c r="AQ708" t="n">
        <v>0</v>
      </c>
      <c r="AR708" t="n">
        <v>0</v>
      </c>
      <c r="AS708" t="inlineStr"/>
      <c r="AT708" t="n">
        <v>10</v>
      </c>
      <c r="AU708" t="inlineStr"/>
      <c r="AV708" t="n">
        <v>0</v>
      </c>
      <c r="AW708" t="n">
        <v>2</v>
      </c>
      <c r="AX708" t="n">
        <v>78873315</v>
      </c>
      <c r="AY708" t="n">
        <v>1</v>
      </c>
      <c r="AZ708" t="n">
        <v>0</v>
      </c>
      <c r="BA708" t="n">
        <v>650</v>
      </c>
      <c r="BB708" t="n">
        <v>0</v>
      </c>
      <c r="BC708" t="n">
        <v>0</v>
      </c>
      <c r="BD708" t="n">
        <v>0</v>
      </c>
      <c r="BE708" t="n">
        <v>0</v>
      </c>
      <c r="BF708" t="n">
        <v>0</v>
      </c>
      <c r="BG708" t="n">
        <v>0</v>
      </c>
      <c r="BH708" t="n">
        <v>0</v>
      </c>
      <c r="BI708" t="n">
        <v>0</v>
      </c>
      <c r="BJ708" t="n">
        <v>0</v>
      </c>
      <c r="BK708" t="n">
        <v>0</v>
      </c>
      <c r="BL708" t="n">
        <v>0</v>
      </c>
      <c r="BM708" t="n">
        <v>0</v>
      </c>
      <c r="BN708" t="n">
        <v>0</v>
      </c>
      <c r="BO708" t="n">
        <v>0</v>
      </c>
      <c r="BP708" t="n">
        <v>0</v>
      </c>
      <c r="BQ708" t="n">
        <v>0</v>
      </c>
      <c r="BR708" t="n">
        <v>0</v>
      </c>
      <c r="BS708" t="n">
        <v>0</v>
      </c>
      <c r="BT708" t="n">
        <v>0</v>
      </c>
      <c r="BU708" t="n">
        <v>0</v>
      </c>
      <c r="BV708" t="n">
        <v>0</v>
      </c>
      <c r="BW708" t="n">
        <v>0</v>
      </c>
      <c r="CV708" t="n">
        <v>0</v>
      </c>
      <c r="CW708" t="n">
        <v>0</v>
      </c>
      <c r="CX708">
        <f>ROUND(Y708*Source!I1476,7)</f>
        <v/>
      </c>
      <c r="CY708">
        <f>AA708</f>
        <v/>
      </c>
      <c r="CZ708">
        <f>AE708</f>
        <v/>
      </c>
      <c r="DA708">
        <f>AI708</f>
        <v/>
      </c>
      <c r="DB708">
        <f>ROUND(ROUND(AT708*CZ708,2),2)</f>
        <v/>
      </c>
      <c r="DC708">
        <f>ROUND(ROUND(AT708*AG708,2),2)</f>
        <v/>
      </c>
      <c r="DD708" t="inlineStr"/>
      <c r="DE708" t="inlineStr"/>
      <c r="DF708">
        <f>ROUND(ROUND(AE708*AI708,0)*CX708,0)</f>
        <v/>
      </c>
      <c r="DG708">
        <f>ROUND(ROUND(AF708,0)*CX708,0)</f>
        <v/>
      </c>
      <c r="DH708">
        <f>ROUND(ROUND(AG708,0)*CX708,0)</f>
        <v/>
      </c>
      <c r="DI708">
        <f>ROUND(ROUND(AH708,0)*CX708,0)</f>
        <v/>
      </c>
      <c r="DJ708">
        <f>DF708</f>
        <v/>
      </c>
      <c r="DK708" t="n">
        <v>0</v>
      </c>
      <c r="DL708" t="inlineStr"/>
      <c r="DM708" t="n">
        <v>0</v>
      </c>
      <c r="DN708" t="inlineStr"/>
      <c r="DO708" t="n">
        <v>0</v>
      </c>
    </row>
    <row r="709">
      <c r="A709">
        <f>ROW(Source!A1476)</f>
        <v/>
      </c>
      <c r="B709" t="n">
        <v>78869116</v>
      </c>
      <c r="C709" t="n">
        <v>78873310</v>
      </c>
      <c r="D709" t="n">
        <v>29169828</v>
      </c>
      <c r="E709" t="n">
        <v>1</v>
      </c>
      <c r="F709" t="n">
        <v>1</v>
      </c>
      <c r="G709" t="n">
        <v>1</v>
      </c>
      <c r="H709" t="n">
        <v>3</v>
      </c>
      <c r="I709" t="inlineStr">
        <is>
          <t>509-6744</t>
        </is>
      </c>
      <c r="J709" t="inlineStr">
        <is>
          <t>ТССЦ Московской обл., 509-6744, приказ Минстроя России №675/пр от 28.02.2017 № 258/пр</t>
        </is>
      </c>
      <c r="K709" t="inlineStr">
        <is>
          <t>Лампы люминесцентные компактные энергосберегающие с цоколем Е27 мощностью 55 Вт</t>
        </is>
      </c>
      <c r="L709" t="n">
        <v>1354</v>
      </c>
      <c r="N709" t="n">
        <v>1010</v>
      </c>
      <c r="O709" t="inlineStr">
        <is>
          <t>шт.</t>
        </is>
      </c>
      <c r="P709" t="inlineStr">
        <is>
          <t>шт.</t>
        </is>
      </c>
      <c r="Q709" t="n">
        <v>1</v>
      </c>
      <c r="W709" t="n">
        <v>0</v>
      </c>
      <c r="X709" t="n">
        <v>-228955380</v>
      </c>
      <c r="Y709">
        <f>AT709</f>
        <v/>
      </c>
      <c r="AA709" t="n">
        <v>237.77</v>
      </c>
      <c r="AB709" t="n">
        <v>0</v>
      </c>
      <c r="AC709" t="n">
        <v>0</v>
      </c>
      <c r="AD709" t="n">
        <v>0</v>
      </c>
      <c r="AE709" t="n">
        <v>140.69</v>
      </c>
      <c r="AF709" t="n">
        <v>0</v>
      </c>
      <c r="AG709" t="n">
        <v>0</v>
      </c>
      <c r="AH709" t="n">
        <v>0</v>
      </c>
      <c r="AI709" t="n">
        <v>1.69</v>
      </c>
      <c r="AJ709" t="n">
        <v>1</v>
      </c>
      <c r="AK709" t="n">
        <v>1</v>
      </c>
      <c r="AL709" t="n">
        <v>1</v>
      </c>
      <c r="AM709" t="n">
        <v>0</v>
      </c>
      <c r="AN709" t="n">
        <v>0</v>
      </c>
      <c r="AO709" t="n">
        <v>0</v>
      </c>
      <c r="AP709" t="n">
        <v>1</v>
      </c>
      <c r="AQ709" t="n">
        <v>0</v>
      </c>
      <c r="AR709" t="n">
        <v>0</v>
      </c>
      <c r="AS709" t="inlineStr"/>
      <c r="AT709" t="n">
        <v>100</v>
      </c>
      <c r="AU709" t="inlineStr"/>
      <c r="AV709" t="n">
        <v>0</v>
      </c>
      <c r="AW709" t="n">
        <v>1</v>
      </c>
      <c r="AX709" t="n">
        <v>-1</v>
      </c>
      <c r="AY709" t="n">
        <v>0</v>
      </c>
      <c r="AZ709" t="n">
        <v>0</v>
      </c>
      <c r="BA709" t="inlineStr"/>
      <c r="BB709" t="n">
        <v>0</v>
      </c>
      <c r="BC709" t="n">
        <v>0</v>
      </c>
      <c r="BD709" t="n">
        <v>0</v>
      </c>
      <c r="BE709" t="n">
        <v>0</v>
      </c>
      <c r="BF709" t="n">
        <v>0</v>
      </c>
      <c r="BG709" t="n">
        <v>0</v>
      </c>
      <c r="BH709" t="n">
        <v>0</v>
      </c>
      <c r="BI709" t="n">
        <v>0</v>
      </c>
      <c r="BJ709" t="n">
        <v>0</v>
      </c>
      <c r="BK709" t="n">
        <v>0</v>
      </c>
      <c r="BL709" t="n">
        <v>0</v>
      </c>
      <c r="BM709" t="n">
        <v>0</v>
      </c>
      <c r="BN709" t="n">
        <v>0</v>
      </c>
      <c r="BO709" t="n">
        <v>0</v>
      </c>
      <c r="BP709" t="n">
        <v>0</v>
      </c>
      <c r="BQ709" t="n">
        <v>0</v>
      </c>
      <c r="BR709" t="n">
        <v>0</v>
      </c>
      <c r="BS709" t="n">
        <v>0</v>
      </c>
      <c r="BT709" t="n">
        <v>0</v>
      </c>
      <c r="BU709" t="n">
        <v>0</v>
      </c>
      <c r="BV709" t="n">
        <v>0</v>
      </c>
      <c r="BW709" t="n">
        <v>0</v>
      </c>
      <c r="CV709" t="n">
        <v>0</v>
      </c>
      <c r="CW709" t="n">
        <v>0</v>
      </c>
      <c r="CX709">
        <f>ROUND(Y709*Source!I1476,7)</f>
        <v/>
      </c>
      <c r="CY709">
        <f>AA709</f>
        <v/>
      </c>
      <c r="CZ709">
        <f>AE709</f>
        <v/>
      </c>
      <c r="DA709">
        <f>AI709</f>
        <v/>
      </c>
      <c r="DB709">
        <f>ROUND(ROUND(AT709*CZ709,2),2)</f>
        <v/>
      </c>
      <c r="DC709">
        <f>ROUND(ROUND(AT709*AG709,2),2)</f>
        <v/>
      </c>
      <c r="DD709" t="inlineStr"/>
      <c r="DE709" t="inlineStr"/>
      <c r="DF709">
        <f>ROUND(ROUND(AE709*AI709,0)*CX709,0)</f>
        <v/>
      </c>
      <c r="DG709">
        <f>ROUND(ROUND(AF709,0)*CX709,0)</f>
        <v/>
      </c>
      <c r="DH709">
        <f>ROUND(ROUND(AG709,0)*CX709,0)</f>
        <v/>
      </c>
      <c r="DI709">
        <f>ROUND(ROUND(AH709,0)*CX709,0)</f>
        <v/>
      </c>
      <c r="DJ709">
        <f>DF709</f>
        <v/>
      </c>
      <c r="DK709" t="n">
        <v>0</v>
      </c>
      <c r="DL709" t="inlineStr"/>
      <c r="DM709" t="n">
        <v>0</v>
      </c>
      <c r="DN709" t="inlineStr"/>
      <c r="DO709" t="n">
        <v>0</v>
      </c>
    </row>
    <row r="710">
      <c r="A710">
        <f>ROW(Source!A1478)</f>
        <v/>
      </c>
      <c r="B710" t="n">
        <v>78869116</v>
      </c>
      <c r="C710" t="n">
        <v>78873317</v>
      </c>
      <c r="D710" t="n">
        <v>18442827</v>
      </c>
      <c r="E710" t="n">
        <v>1</v>
      </c>
      <c r="F710" t="n">
        <v>1</v>
      </c>
      <c r="G710" t="n">
        <v>1</v>
      </c>
      <c r="H710" t="n">
        <v>1</v>
      </c>
      <c r="I710" t="inlineStr">
        <is>
          <t>1-1053-90</t>
        </is>
      </c>
      <c r="J710" t="inlineStr"/>
      <c r="K710" t="inlineStr">
        <is>
          <t>Рабочий строитель среднего разряда 5,3</t>
        </is>
      </c>
      <c r="L710" t="n">
        <v>1369</v>
      </c>
      <c r="N710" t="n">
        <v>1013</v>
      </c>
      <c r="O710" t="inlineStr">
        <is>
          <t>чел.-ч</t>
        </is>
      </c>
      <c r="P710" t="inlineStr">
        <is>
          <t>чел.-ч</t>
        </is>
      </c>
      <c r="Q710" t="n">
        <v>1</v>
      </c>
      <c r="W710" t="n">
        <v>0</v>
      </c>
      <c r="X710" t="n">
        <v>717490484</v>
      </c>
      <c r="Y710">
        <f>(AT710*ROUND(2,7))</f>
        <v/>
      </c>
      <c r="AA710" t="n">
        <v>0</v>
      </c>
      <c r="AB710" t="n">
        <v>0</v>
      </c>
      <c r="AC710" t="n">
        <v>0</v>
      </c>
      <c r="AD710" t="n">
        <v>11.64</v>
      </c>
      <c r="AE710" t="n">
        <v>0</v>
      </c>
      <c r="AF710" t="n">
        <v>0</v>
      </c>
      <c r="AG710" t="n">
        <v>0</v>
      </c>
      <c r="AH710" t="n">
        <v>11.64</v>
      </c>
      <c r="AI710" t="n">
        <v>1</v>
      </c>
      <c r="AJ710" t="n">
        <v>1</v>
      </c>
      <c r="AK710" t="n">
        <v>1</v>
      </c>
      <c r="AL710" t="n">
        <v>1</v>
      </c>
      <c r="AM710" t="n">
        <v>-2</v>
      </c>
      <c r="AN710" t="n">
        <v>0</v>
      </c>
      <c r="AO710" t="n">
        <v>1</v>
      </c>
      <c r="AP710" t="n">
        <v>1</v>
      </c>
      <c r="AQ710" t="n">
        <v>0</v>
      </c>
      <c r="AR710" t="n">
        <v>0</v>
      </c>
      <c r="AS710" t="inlineStr"/>
      <c r="AT710" t="n">
        <v>5.01</v>
      </c>
      <c r="AU710" t="inlineStr">
        <is>
          <t>)*2</t>
        </is>
      </c>
      <c r="AV710" t="n">
        <v>1</v>
      </c>
      <c r="AW710" t="n">
        <v>2</v>
      </c>
      <c r="AX710" t="n">
        <v>78873324</v>
      </c>
      <c r="AY710" t="n">
        <v>1</v>
      </c>
      <c r="AZ710" t="n">
        <v>0</v>
      </c>
      <c r="BA710" t="n">
        <v>651</v>
      </c>
      <c r="BB710" t="n">
        <v>0</v>
      </c>
      <c r="BC710" t="n">
        <v>0</v>
      </c>
      <c r="BD710" t="n">
        <v>0</v>
      </c>
      <c r="BE710" t="n">
        <v>0</v>
      </c>
      <c r="BF710" t="n">
        <v>0</v>
      </c>
      <c r="BG710" t="n">
        <v>0</v>
      </c>
      <c r="BH710" t="n">
        <v>0</v>
      </c>
      <c r="BI710" t="n">
        <v>0</v>
      </c>
      <c r="BJ710" t="n">
        <v>0</v>
      </c>
      <c r="BK710" t="n">
        <v>0</v>
      </c>
      <c r="BL710" t="n">
        <v>0</v>
      </c>
      <c r="BM710" t="n">
        <v>0</v>
      </c>
      <c r="BN710" t="n">
        <v>0</v>
      </c>
      <c r="BO710" t="n">
        <v>0</v>
      </c>
      <c r="BP710" t="n">
        <v>0</v>
      </c>
      <c r="BQ710" t="n">
        <v>0</v>
      </c>
      <c r="BR710" t="n">
        <v>0</v>
      </c>
      <c r="BS710" t="n">
        <v>0</v>
      </c>
      <c r="BT710" t="n">
        <v>0</v>
      </c>
      <c r="BU710" t="n">
        <v>0</v>
      </c>
      <c r="BV710" t="n">
        <v>0</v>
      </c>
      <c r="BW710" t="n">
        <v>0</v>
      </c>
      <c r="CU710">
        <f>ROUND(AT710*Source!I1478*AH710*AL710,0)</f>
        <v/>
      </c>
      <c r="CV710">
        <f>ROUND(Y710*Source!I1478,7)</f>
        <v/>
      </c>
      <c r="CW710" t="n">
        <v>0</v>
      </c>
      <c r="CX710">
        <f>ROUND(Y710*Source!I1478,7)</f>
        <v/>
      </c>
      <c r="CY710">
        <f>AD710</f>
        <v/>
      </c>
      <c r="CZ710">
        <f>AH710</f>
        <v/>
      </c>
      <c r="DA710">
        <f>AL710</f>
        <v/>
      </c>
      <c r="DB710">
        <f>ROUND((ROUND(AT710*CZ710,2)*ROUND(2,7)),2)</f>
        <v/>
      </c>
      <c r="DC710">
        <f>ROUND((ROUND(AT710*AG710,2)*ROUND(2,7)),2)</f>
        <v/>
      </c>
      <c r="DD710" t="inlineStr"/>
      <c r="DE710" t="inlineStr"/>
      <c r="DF710">
        <f>ROUND(ROUND(AE710,0)*CX710,0)</f>
        <v/>
      </c>
      <c r="DG710">
        <f>ROUND(ROUND(AF710,0)*CX710,0)</f>
        <v/>
      </c>
      <c r="DH710">
        <f>ROUND(ROUND(AG710,0)*CX710,0)</f>
        <v/>
      </c>
      <c r="DI710">
        <f>ROUND(ROUND(AH710,0)*CX710,0)</f>
        <v/>
      </c>
      <c r="DJ710">
        <f>DI710</f>
        <v/>
      </c>
      <c r="DK710" t="n">
        <v>0</v>
      </c>
      <c r="DL710" t="inlineStr"/>
      <c r="DM710" t="n">
        <v>0</v>
      </c>
      <c r="DN710" t="inlineStr"/>
      <c r="DO710" t="n">
        <v>0</v>
      </c>
    </row>
    <row r="711">
      <c r="A711">
        <f>ROW(Source!A1478)</f>
        <v/>
      </c>
      <c r="B711" t="n">
        <v>78869116</v>
      </c>
      <c r="C711" t="n">
        <v>78873317</v>
      </c>
      <c r="D711" t="n">
        <v>29172703</v>
      </c>
      <c r="E711" t="n">
        <v>1</v>
      </c>
      <c r="F711" t="n">
        <v>1</v>
      </c>
      <c r="G711" t="n">
        <v>1</v>
      </c>
      <c r="H711" t="n">
        <v>2</v>
      </c>
      <c r="I711" t="inlineStr">
        <is>
          <t>042900</t>
        </is>
      </c>
      <c r="J711" t="inlineStr">
        <is>
          <t>ТСЭМ Московской обл., 042900, приказ Минстроя России №675/пр от 28.02.2017 № 264/пр</t>
        </is>
      </c>
      <c r="K71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11" t="n">
        <v>1368</v>
      </c>
      <c r="N711" t="n">
        <v>1011</v>
      </c>
      <c r="O711" t="inlineStr">
        <is>
          <t>маш.-ч</t>
        </is>
      </c>
      <c r="P711" t="inlineStr">
        <is>
          <t>маш.-ч</t>
        </is>
      </c>
      <c r="Q711" t="n">
        <v>1</v>
      </c>
      <c r="W711" t="n">
        <v>0</v>
      </c>
      <c r="X711" t="n">
        <v>1695838894</v>
      </c>
      <c r="Y711">
        <f>(AT711*ROUND(2,7))</f>
        <v/>
      </c>
      <c r="AA711" t="n">
        <v>0</v>
      </c>
      <c r="AB711" t="n">
        <v>177.13</v>
      </c>
      <c r="AC711" t="n">
        <v>0</v>
      </c>
      <c r="AD711" t="n">
        <v>0</v>
      </c>
      <c r="AE711" t="n">
        <v>0</v>
      </c>
      <c r="AF711" t="n">
        <v>29.67</v>
      </c>
      <c r="AG711" t="n">
        <v>0</v>
      </c>
      <c r="AH711" t="n">
        <v>0</v>
      </c>
      <c r="AI711" t="n">
        <v>1</v>
      </c>
      <c r="AJ711" t="n">
        <v>5.97</v>
      </c>
      <c r="AK711" t="n">
        <v>52.25</v>
      </c>
      <c r="AL711" t="n">
        <v>1</v>
      </c>
      <c r="AM711" t="n">
        <v>2</v>
      </c>
      <c r="AN711" t="n">
        <v>0</v>
      </c>
      <c r="AO711" t="n">
        <v>1</v>
      </c>
      <c r="AP711" t="n">
        <v>1</v>
      </c>
      <c r="AQ711" t="n">
        <v>0</v>
      </c>
      <c r="AR711" t="n">
        <v>0</v>
      </c>
      <c r="AS711" t="inlineStr"/>
      <c r="AT711" t="n">
        <v>1.5</v>
      </c>
      <c r="AU711" t="inlineStr">
        <is>
          <t>)*2</t>
        </is>
      </c>
      <c r="AV711" t="n">
        <v>0</v>
      </c>
      <c r="AW711" t="n">
        <v>2</v>
      </c>
      <c r="AX711" t="n">
        <v>78873325</v>
      </c>
      <c r="AY711" t="n">
        <v>1</v>
      </c>
      <c r="AZ711" t="n">
        <v>0</v>
      </c>
      <c r="BA711" t="n">
        <v>652</v>
      </c>
      <c r="BB711" t="n">
        <v>0</v>
      </c>
      <c r="BC711" t="n">
        <v>0</v>
      </c>
      <c r="BD711" t="n">
        <v>0</v>
      </c>
      <c r="BE711" t="n">
        <v>0</v>
      </c>
      <c r="BF711" t="n">
        <v>0</v>
      </c>
      <c r="BG711" t="n">
        <v>0</v>
      </c>
      <c r="BH711" t="n">
        <v>0</v>
      </c>
      <c r="BI711" t="n">
        <v>0</v>
      </c>
      <c r="BJ711" t="n">
        <v>0</v>
      </c>
      <c r="BK711" t="n">
        <v>0</v>
      </c>
      <c r="BL711" t="n">
        <v>0</v>
      </c>
      <c r="BM711" t="n">
        <v>0</v>
      </c>
      <c r="BN711" t="n">
        <v>0</v>
      </c>
      <c r="BO711" t="n">
        <v>0</v>
      </c>
      <c r="BP711" t="n">
        <v>0</v>
      </c>
      <c r="BQ711" t="n">
        <v>0</v>
      </c>
      <c r="BR711" t="n">
        <v>0</v>
      </c>
      <c r="BS711" t="n">
        <v>0</v>
      </c>
      <c r="BT711" t="n">
        <v>0</v>
      </c>
      <c r="BU711" t="n">
        <v>0</v>
      </c>
      <c r="BV711" t="n">
        <v>0</v>
      </c>
      <c r="BW711" t="n">
        <v>0</v>
      </c>
      <c r="CV711" t="n">
        <v>0</v>
      </c>
      <c r="CW711">
        <f>ROUND(Y711*Source!I1478*DO711,7)</f>
        <v/>
      </c>
      <c r="CX711">
        <f>ROUND(Y711*Source!I1478,7)</f>
        <v/>
      </c>
      <c r="CY711">
        <f>AB711</f>
        <v/>
      </c>
      <c r="CZ711">
        <f>AF711</f>
        <v/>
      </c>
      <c r="DA711">
        <f>AJ711</f>
        <v/>
      </c>
      <c r="DB711">
        <f>ROUND((ROUND(AT711*CZ711,2)*ROUND(2,7)),2)</f>
        <v/>
      </c>
      <c r="DC711">
        <f>ROUND((ROUND(AT711*AG711,2)*ROUND(2,7)),2)</f>
        <v/>
      </c>
      <c r="DD711" t="inlineStr"/>
      <c r="DE711" t="inlineStr"/>
      <c r="DF711">
        <f>ROUND(ROUND(AE711,0)*CX711,0)</f>
        <v/>
      </c>
      <c r="DG711">
        <f>ROUND(ROUND(AF711*AJ711,0)*CX711,0)</f>
        <v/>
      </c>
      <c r="DH711">
        <f>ROUND(ROUND(AG711*AK711,0)*CX711,0)</f>
        <v/>
      </c>
      <c r="DI711">
        <f>ROUND(ROUND(AH711,0)*CX711,0)</f>
        <v/>
      </c>
      <c r="DJ711">
        <f>DG711</f>
        <v/>
      </c>
      <c r="DK711" t="n">
        <v>0</v>
      </c>
      <c r="DL711" t="inlineStr"/>
      <c r="DM711" t="n">
        <v>0</v>
      </c>
      <c r="DN711" t="inlineStr"/>
      <c r="DO711" t="n">
        <v>0</v>
      </c>
    </row>
    <row r="712">
      <c r="A712">
        <f>ROW(Source!A1478)</f>
        <v/>
      </c>
      <c r="B712" t="n">
        <v>78869116</v>
      </c>
      <c r="C712" t="n">
        <v>78873317</v>
      </c>
      <c r="D712" t="n">
        <v>29110398</v>
      </c>
      <c r="E712" t="n">
        <v>1</v>
      </c>
      <c r="F712" t="n">
        <v>1</v>
      </c>
      <c r="G712" t="n">
        <v>1</v>
      </c>
      <c r="H712" t="n">
        <v>3</v>
      </c>
      <c r="I712" t="inlineStr">
        <is>
          <t>101-0388</t>
        </is>
      </c>
      <c r="J712" t="inlineStr">
        <is>
          <t>ТССЦ Московской обл., 101-0388, приказ Минстроя России №675/пр от 28.02.2017 № 254/пр</t>
        </is>
      </c>
      <c r="K712" t="inlineStr">
        <is>
          <t>Краски масляные земляные марки МА-0115 мумия, сурик железный</t>
        </is>
      </c>
      <c r="L712" t="n">
        <v>1348</v>
      </c>
      <c r="N712" t="n">
        <v>1009</v>
      </c>
      <c r="O712" t="inlineStr">
        <is>
          <t>т</t>
        </is>
      </c>
      <c r="P712" t="inlineStr">
        <is>
          <t>т</t>
        </is>
      </c>
      <c r="Q712" t="n">
        <v>1000</v>
      </c>
      <c r="W712" t="n">
        <v>0</v>
      </c>
      <c r="X712" t="n">
        <v>1625292450</v>
      </c>
      <c r="Y712">
        <f>(AT712*ROUND(2,7))</f>
        <v/>
      </c>
      <c r="AA712" t="n">
        <v>76804.47</v>
      </c>
      <c r="AB712" t="n">
        <v>0</v>
      </c>
      <c r="AC712" t="n">
        <v>0</v>
      </c>
      <c r="AD712" t="n">
        <v>0</v>
      </c>
      <c r="AE712" t="n">
        <v>15118.99</v>
      </c>
      <c r="AF712" t="n">
        <v>0</v>
      </c>
      <c r="AG712" t="n">
        <v>0</v>
      </c>
      <c r="AH712" t="n">
        <v>0</v>
      </c>
      <c r="AI712" t="n">
        <v>5.08</v>
      </c>
      <c r="AJ712" t="n">
        <v>1</v>
      </c>
      <c r="AK712" t="n">
        <v>1</v>
      </c>
      <c r="AL712" t="n">
        <v>1</v>
      </c>
      <c r="AM712" t="n">
        <v>2</v>
      </c>
      <c r="AN712" t="n">
        <v>0</v>
      </c>
      <c r="AO712" t="n">
        <v>1</v>
      </c>
      <c r="AP712" t="n">
        <v>1</v>
      </c>
      <c r="AQ712" t="n">
        <v>0</v>
      </c>
      <c r="AR712" t="n">
        <v>0</v>
      </c>
      <c r="AS712" t="inlineStr"/>
      <c r="AT712" t="n">
        <v>5e-05</v>
      </c>
      <c r="AU712" t="inlineStr">
        <is>
          <t>)*2</t>
        </is>
      </c>
      <c r="AV712" t="n">
        <v>0</v>
      </c>
      <c r="AW712" t="n">
        <v>2</v>
      </c>
      <c r="AX712" t="n">
        <v>78873326</v>
      </c>
      <c r="AY712" t="n">
        <v>1</v>
      </c>
      <c r="AZ712" t="n">
        <v>0</v>
      </c>
      <c r="BA712" t="n">
        <v>653</v>
      </c>
      <c r="BB712" t="n">
        <v>0</v>
      </c>
      <c r="BC712" t="n">
        <v>0</v>
      </c>
      <c r="BD712" t="n">
        <v>0</v>
      </c>
      <c r="BE712" t="n">
        <v>0</v>
      </c>
      <c r="BF712" t="n">
        <v>0</v>
      </c>
      <c r="BG712" t="n">
        <v>0</v>
      </c>
      <c r="BH712" t="n">
        <v>0</v>
      </c>
      <c r="BI712" t="n">
        <v>0</v>
      </c>
      <c r="BJ712" t="n">
        <v>0</v>
      </c>
      <c r="BK712" t="n">
        <v>0</v>
      </c>
      <c r="BL712" t="n">
        <v>0</v>
      </c>
      <c r="BM712" t="n">
        <v>0</v>
      </c>
      <c r="BN712" t="n">
        <v>0</v>
      </c>
      <c r="BO712" t="n">
        <v>0</v>
      </c>
      <c r="BP712" t="n">
        <v>0</v>
      </c>
      <c r="BQ712" t="n">
        <v>0</v>
      </c>
      <c r="BR712" t="n">
        <v>0</v>
      </c>
      <c r="BS712" t="n">
        <v>0</v>
      </c>
      <c r="BT712" t="n">
        <v>0</v>
      </c>
      <c r="BU712" t="n">
        <v>0</v>
      </c>
      <c r="BV712" t="n">
        <v>0</v>
      </c>
      <c r="BW712" t="n">
        <v>0</v>
      </c>
      <c r="CV712" t="n">
        <v>0</v>
      </c>
      <c r="CW712" t="n">
        <v>0</v>
      </c>
      <c r="CX712">
        <f>ROUND(Y712*Source!I1478,7)</f>
        <v/>
      </c>
      <c r="CY712">
        <f>AA712</f>
        <v/>
      </c>
      <c r="CZ712">
        <f>AE712</f>
        <v/>
      </c>
      <c r="DA712">
        <f>AI712</f>
        <v/>
      </c>
      <c r="DB712">
        <f>ROUND((ROUND(AT712*CZ712,2)*ROUND(2,7)),2)</f>
        <v/>
      </c>
      <c r="DC712">
        <f>ROUND((ROUND(AT712*AG712,2)*ROUND(2,7)),2)</f>
        <v/>
      </c>
      <c r="DD712" t="inlineStr"/>
      <c r="DE712" t="inlineStr"/>
      <c r="DF712">
        <f>ROUND(ROUND(AE712*AI712,0)*CX712,0)</f>
        <v/>
      </c>
      <c r="DG712">
        <f>ROUND(ROUND(AF712,0)*CX712,0)</f>
        <v/>
      </c>
      <c r="DH712">
        <f>ROUND(ROUND(AG712,0)*CX712,0)</f>
        <v/>
      </c>
      <c r="DI712">
        <f>ROUND(ROUND(AH712,0)*CX712,0)</f>
        <v/>
      </c>
      <c r="DJ712">
        <f>DF712</f>
        <v/>
      </c>
      <c r="DK712" t="n">
        <v>0</v>
      </c>
      <c r="DL712" t="inlineStr"/>
      <c r="DM712" t="n">
        <v>0</v>
      </c>
      <c r="DN712" t="inlineStr"/>
      <c r="DO712" t="n">
        <v>0</v>
      </c>
    </row>
    <row r="713">
      <c r="A713">
        <f>ROW(Source!A1478)</f>
        <v/>
      </c>
      <c r="B713" t="n">
        <v>78869116</v>
      </c>
      <c r="C713" t="n">
        <v>78873317</v>
      </c>
      <c r="D713" t="n">
        <v>29110573</v>
      </c>
      <c r="E713" t="n">
        <v>1</v>
      </c>
      <c r="F713" t="n">
        <v>1</v>
      </c>
      <c r="G713" t="n">
        <v>1</v>
      </c>
      <c r="H713" t="n">
        <v>3</v>
      </c>
      <c r="I713" t="inlineStr">
        <is>
          <t>101-0628</t>
        </is>
      </c>
      <c r="J713" t="inlineStr">
        <is>
          <t>ТССЦ Московской обл., 101-0628, приказ Минстроя России №675/пр от 28.02.2017 № 254/пр</t>
        </is>
      </c>
      <c r="K713" t="inlineStr">
        <is>
          <t>Олифа комбинированная, марки К-3</t>
        </is>
      </c>
      <c r="L713" t="n">
        <v>1348</v>
      </c>
      <c r="N713" t="n">
        <v>1009</v>
      </c>
      <c r="O713" t="inlineStr">
        <is>
          <t>т</t>
        </is>
      </c>
      <c r="P713" t="inlineStr">
        <is>
          <t>т</t>
        </is>
      </c>
      <c r="Q713" t="n">
        <v>1000</v>
      </c>
      <c r="W713" t="n">
        <v>0</v>
      </c>
      <c r="X713" t="n">
        <v>24062879</v>
      </c>
      <c r="Y713">
        <f>(AT713*ROUND(2,7))</f>
        <v/>
      </c>
      <c r="AA713" t="n">
        <v>87631.5</v>
      </c>
      <c r="AB713" t="n">
        <v>0</v>
      </c>
      <c r="AC713" t="n">
        <v>0</v>
      </c>
      <c r="AD713" t="n">
        <v>0</v>
      </c>
      <c r="AE713" t="n">
        <v>16950</v>
      </c>
      <c r="AF713" t="n">
        <v>0</v>
      </c>
      <c r="AG713" t="n">
        <v>0</v>
      </c>
      <c r="AH713" t="n">
        <v>0</v>
      </c>
      <c r="AI713" t="n">
        <v>5.17</v>
      </c>
      <c r="AJ713" t="n">
        <v>1</v>
      </c>
      <c r="AK713" t="n">
        <v>1</v>
      </c>
      <c r="AL713" t="n">
        <v>1</v>
      </c>
      <c r="AM713" t="n">
        <v>2</v>
      </c>
      <c r="AN713" t="n">
        <v>0</v>
      </c>
      <c r="AO713" t="n">
        <v>1</v>
      </c>
      <c r="AP713" t="n">
        <v>1</v>
      </c>
      <c r="AQ713" t="n">
        <v>0</v>
      </c>
      <c r="AR713" t="n">
        <v>0</v>
      </c>
      <c r="AS713" t="inlineStr"/>
      <c r="AT713" t="n">
        <v>2e-05</v>
      </c>
      <c r="AU713" t="inlineStr">
        <is>
          <t>)*2</t>
        </is>
      </c>
      <c r="AV713" t="n">
        <v>0</v>
      </c>
      <c r="AW713" t="n">
        <v>2</v>
      </c>
      <c r="AX713" t="n">
        <v>78873327</v>
      </c>
      <c r="AY713" t="n">
        <v>1</v>
      </c>
      <c r="AZ713" t="n">
        <v>0</v>
      </c>
      <c r="BA713" t="n">
        <v>654</v>
      </c>
      <c r="BB713" t="n">
        <v>0</v>
      </c>
      <c r="BC713" t="n">
        <v>0</v>
      </c>
      <c r="BD713" t="n">
        <v>0</v>
      </c>
      <c r="BE713" t="n">
        <v>0</v>
      </c>
      <c r="BF713" t="n">
        <v>0</v>
      </c>
      <c r="BG713" t="n">
        <v>0</v>
      </c>
      <c r="BH713" t="n">
        <v>0</v>
      </c>
      <c r="BI713" t="n">
        <v>0</v>
      </c>
      <c r="BJ713" t="n">
        <v>0</v>
      </c>
      <c r="BK713" t="n">
        <v>0</v>
      </c>
      <c r="BL713" t="n">
        <v>0</v>
      </c>
      <c r="BM713" t="n">
        <v>0</v>
      </c>
      <c r="BN713" t="n">
        <v>0</v>
      </c>
      <c r="BO713" t="n">
        <v>0</v>
      </c>
      <c r="BP713" t="n">
        <v>0</v>
      </c>
      <c r="BQ713" t="n">
        <v>0</v>
      </c>
      <c r="BR713" t="n">
        <v>0</v>
      </c>
      <c r="BS713" t="n">
        <v>0</v>
      </c>
      <c r="BT713" t="n">
        <v>0</v>
      </c>
      <c r="BU713" t="n">
        <v>0</v>
      </c>
      <c r="BV713" t="n">
        <v>0</v>
      </c>
      <c r="BW713" t="n">
        <v>0</v>
      </c>
      <c r="CV713" t="n">
        <v>0</v>
      </c>
      <c r="CW713" t="n">
        <v>0</v>
      </c>
      <c r="CX713">
        <f>ROUND(Y713*Source!I1478,7)</f>
        <v/>
      </c>
      <c r="CY713">
        <f>AA713</f>
        <v/>
      </c>
      <c r="CZ713">
        <f>AE713</f>
        <v/>
      </c>
      <c r="DA713">
        <f>AI713</f>
        <v/>
      </c>
      <c r="DB713">
        <f>ROUND((ROUND(AT713*CZ713,2)*ROUND(2,7)),2)</f>
        <v/>
      </c>
      <c r="DC713">
        <f>ROUND((ROUND(AT713*AG713,2)*ROUND(2,7)),2)</f>
        <v/>
      </c>
      <c r="DD713" t="inlineStr"/>
      <c r="DE713" t="inlineStr"/>
      <c r="DF713">
        <f>ROUND(ROUND(AE713*AI713,0)*CX713,0)</f>
        <v/>
      </c>
      <c r="DG713">
        <f>ROUND(ROUND(AF713,0)*CX713,0)</f>
        <v/>
      </c>
      <c r="DH713">
        <f>ROUND(ROUND(AG713,0)*CX713,0)</f>
        <v/>
      </c>
      <c r="DI713">
        <f>ROUND(ROUND(AH713,0)*CX713,0)</f>
        <v/>
      </c>
      <c r="DJ713">
        <f>DF713</f>
        <v/>
      </c>
      <c r="DK713" t="n">
        <v>0</v>
      </c>
      <c r="DL713" t="inlineStr"/>
      <c r="DM713" t="n">
        <v>0</v>
      </c>
      <c r="DN713" t="inlineStr"/>
      <c r="DO713" t="n">
        <v>0</v>
      </c>
    </row>
    <row r="714">
      <c r="A714">
        <f>ROW(Source!A1478)</f>
        <v/>
      </c>
      <c r="B714" t="n">
        <v>78869116</v>
      </c>
      <c r="C714" t="n">
        <v>78873317</v>
      </c>
      <c r="D714" t="n">
        <v>29107963</v>
      </c>
      <c r="E714" t="n">
        <v>1</v>
      </c>
      <c r="F714" t="n">
        <v>1</v>
      </c>
      <c r="G714" t="n">
        <v>1</v>
      </c>
      <c r="H714" t="n">
        <v>3</v>
      </c>
      <c r="I714" t="inlineStr">
        <is>
          <t>101-1669</t>
        </is>
      </c>
      <c r="J714" t="inlineStr">
        <is>
          <t>ТССЦ Московской обл., 101-1669, приказ Минстроя России №675/пр от 28.02.2017 № 254/пр</t>
        </is>
      </c>
      <c r="K714" t="inlineStr">
        <is>
          <t>Очес льняной</t>
        </is>
      </c>
      <c r="L714" t="n">
        <v>1346</v>
      </c>
      <c r="N714" t="n">
        <v>1009</v>
      </c>
      <c r="O714" t="inlineStr">
        <is>
          <t>кг</t>
        </is>
      </c>
      <c r="P714" t="inlineStr">
        <is>
          <t>кг</t>
        </is>
      </c>
      <c r="Q714" t="n">
        <v>1</v>
      </c>
      <c r="W714" t="n">
        <v>0</v>
      </c>
      <c r="X714" t="n">
        <v>-2113933962</v>
      </c>
      <c r="Y714">
        <f>(AT714*ROUND(2,7))</f>
        <v/>
      </c>
      <c r="AA714" t="n">
        <v>590.67</v>
      </c>
      <c r="AB714" t="n">
        <v>0</v>
      </c>
      <c r="AC714" t="n">
        <v>0</v>
      </c>
      <c r="AD714" t="n">
        <v>0</v>
      </c>
      <c r="AE714" t="n">
        <v>37.29</v>
      </c>
      <c r="AF714" t="n">
        <v>0</v>
      </c>
      <c r="AG714" t="n">
        <v>0</v>
      </c>
      <c r="AH714" t="n">
        <v>0</v>
      </c>
      <c r="AI714" t="n">
        <v>15.84</v>
      </c>
      <c r="AJ714" t="n">
        <v>1</v>
      </c>
      <c r="AK714" t="n">
        <v>1</v>
      </c>
      <c r="AL714" t="n">
        <v>1</v>
      </c>
      <c r="AM714" t="n">
        <v>2</v>
      </c>
      <c r="AN714" t="n">
        <v>0</v>
      </c>
      <c r="AO714" t="n">
        <v>1</v>
      </c>
      <c r="AP714" t="n">
        <v>1</v>
      </c>
      <c r="AQ714" t="n">
        <v>0</v>
      </c>
      <c r="AR714" t="n">
        <v>0</v>
      </c>
      <c r="AS714" t="inlineStr"/>
      <c r="AT714" t="n">
        <v>0.02</v>
      </c>
      <c r="AU714" t="inlineStr">
        <is>
          <t>)*2</t>
        </is>
      </c>
      <c r="AV714" t="n">
        <v>0</v>
      </c>
      <c r="AW714" t="n">
        <v>2</v>
      </c>
      <c r="AX714" t="n">
        <v>78873328</v>
      </c>
      <c r="AY714" t="n">
        <v>1</v>
      </c>
      <c r="AZ714" t="n">
        <v>0</v>
      </c>
      <c r="BA714" t="n">
        <v>655</v>
      </c>
      <c r="BB714" t="n">
        <v>0</v>
      </c>
      <c r="BC714" t="n">
        <v>0</v>
      </c>
      <c r="BD714" t="n">
        <v>0</v>
      </c>
      <c r="BE714" t="n">
        <v>0</v>
      </c>
      <c r="BF714" t="n">
        <v>0</v>
      </c>
      <c r="BG714" t="n">
        <v>0</v>
      </c>
      <c r="BH714" t="n">
        <v>0</v>
      </c>
      <c r="BI714" t="n">
        <v>0</v>
      </c>
      <c r="BJ714" t="n">
        <v>0</v>
      </c>
      <c r="BK714" t="n">
        <v>0</v>
      </c>
      <c r="BL714" t="n">
        <v>0</v>
      </c>
      <c r="BM714" t="n">
        <v>0</v>
      </c>
      <c r="BN714" t="n">
        <v>0</v>
      </c>
      <c r="BO714" t="n">
        <v>0</v>
      </c>
      <c r="BP714" t="n">
        <v>0</v>
      </c>
      <c r="BQ714" t="n">
        <v>0</v>
      </c>
      <c r="BR714" t="n">
        <v>0</v>
      </c>
      <c r="BS714" t="n">
        <v>0</v>
      </c>
      <c r="BT714" t="n">
        <v>0</v>
      </c>
      <c r="BU714" t="n">
        <v>0</v>
      </c>
      <c r="BV714" t="n">
        <v>0</v>
      </c>
      <c r="BW714" t="n">
        <v>0</v>
      </c>
      <c r="CV714" t="n">
        <v>0</v>
      </c>
      <c r="CW714" t="n">
        <v>0</v>
      </c>
      <c r="CX714">
        <f>ROUND(Y714*Source!I1478,7)</f>
        <v/>
      </c>
      <c r="CY714">
        <f>AA714</f>
        <v/>
      </c>
      <c r="CZ714">
        <f>AE714</f>
        <v/>
      </c>
      <c r="DA714">
        <f>AI714</f>
        <v/>
      </c>
      <c r="DB714">
        <f>ROUND((ROUND(AT714*CZ714,2)*ROUND(2,7)),2)</f>
        <v/>
      </c>
      <c r="DC714">
        <f>ROUND((ROUND(AT714*AG714,2)*ROUND(2,7)),2)</f>
        <v/>
      </c>
      <c r="DD714" t="inlineStr"/>
      <c r="DE714" t="inlineStr"/>
      <c r="DF714">
        <f>ROUND(ROUND(AE714*AI714,0)*CX714,0)</f>
        <v/>
      </c>
      <c r="DG714">
        <f>ROUND(ROUND(AF714,0)*CX714,0)</f>
        <v/>
      </c>
      <c r="DH714">
        <f>ROUND(ROUND(AG714,0)*CX714,0)</f>
        <v/>
      </c>
      <c r="DI714">
        <f>ROUND(ROUND(AH714,0)*CX714,0)</f>
        <v/>
      </c>
      <c r="DJ714">
        <f>DF714</f>
        <v/>
      </c>
      <c r="DK714" t="n">
        <v>0</v>
      </c>
      <c r="DL714" t="inlineStr"/>
      <c r="DM714" t="n">
        <v>0</v>
      </c>
      <c r="DN714" t="inlineStr"/>
      <c r="DO714" t="n">
        <v>0</v>
      </c>
    </row>
    <row r="715">
      <c r="A715">
        <f>ROW(Source!A1478)</f>
        <v/>
      </c>
      <c r="B715" t="n">
        <v>78869116</v>
      </c>
      <c r="C715" t="n">
        <v>78873317</v>
      </c>
      <c r="D715" t="n">
        <v>29150040</v>
      </c>
      <c r="E715" t="n">
        <v>1</v>
      </c>
      <c r="F715" t="n">
        <v>1</v>
      </c>
      <c r="G715" t="n">
        <v>1</v>
      </c>
      <c r="H715" t="n">
        <v>3</v>
      </c>
      <c r="I715" t="inlineStr">
        <is>
          <t>411-0001</t>
        </is>
      </c>
      <c r="J715" t="inlineStr">
        <is>
          <t>ТССЦ Московской обл., 411-0001, приказ Минстроя России №675/пр от 28.02.2017 № 257/пр</t>
        </is>
      </c>
      <c r="K715" t="inlineStr">
        <is>
          <t>Вода</t>
        </is>
      </c>
      <c r="L715" t="n">
        <v>1339</v>
      </c>
      <c r="N715" t="n">
        <v>1007</v>
      </c>
      <c r="O715" t="inlineStr">
        <is>
          <t>м3</t>
        </is>
      </c>
      <c r="P715" t="inlineStr">
        <is>
          <t>м3</t>
        </is>
      </c>
      <c r="Q715" t="n">
        <v>1</v>
      </c>
      <c r="W715" t="n">
        <v>0</v>
      </c>
      <c r="X715" t="n">
        <v>619799737</v>
      </c>
      <c r="Y715">
        <f>(AT715*ROUND(2,7))</f>
        <v/>
      </c>
      <c r="AA715" t="n">
        <v>31.28</v>
      </c>
      <c r="AB715" t="n">
        <v>0</v>
      </c>
      <c r="AC715" t="n">
        <v>0</v>
      </c>
      <c r="AD715" t="n">
        <v>0</v>
      </c>
      <c r="AE715" t="n">
        <v>2.44</v>
      </c>
      <c r="AF715" t="n">
        <v>0</v>
      </c>
      <c r="AG715" t="n">
        <v>0</v>
      </c>
      <c r="AH715" t="n">
        <v>0</v>
      </c>
      <c r="AI715" t="n">
        <v>12.82</v>
      </c>
      <c r="AJ715" t="n">
        <v>1</v>
      </c>
      <c r="AK715" t="n">
        <v>1</v>
      </c>
      <c r="AL715" t="n">
        <v>1</v>
      </c>
      <c r="AM715" t="n">
        <v>2</v>
      </c>
      <c r="AN715" t="n">
        <v>0</v>
      </c>
      <c r="AO715" t="n">
        <v>1</v>
      </c>
      <c r="AP715" t="n">
        <v>1</v>
      </c>
      <c r="AQ715" t="n">
        <v>0</v>
      </c>
      <c r="AR715" t="n">
        <v>0</v>
      </c>
      <c r="AS715" t="inlineStr"/>
      <c r="AT715" t="n">
        <v>1</v>
      </c>
      <c r="AU715" t="inlineStr">
        <is>
          <t>)*2</t>
        </is>
      </c>
      <c r="AV715" t="n">
        <v>0</v>
      </c>
      <c r="AW715" t="n">
        <v>2</v>
      </c>
      <c r="AX715" t="n">
        <v>78873329</v>
      </c>
      <c r="AY715" t="n">
        <v>1</v>
      </c>
      <c r="AZ715" t="n">
        <v>0</v>
      </c>
      <c r="BA715" t="n">
        <v>656</v>
      </c>
      <c r="BB715" t="n">
        <v>0</v>
      </c>
      <c r="BC715" t="n">
        <v>0</v>
      </c>
      <c r="BD715" t="n">
        <v>0</v>
      </c>
      <c r="BE715" t="n">
        <v>0</v>
      </c>
      <c r="BF715" t="n">
        <v>0</v>
      </c>
      <c r="BG715" t="n">
        <v>0</v>
      </c>
      <c r="BH715" t="n">
        <v>0</v>
      </c>
      <c r="BI715" t="n">
        <v>0</v>
      </c>
      <c r="BJ715" t="n">
        <v>0</v>
      </c>
      <c r="BK715" t="n">
        <v>0</v>
      </c>
      <c r="BL715" t="n">
        <v>0</v>
      </c>
      <c r="BM715" t="n">
        <v>0</v>
      </c>
      <c r="BN715" t="n">
        <v>0</v>
      </c>
      <c r="BO715" t="n">
        <v>0</v>
      </c>
      <c r="BP715" t="n">
        <v>0</v>
      </c>
      <c r="BQ715" t="n">
        <v>0</v>
      </c>
      <c r="BR715" t="n">
        <v>0</v>
      </c>
      <c r="BS715" t="n">
        <v>0</v>
      </c>
      <c r="BT715" t="n">
        <v>0</v>
      </c>
      <c r="BU715" t="n">
        <v>0</v>
      </c>
      <c r="BV715" t="n">
        <v>0</v>
      </c>
      <c r="BW715" t="n">
        <v>0</v>
      </c>
      <c r="CV715" t="n">
        <v>0</v>
      </c>
      <c r="CW715" t="n">
        <v>0</v>
      </c>
      <c r="CX715">
        <f>ROUND(Y715*Source!I1478,7)</f>
        <v/>
      </c>
      <c r="CY715">
        <f>AA715</f>
        <v/>
      </c>
      <c r="CZ715">
        <f>AE715</f>
        <v/>
      </c>
      <c r="DA715">
        <f>AI715</f>
        <v/>
      </c>
      <c r="DB715">
        <f>ROUND((ROUND(AT715*CZ715,2)*ROUND(2,7)),2)</f>
        <v/>
      </c>
      <c r="DC715">
        <f>ROUND((ROUND(AT715*AG715,2)*ROUND(2,7)),2)</f>
        <v/>
      </c>
      <c r="DD715" t="inlineStr"/>
      <c r="DE715" t="inlineStr"/>
      <c r="DF715">
        <f>ROUND(ROUND(AE715*AI715,0)*CX715,0)</f>
        <v/>
      </c>
      <c r="DG715">
        <f>ROUND(ROUND(AF715,0)*CX715,0)</f>
        <v/>
      </c>
      <c r="DH715">
        <f>ROUND(ROUND(AG715,0)*CX715,0)</f>
        <v/>
      </c>
      <c r="DI715">
        <f>ROUND(ROUND(AH715,0)*CX715,0)</f>
        <v/>
      </c>
      <c r="DJ715">
        <f>DF715</f>
        <v/>
      </c>
      <c r="DK715" t="n">
        <v>0</v>
      </c>
      <c r="DL715" t="inlineStr"/>
      <c r="DM715" t="n">
        <v>0</v>
      </c>
      <c r="DN715" t="inlineStr"/>
      <c r="DO715" t="n">
        <v>0</v>
      </c>
    </row>
    <row r="716">
      <c r="A716">
        <f>ROW(Source!A1517)</f>
        <v/>
      </c>
      <c r="B716" t="n">
        <v>78869116</v>
      </c>
      <c r="C716" t="n">
        <v>78873393</v>
      </c>
      <c r="D716" t="n">
        <v>18407150</v>
      </c>
      <c r="E716" t="n">
        <v>1</v>
      </c>
      <c r="F716" t="n">
        <v>1</v>
      </c>
      <c r="G716" t="n">
        <v>1</v>
      </c>
      <c r="H716" t="n">
        <v>1</v>
      </c>
      <c r="I716" t="inlineStr">
        <is>
          <t>1-1030-90</t>
        </is>
      </c>
      <c r="J716" t="inlineStr"/>
      <c r="K716" t="inlineStr">
        <is>
          <t>Рабочий строитель среднего разряда 3</t>
        </is>
      </c>
      <c r="L716" t="n">
        <v>1369</v>
      </c>
      <c r="N716" t="n">
        <v>1013</v>
      </c>
      <c r="O716" t="inlineStr">
        <is>
          <t>чел.-ч</t>
        </is>
      </c>
      <c r="P716" t="inlineStr">
        <is>
          <t>чел.-ч</t>
        </is>
      </c>
      <c r="Q716" t="n">
        <v>1</v>
      </c>
      <c r="W716" t="n">
        <v>0</v>
      </c>
      <c r="X716" t="n">
        <v>-931037793</v>
      </c>
      <c r="Y716">
        <f>AT716</f>
        <v/>
      </c>
      <c r="AA716" t="n">
        <v>0</v>
      </c>
      <c r="AB716" t="n">
        <v>0</v>
      </c>
      <c r="AC716" t="n">
        <v>0</v>
      </c>
      <c r="AD716" t="n">
        <v>8.529999999999999</v>
      </c>
      <c r="AE716" t="n">
        <v>0</v>
      </c>
      <c r="AF716" t="n">
        <v>0</v>
      </c>
      <c r="AG716" t="n">
        <v>0</v>
      </c>
      <c r="AH716" t="n">
        <v>8.529999999999999</v>
      </c>
      <c r="AI716" t="n">
        <v>1</v>
      </c>
      <c r="AJ716" t="n">
        <v>1</v>
      </c>
      <c r="AK716" t="n">
        <v>1</v>
      </c>
      <c r="AL716" t="n">
        <v>1</v>
      </c>
      <c r="AM716" t="n">
        <v>-2</v>
      </c>
      <c r="AN716" t="n">
        <v>0</v>
      </c>
      <c r="AO716" t="n">
        <v>1</v>
      </c>
      <c r="AP716" t="n">
        <v>0</v>
      </c>
      <c r="AQ716" t="n">
        <v>0</v>
      </c>
      <c r="AR716" t="n">
        <v>0</v>
      </c>
      <c r="AS716" t="inlineStr"/>
      <c r="AT716" t="n">
        <v>13.9</v>
      </c>
      <c r="AU716" t="inlineStr"/>
      <c r="AV716" t="n">
        <v>1</v>
      </c>
      <c r="AW716" t="n">
        <v>2</v>
      </c>
      <c r="AX716" t="n">
        <v>78873397</v>
      </c>
      <c r="AY716" t="n">
        <v>1</v>
      </c>
      <c r="AZ716" t="n">
        <v>0</v>
      </c>
      <c r="BA716" t="n">
        <v>657</v>
      </c>
      <c r="BB716" t="n">
        <v>0</v>
      </c>
      <c r="BC716" t="n">
        <v>0</v>
      </c>
      <c r="BD716" t="n">
        <v>0</v>
      </c>
      <c r="BE716" t="n">
        <v>0</v>
      </c>
      <c r="BF716" t="n">
        <v>0</v>
      </c>
      <c r="BG716" t="n">
        <v>0</v>
      </c>
      <c r="BH716" t="n">
        <v>0</v>
      </c>
      <c r="BI716" t="n">
        <v>0</v>
      </c>
      <c r="BJ716" t="n">
        <v>0</v>
      </c>
      <c r="BK716" t="n">
        <v>0</v>
      </c>
      <c r="BL716" t="n">
        <v>0</v>
      </c>
      <c r="BM716" t="n">
        <v>0</v>
      </c>
      <c r="BN716" t="n">
        <v>0</v>
      </c>
      <c r="BO716" t="n">
        <v>0</v>
      </c>
      <c r="BP716" t="n">
        <v>0</v>
      </c>
      <c r="BQ716" t="n">
        <v>0</v>
      </c>
      <c r="BR716" t="n">
        <v>0</v>
      </c>
      <c r="BS716" t="n">
        <v>0</v>
      </c>
      <c r="BT716" t="n">
        <v>0</v>
      </c>
      <c r="BU716" t="n">
        <v>0</v>
      </c>
      <c r="BV716" t="n">
        <v>0</v>
      </c>
      <c r="BW716" t="n">
        <v>0</v>
      </c>
      <c r="CU716">
        <f>ROUND(AT716*Source!I1517*AH716*AL716,0)</f>
        <v/>
      </c>
      <c r="CV716">
        <f>ROUND(Y716*Source!I1517,7)</f>
        <v/>
      </c>
      <c r="CW716" t="n">
        <v>0</v>
      </c>
      <c r="CX716">
        <f>ROUND(Y716*Source!I1517,7)</f>
        <v/>
      </c>
      <c r="CY716">
        <f>AD716</f>
        <v/>
      </c>
      <c r="CZ716">
        <f>AH716</f>
        <v/>
      </c>
      <c r="DA716">
        <f>AL716</f>
        <v/>
      </c>
      <c r="DB716">
        <f>ROUND(ROUND(AT716*CZ716,2),2)</f>
        <v/>
      </c>
      <c r="DC716">
        <f>ROUND(ROUND(AT716*AG716,2),2)</f>
        <v/>
      </c>
      <c r="DD716" t="inlineStr"/>
      <c r="DE716" t="inlineStr"/>
      <c r="DF716">
        <f>ROUND(ROUND(AE716,0)*CX716,0)</f>
        <v/>
      </c>
      <c r="DG716">
        <f>ROUND(ROUND(AF716,0)*CX716,0)</f>
        <v/>
      </c>
      <c r="DH716">
        <f>ROUND(ROUND(AG716,0)*CX716,0)</f>
        <v/>
      </c>
      <c r="DI716">
        <f>ROUND(ROUND(AH716,0)*CX716,0)</f>
        <v/>
      </c>
      <c r="DJ716">
        <f>DI716</f>
        <v/>
      </c>
      <c r="DK716" t="n">
        <v>0</v>
      </c>
      <c r="DL716" t="inlineStr"/>
      <c r="DM716" t="n">
        <v>0</v>
      </c>
      <c r="DN716" t="inlineStr"/>
      <c r="DO716" t="n">
        <v>0</v>
      </c>
    </row>
    <row r="717">
      <c r="A717">
        <f>ROW(Source!A1517)</f>
        <v/>
      </c>
      <c r="B717" t="n">
        <v>78869116</v>
      </c>
      <c r="C717" t="n">
        <v>78873393</v>
      </c>
      <c r="D717" t="n">
        <v>29159168</v>
      </c>
      <c r="E717" t="n">
        <v>1</v>
      </c>
      <c r="F717" t="n">
        <v>1</v>
      </c>
      <c r="G717" t="n">
        <v>1</v>
      </c>
      <c r="H717" t="n">
        <v>3</v>
      </c>
      <c r="I717" t="inlineStr">
        <is>
          <t>507-5008</t>
        </is>
      </c>
      <c r="J717" t="inlineStr">
        <is>
          <t>ТССЦ Московской обл., 507-5008, приказ Минстроя России №675/пр от 28.02.2017 № 258/пр</t>
        </is>
      </c>
      <c r="K717" t="inlineStr">
        <is>
          <t>Муфта полипропиленовая соединительная диаметром 25 мм</t>
        </is>
      </c>
      <c r="L717" t="n">
        <v>1358</v>
      </c>
      <c r="N717" t="n">
        <v>1010</v>
      </c>
      <c r="O717" t="inlineStr">
        <is>
          <t>10 шт.</t>
        </is>
      </c>
      <c r="P717" t="inlineStr">
        <is>
          <t>10 шт.</t>
        </is>
      </c>
      <c r="Q717" t="n">
        <v>10</v>
      </c>
      <c r="W717" t="n">
        <v>0</v>
      </c>
      <c r="X717" t="n">
        <v>1871529504</v>
      </c>
      <c r="Y717">
        <f>AT717</f>
        <v/>
      </c>
      <c r="AA717" t="n">
        <v>76.81999999999999</v>
      </c>
      <c r="AB717" t="n">
        <v>0</v>
      </c>
      <c r="AC717" t="n">
        <v>0</v>
      </c>
      <c r="AD717" t="n">
        <v>0</v>
      </c>
      <c r="AE717" t="n">
        <v>9.9</v>
      </c>
      <c r="AF717" t="n">
        <v>0</v>
      </c>
      <c r="AG717" t="n">
        <v>0</v>
      </c>
      <c r="AH717" t="n">
        <v>0</v>
      </c>
      <c r="AI717" t="n">
        <v>7.76</v>
      </c>
      <c r="AJ717" t="n">
        <v>1</v>
      </c>
      <c r="AK717" t="n">
        <v>1</v>
      </c>
      <c r="AL717" t="n">
        <v>1</v>
      </c>
      <c r="AM717" t="n">
        <v>0</v>
      </c>
      <c r="AN717" t="n">
        <v>0</v>
      </c>
      <c r="AO717" t="n">
        <v>0</v>
      </c>
      <c r="AP717" t="n">
        <v>1</v>
      </c>
      <c r="AQ717" t="n">
        <v>0</v>
      </c>
      <c r="AR717" t="n">
        <v>0</v>
      </c>
      <c r="AS717" t="inlineStr"/>
      <c r="AT717" t="n">
        <v>50</v>
      </c>
      <c r="AU717" t="inlineStr"/>
      <c r="AV717" t="n">
        <v>0</v>
      </c>
      <c r="AW717" t="n">
        <v>1</v>
      </c>
      <c r="AX717" t="n">
        <v>-1</v>
      </c>
      <c r="AY717" t="n">
        <v>0</v>
      </c>
      <c r="AZ717" t="n">
        <v>0</v>
      </c>
      <c r="BA717" t="inlineStr"/>
      <c r="BB717" t="n">
        <v>0</v>
      </c>
      <c r="BC717" t="n">
        <v>0</v>
      </c>
      <c r="BD717" t="n">
        <v>0</v>
      </c>
      <c r="BE717" t="n">
        <v>0</v>
      </c>
      <c r="BF717" t="n">
        <v>0</v>
      </c>
      <c r="BG717" t="n">
        <v>0</v>
      </c>
      <c r="BH717" t="n">
        <v>0</v>
      </c>
      <c r="BI717" t="n">
        <v>0</v>
      </c>
      <c r="BJ717" t="n">
        <v>0</v>
      </c>
      <c r="BK717" t="n">
        <v>0</v>
      </c>
      <c r="BL717" t="n">
        <v>0</v>
      </c>
      <c r="BM717" t="n">
        <v>0</v>
      </c>
      <c r="BN717" t="n">
        <v>0</v>
      </c>
      <c r="BO717" t="n">
        <v>0</v>
      </c>
      <c r="BP717" t="n">
        <v>0</v>
      </c>
      <c r="BQ717" t="n">
        <v>0</v>
      </c>
      <c r="BR717" t="n">
        <v>0</v>
      </c>
      <c r="BS717" t="n">
        <v>0</v>
      </c>
      <c r="BT717" t="n">
        <v>0</v>
      </c>
      <c r="BU717" t="n">
        <v>0</v>
      </c>
      <c r="BV717" t="n">
        <v>0</v>
      </c>
      <c r="BW717" t="n">
        <v>0</v>
      </c>
      <c r="CV717" t="n">
        <v>0</v>
      </c>
      <c r="CW717" t="n">
        <v>0</v>
      </c>
      <c r="CX717">
        <f>ROUND(Y717*Source!I1517,7)</f>
        <v/>
      </c>
      <c r="CY717">
        <f>AA717</f>
        <v/>
      </c>
      <c r="CZ717">
        <f>AE717</f>
        <v/>
      </c>
      <c r="DA717">
        <f>AI717</f>
        <v/>
      </c>
      <c r="DB717">
        <f>ROUND(ROUND(AT717*CZ717,2),2)</f>
        <v/>
      </c>
      <c r="DC717">
        <f>ROUND(ROUND(AT717*AG717,2),2)</f>
        <v/>
      </c>
      <c r="DD717" t="inlineStr"/>
      <c r="DE717" t="inlineStr"/>
      <c r="DF717">
        <f>ROUND(ROUND(AE717*AI717,0)*CX717,0)</f>
        <v/>
      </c>
      <c r="DG717">
        <f>ROUND(ROUND(AF717,0)*CX717,0)</f>
        <v/>
      </c>
      <c r="DH717">
        <f>ROUND(ROUND(AG717,0)*CX717,0)</f>
        <v/>
      </c>
      <c r="DI717">
        <f>ROUND(ROUND(AH717,0)*CX717,0)</f>
        <v/>
      </c>
      <c r="DJ717">
        <f>DF717</f>
        <v/>
      </c>
      <c r="DK717" t="n">
        <v>0</v>
      </c>
      <c r="DL717" t="inlineStr"/>
      <c r="DM717" t="n">
        <v>0</v>
      </c>
      <c r="DN717" t="inlineStr"/>
      <c r="DO717" t="n">
        <v>0</v>
      </c>
    </row>
    <row r="718">
      <c r="A718">
        <f>ROW(Source!A1517)</f>
        <v/>
      </c>
      <c r="B718" t="n">
        <v>78869116</v>
      </c>
      <c r="C718" t="n">
        <v>78873393</v>
      </c>
      <c r="D718" t="n">
        <v>29169821</v>
      </c>
      <c r="E718" t="n">
        <v>1</v>
      </c>
      <c r="F718" t="n">
        <v>1</v>
      </c>
      <c r="G718" t="n">
        <v>1</v>
      </c>
      <c r="H718" t="n">
        <v>3</v>
      </c>
      <c r="I718" t="inlineStr">
        <is>
          <t>509-0696</t>
        </is>
      </c>
      <c r="J718" t="inlineStr">
        <is>
          <t>ТССЦ Московской обл., 509-0696, приказ Минстроя России №675/пр от 28.02.2017 № 258/пр</t>
        </is>
      </c>
      <c r="K718" t="inlineStr">
        <is>
          <t>Лампы люминесцентные ртутные низкого давления типа ЛБ, ЛД, ЛДЦ, ЛТВ, ЛБХ 20</t>
        </is>
      </c>
      <c r="L718" t="n">
        <v>1358</v>
      </c>
      <c r="N718" t="n">
        <v>1010</v>
      </c>
      <c r="O718" t="inlineStr">
        <is>
          <t>10 шт.</t>
        </is>
      </c>
      <c r="P718" t="inlineStr">
        <is>
          <t>10 шт.</t>
        </is>
      </c>
      <c r="Q718" t="n">
        <v>10</v>
      </c>
      <c r="W718" t="n">
        <v>0</v>
      </c>
      <c r="X718" t="n">
        <v>-1187244712</v>
      </c>
      <c r="Y718">
        <f>AT718</f>
        <v/>
      </c>
      <c r="AA718" t="n">
        <v>352.73</v>
      </c>
      <c r="AB718" t="n">
        <v>0</v>
      </c>
      <c r="AC718" t="n">
        <v>0</v>
      </c>
      <c r="AD718" t="n">
        <v>0</v>
      </c>
      <c r="AE718" t="n">
        <v>85.2</v>
      </c>
      <c r="AF718" t="n">
        <v>0</v>
      </c>
      <c r="AG718" t="n">
        <v>0</v>
      </c>
      <c r="AH718" t="n">
        <v>0</v>
      </c>
      <c r="AI718" t="n">
        <v>4.14</v>
      </c>
      <c r="AJ718" t="n">
        <v>1</v>
      </c>
      <c r="AK718" t="n">
        <v>1</v>
      </c>
      <c r="AL718" t="n">
        <v>1</v>
      </c>
      <c r="AM718" t="n">
        <v>2</v>
      </c>
      <c r="AN718" t="n">
        <v>0</v>
      </c>
      <c r="AO718" t="n">
        <v>1</v>
      </c>
      <c r="AP718" t="n">
        <v>0</v>
      </c>
      <c r="AQ718" t="n">
        <v>0</v>
      </c>
      <c r="AR718" t="n">
        <v>0</v>
      </c>
      <c r="AS718" t="inlineStr"/>
      <c r="AT718" t="n">
        <v>10</v>
      </c>
      <c r="AU718" t="inlineStr"/>
      <c r="AV718" t="n">
        <v>0</v>
      </c>
      <c r="AW718" t="n">
        <v>2</v>
      </c>
      <c r="AX718" t="n">
        <v>78873398</v>
      </c>
      <c r="AY718" t="n">
        <v>1</v>
      </c>
      <c r="AZ718" t="n">
        <v>0</v>
      </c>
      <c r="BA718" t="n">
        <v>658</v>
      </c>
      <c r="BB718" t="n">
        <v>0</v>
      </c>
      <c r="BC718" t="n">
        <v>0</v>
      </c>
      <c r="BD718" t="n">
        <v>0</v>
      </c>
      <c r="BE718" t="n">
        <v>0</v>
      </c>
      <c r="BF718" t="n">
        <v>0</v>
      </c>
      <c r="BG718" t="n">
        <v>0</v>
      </c>
      <c r="BH718" t="n">
        <v>0</v>
      </c>
      <c r="BI718" t="n">
        <v>0</v>
      </c>
      <c r="BJ718" t="n">
        <v>0</v>
      </c>
      <c r="BK718" t="n">
        <v>0</v>
      </c>
      <c r="BL718" t="n">
        <v>0</v>
      </c>
      <c r="BM718" t="n">
        <v>0</v>
      </c>
      <c r="BN718" t="n">
        <v>0</v>
      </c>
      <c r="BO718" t="n">
        <v>0</v>
      </c>
      <c r="BP718" t="n">
        <v>0</v>
      </c>
      <c r="BQ718" t="n">
        <v>0</v>
      </c>
      <c r="BR718" t="n">
        <v>0</v>
      </c>
      <c r="BS718" t="n">
        <v>0</v>
      </c>
      <c r="BT718" t="n">
        <v>0</v>
      </c>
      <c r="BU718" t="n">
        <v>0</v>
      </c>
      <c r="BV718" t="n">
        <v>0</v>
      </c>
      <c r="BW718" t="n">
        <v>0</v>
      </c>
      <c r="CV718" t="n">
        <v>0</v>
      </c>
      <c r="CW718" t="n">
        <v>0</v>
      </c>
      <c r="CX718">
        <f>ROUND(Y718*Source!I1517,7)</f>
        <v/>
      </c>
      <c r="CY718">
        <f>AA718</f>
        <v/>
      </c>
      <c r="CZ718">
        <f>AE718</f>
        <v/>
      </c>
      <c r="DA718">
        <f>AI718</f>
        <v/>
      </c>
      <c r="DB718">
        <f>ROUND(ROUND(AT718*CZ718,2),2)</f>
        <v/>
      </c>
      <c r="DC718">
        <f>ROUND(ROUND(AT718*AG718,2),2)</f>
        <v/>
      </c>
      <c r="DD718" t="inlineStr"/>
      <c r="DE718" t="inlineStr"/>
      <c r="DF718">
        <f>ROUND(ROUND(AE718*AI718,0)*CX718,0)</f>
        <v/>
      </c>
      <c r="DG718">
        <f>ROUND(ROUND(AF718,0)*CX718,0)</f>
        <v/>
      </c>
      <c r="DH718">
        <f>ROUND(ROUND(AG718,0)*CX718,0)</f>
        <v/>
      </c>
      <c r="DI718">
        <f>ROUND(ROUND(AH718,0)*CX718,0)</f>
        <v/>
      </c>
      <c r="DJ718">
        <f>DF718</f>
        <v/>
      </c>
      <c r="DK718" t="n">
        <v>0</v>
      </c>
      <c r="DL718" t="inlineStr"/>
      <c r="DM718" t="n">
        <v>0</v>
      </c>
      <c r="DN718" t="inlineStr"/>
      <c r="DO718" t="n">
        <v>0</v>
      </c>
    </row>
    <row r="719">
      <c r="A719">
        <f>ROW(Source!A1517)</f>
        <v/>
      </c>
      <c r="B719" t="n">
        <v>78869116</v>
      </c>
      <c r="C719" t="n">
        <v>78873393</v>
      </c>
      <c r="D719" t="n">
        <v>29169828</v>
      </c>
      <c r="E719" t="n">
        <v>1</v>
      </c>
      <c r="F719" t="n">
        <v>1</v>
      </c>
      <c r="G719" t="n">
        <v>1</v>
      </c>
      <c r="H719" t="n">
        <v>3</v>
      </c>
      <c r="I719" t="inlineStr">
        <is>
          <t>509-6744</t>
        </is>
      </c>
      <c r="J719" t="inlineStr">
        <is>
          <t>ТССЦ Московской обл., 509-6744, приказ Минстроя России №675/пр от 28.02.2017 № 258/пр</t>
        </is>
      </c>
      <c r="K719" t="inlineStr">
        <is>
          <t>Лампы люминесцентные компактные энергосберегающие с цоколем Е27 мощностью 55 Вт</t>
        </is>
      </c>
      <c r="L719" t="n">
        <v>1354</v>
      </c>
      <c r="N719" t="n">
        <v>1010</v>
      </c>
      <c r="O719" t="inlineStr">
        <is>
          <t>шт.</t>
        </is>
      </c>
      <c r="P719" t="inlineStr">
        <is>
          <t>шт.</t>
        </is>
      </c>
      <c r="Q719" t="n">
        <v>1</v>
      </c>
      <c r="W719" t="n">
        <v>0</v>
      </c>
      <c r="X719" t="n">
        <v>-228955380</v>
      </c>
      <c r="Y719">
        <f>AT719</f>
        <v/>
      </c>
      <c r="AA719" t="n">
        <v>237.77</v>
      </c>
      <c r="AB719" t="n">
        <v>0</v>
      </c>
      <c r="AC719" t="n">
        <v>0</v>
      </c>
      <c r="AD719" t="n">
        <v>0</v>
      </c>
      <c r="AE719" t="n">
        <v>140.69</v>
      </c>
      <c r="AF719" t="n">
        <v>0</v>
      </c>
      <c r="AG719" t="n">
        <v>0</v>
      </c>
      <c r="AH719" t="n">
        <v>0</v>
      </c>
      <c r="AI719" t="n">
        <v>1.69</v>
      </c>
      <c r="AJ719" t="n">
        <v>1</v>
      </c>
      <c r="AK719" t="n">
        <v>1</v>
      </c>
      <c r="AL719" t="n">
        <v>1</v>
      </c>
      <c r="AM719" t="n">
        <v>0</v>
      </c>
      <c r="AN719" t="n">
        <v>0</v>
      </c>
      <c r="AO719" t="n">
        <v>0</v>
      </c>
      <c r="AP719" t="n">
        <v>1</v>
      </c>
      <c r="AQ719" t="n">
        <v>0</v>
      </c>
      <c r="AR719" t="n">
        <v>0</v>
      </c>
      <c r="AS719" t="inlineStr"/>
      <c r="AT719" t="n">
        <v>100</v>
      </c>
      <c r="AU719" t="inlineStr"/>
      <c r="AV719" t="n">
        <v>0</v>
      </c>
      <c r="AW719" t="n">
        <v>1</v>
      </c>
      <c r="AX719" t="n">
        <v>-1</v>
      </c>
      <c r="AY719" t="n">
        <v>0</v>
      </c>
      <c r="AZ719" t="n">
        <v>0</v>
      </c>
      <c r="BA719" t="inlineStr"/>
      <c r="BB719" t="n">
        <v>0</v>
      </c>
      <c r="BC719" t="n">
        <v>0</v>
      </c>
      <c r="BD719" t="n">
        <v>0</v>
      </c>
      <c r="BE719" t="n">
        <v>0</v>
      </c>
      <c r="BF719" t="n">
        <v>0</v>
      </c>
      <c r="BG719" t="n">
        <v>0</v>
      </c>
      <c r="BH719" t="n">
        <v>0</v>
      </c>
      <c r="BI719" t="n">
        <v>0</v>
      </c>
      <c r="BJ719" t="n">
        <v>0</v>
      </c>
      <c r="BK719" t="n">
        <v>0</v>
      </c>
      <c r="BL719" t="n">
        <v>0</v>
      </c>
      <c r="BM719" t="n">
        <v>0</v>
      </c>
      <c r="BN719" t="n">
        <v>0</v>
      </c>
      <c r="BO719" t="n">
        <v>0</v>
      </c>
      <c r="BP719" t="n">
        <v>0</v>
      </c>
      <c r="BQ719" t="n">
        <v>0</v>
      </c>
      <c r="BR719" t="n">
        <v>0</v>
      </c>
      <c r="BS719" t="n">
        <v>0</v>
      </c>
      <c r="BT719" t="n">
        <v>0</v>
      </c>
      <c r="BU719" t="n">
        <v>0</v>
      </c>
      <c r="BV719" t="n">
        <v>0</v>
      </c>
      <c r="BW719" t="n">
        <v>0</v>
      </c>
      <c r="CV719" t="n">
        <v>0</v>
      </c>
      <c r="CW719" t="n">
        <v>0</v>
      </c>
      <c r="CX719">
        <f>ROUND(Y719*Source!I1517,7)</f>
        <v/>
      </c>
      <c r="CY719">
        <f>AA719</f>
        <v/>
      </c>
      <c r="CZ719">
        <f>AE719</f>
        <v/>
      </c>
      <c r="DA719">
        <f>AI719</f>
        <v/>
      </c>
      <c r="DB719">
        <f>ROUND(ROUND(AT719*CZ719,2),2)</f>
        <v/>
      </c>
      <c r="DC719">
        <f>ROUND(ROUND(AT719*AG719,2),2)</f>
        <v/>
      </c>
      <c r="DD719" t="inlineStr"/>
      <c r="DE719" t="inlineStr"/>
      <c r="DF719">
        <f>ROUND(ROUND(AE719*AI719,0)*CX719,0)</f>
        <v/>
      </c>
      <c r="DG719">
        <f>ROUND(ROUND(AF719,0)*CX719,0)</f>
        <v/>
      </c>
      <c r="DH719">
        <f>ROUND(ROUND(AG719,0)*CX719,0)</f>
        <v/>
      </c>
      <c r="DI719">
        <f>ROUND(ROUND(AH719,0)*CX719,0)</f>
        <v/>
      </c>
      <c r="DJ719">
        <f>DF719</f>
        <v/>
      </c>
      <c r="DK719" t="n">
        <v>0</v>
      </c>
      <c r="DL719" t="inlineStr"/>
      <c r="DM719" t="n">
        <v>0</v>
      </c>
      <c r="DN719" t="inlineStr"/>
      <c r="DO719" t="n">
        <v>0</v>
      </c>
    </row>
    <row r="720">
      <c r="A720">
        <f>ROW(Source!A1517)</f>
        <v/>
      </c>
      <c r="B720" t="n">
        <v>78869116</v>
      </c>
      <c r="C720" t="n">
        <v>78873393</v>
      </c>
      <c r="D720" t="n">
        <v>0</v>
      </c>
      <c r="E720" t="n">
        <v>0</v>
      </c>
      <c r="F720" t="n">
        <v>1</v>
      </c>
      <c r="G720" t="n">
        <v>1</v>
      </c>
      <c r="H720" t="n">
        <v>3</v>
      </c>
      <c r="I720" t="inlineStr">
        <is>
          <t>Цена поставщика</t>
        </is>
      </c>
      <c r="J720" t="inlineStr"/>
      <c r="K720" t="inlineStr">
        <is>
          <t>Насос Джилекс Ду 32*25</t>
        </is>
      </c>
      <c r="L720" t="n">
        <v>1371</v>
      </c>
      <c r="N720" t="n">
        <v>1013</v>
      </c>
      <c r="O720" t="inlineStr">
        <is>
          <t>ШТ</t>
        </is>
      </c>
      <c r="P720" t="inlineStr">
        <is>
          <t>ШТ</t>
        </is>
      </c>
      <c r="Q720" t="n">
        <v>1</v>
      </c>
      <c r="W720" t="n">
        <v>0</v>
      </c>
      <c r="X720" t="n">
        <v>-1644408170</v>
      </c>
      <c r="Y720">
        <f>AT720</f>
        <v/>
      </c>
      <c r="AA720" t="n">
        <v>3540.98</v>
      </c>
      <c r="AB720" t="n">
        <v>0</v>
      </c>
      <c r="AC720" t="n">
        <v>0</v>
      </c>
      <c r="AD720" t="n">
        <v>0</v>
      </c>
      <c r="AE720" t="n">
        <v>3540.98</v>
      </c>
      <c r="AF720" t="n">
        <v>0</v>
      </c>
      <c r="AG720" t="n">
        <v>0</v>
      </c>
      <c r="AH720" t="n">
        <v>0</v>
      </c>
      <c r="AI720" t="n">
        <v>1</v>
      </c>
      <c r="AJ720" t="n">
        <v>1</v>
      </c>
      <c r="AK720" t="n">
        <v>1</v>
      </c>
      <c r="AL720" t="n">
        <v>1</v>
      </c>
      <c r="AM720" t="n">
        <v>0</v>
      </c>
      <c r="AN720" t="n">
        <v>0</v>
      </c>
      <c r="AO720" t="n">
        <v>0</v>
      </c>
      <c r="AP720" t="n">
        <v>1</v>
      </c>
      <c r="AQ720" t="n">
        <v>0</v>
      </c>
      <c r="AR720" t="n">
        <v>0</v>
      </c>
      <c r="AS720" t="inlineStr"/>
      <c r="AT720" t="n">
        <v>50</v>
      </c>
      <c r="AU720" t="inlineStr"/>
      <c r="AV720" t="n">
        <v>0</v>
      </c>
      <c r="AW720" t="n">
        <v>1</v>
      </c>
      <c r="AX720" t="n">
        <v>-1</v>
      </c>
      <c r="AY720" t="n">
        <v>0</v>
      </c>
      <c r="AZ720" t="n">
        <v>0</v>
      </c>
      <c r="BA720" t="inlineStr"/>
      <c r="BB720" t="n">
        <v>0</v>
      </c>
      <c r="BC720" t="n">
        <v>0</v>
      </c>
      <c r="BD720" t="n">
        <v>0</v>
      </c>
      <c r="BE720" t="n">
        <v>0</v>
      </c>
      <c r="BF720" t="n">
        <v>0</v>
      </c>
      <c r="BG720" t="n">
        <v>0</v>
      </c>
      <c r="BH720" t="n">
        <v>0</v>
      </c>
      <c r="BI720" t="n">
        <v>0</v>
      </c>
      <c r="BJ720" t="n">
        <v>0</v>
      </c>
      <c r="BK720" t="n">
        <v>0</v>
      </c>
      <c r="BL720" t="n">
        <v>0</v>
      </c>
      <c r="BM720" t="n">
        <v>0</v>
      </c>
      <c r="BN720" t="n">
        <v>0</v>
      </c>
      <c r="BO720" t="n">
        <v>0</v>
      </c>
      <c r="BP720" t="n">
        <v>0</v>
      </c>
      <c r="BQ720" t="n">
        <v>0</v>
      </c>
      <c r="BR720" t="n">
        <v>0</v>
      </c>
      <c r="BS720" t="n">
        <v>0</v>
      </c>
      <c r="BT720" t="n">
        <v>0</v>
      </c>
      <c r="BU720" t="n">
        <v>0</v>
      </c>
      <c r="BV720" t="n">
        <v>0</v>
      </c>
      <c r="BW720" t="n">
        <v>0</v>
      </c>
      <c r="CV720" t="n">
        <v>0</v>
      </c>
      <c r="CW720" t="n">
        <v>0</v>
      </c>
      <c r="CX720">
        <f>ROUND(Y720*Source!I1517,7)</f>
        <v/>
      </c>
      <c r="CY720">
        <f>AA720</f>
        <v/>
      </c>
      <c r="CZ720">
        <f>AE720</f>
        <v/>
      </c>
      <c r="DA720">
        <f>AI720</f>
        <v/>
      </c>
      <c r="DB720">
        <f>ROUND(ROUND(AT720*CZ720,2),2)</f>
        <v/>
      </c>
      <c r="DC720">
        <f>ROUND(ROUND(AT720*AG720,2),2)</f>
        <v/>
      </c>
      <c r="DD720" t="inlineStr"/>
      <c r="DE720" t="inlineStr"/>
      <c r="DF720">
        <f>ROUND(ROUND(AE720,0)*CX720,0)</f>
        <v/>
      </c>
      <c r="DG720">
        <f>ROUND(ROUND(AF720,0)*CX720,0)</f>
        <v/>
      </c>
      <c r="DH720">
        <f>ROUND(ROUND(AG720,0)*CX720,0)</f>
        <v/>
      </c>
      <c r="DI720">
        <f>ROUND(ROUND(AH720,0)*CX720,0)</f>
        <v/>
      </c>
      <c r="DJ720">
        <f>DF720</f>
        <v/>
      </c>
      <c r="DK720" t="n">
        <v>0</v>
      </c>
      <c r="DL720" t="inlineStr"/>
      <c r="DM720" t="n">
        <v>0</v>
      </c>
      <c r="DN720" t="inlineStr"/>
      <c r="DO720" t="n">
        <v>0</v>
      </c>
    </row>
    <row r="721">
      <c r="A721">
        <f>ROW(Source!A1521)</f>
        <v/>
      </c>
      <c r="B721" t="n">
        <v>78869116</v>
      </c>
      <c r="C721" t="n">
        <v>78873428</v>
      </c>
      <c r="D721" t="n">
        <v>18442827</v>
      </c>
      <c r="E721" t="n">
        <v>1</v>
      </c>
      <c r="F721" t="n">
        <v>1</v>
      </c>
      <c r="G721" t="n">
        <v>1</v>
      </c>
      <c r="H721" t="n">
        <v>1</v>
      </c>
      <c r="I721" t="inlineStr">
        <is>
          <t>1-1053-90</t>
        </is>
      </c>
      <c r="J721" t="inlineStr"/>
      <c r="K721" t="inlineStr">
        <is>
          <t>Рабочий строитель среднего разряда 5,3</t>
        </is>
      </c>
      <c r="L721" t="n">
        <v>1369</v>
      </c>
      <c r="N721" t="n">
        <v>1013</v>
      </c>
      <c r="O721" t="inlineStr">
        <is>
          <t>чел.-ч</t>
        </is>
      </c>
      <c r="P721" t="inlineStr">
        <is>
          <t>чел.-ч</t>
        </is>
      </c>
      <c r="Q721" t="n">
        <v>1</v>
      </c>
      <c r="W721" t="n">
        <v>0</v>
      </c>
      <c r="X721" t="n">
        <v>717490484</v>
      </c>
      <c r="Y721">
        <f>(AT721*ROUND(5,7))</f>
        <v/>
      </c>
      <c r="AA721" t="n">
        <v>0</v>
      </c>
      <c r="AB721" t="n">
        <v>0</v>
      </c>
      <c r="AC721" t="n">
        <v>0</v>
      </c>
      <c r="AD721" t="n">
        <v>11.64</v>
      </c>
      <c r="AE721" t="n">
        <v>0</v>
      </c>
      <c r="AF721" t="n">
        <v>0</v>
      </c>
      <c r="AG721" t="n">
        <v>0</v>
      </c>
      <c r="AH721" t="n">
        <v>11.64</v>
      </c>
      <c r="AI721" t="n">
        <v>1</v>
      </c>
      <c r="AJ721" t="n">
        <v>1</v>
      </c>
      <c r="AK721" t="n">
        <v>1</v>
      </c>
      <c r="AL721" t="n">
        <v>1</v>
      </c>
      <c r="AM721" t="n">
        <v>-2</v>
      </c>
      <c r="AN721" t="n">
        <v>0</v>
      </c>
      <c r="AO721" t="n">
        <v>1</v>
      </c>
      <c r="AP721" t="n">
        <v>1</v>
      </c>
      <c r="AQ721" t="n">
        <v>0</v>
      </c>
      <c r="AR721" t="n">
        <v>0</v>
      </c>
      <c r="AS721" t="inlineStr"/>
      <c r="AT721" t="n">
        <v>5.01</v>
      </c>
      <c r="AU721" t="inlineStr">
        <is>
          <t>)*5</t>
        </is>
      </c>
      <c r="AV721" t="n">
        <v>1</v>
      </c>
      <c r="AW721" t="n">
        <v>2</v>
      </c>
      <c r="AX721" t="n">
        <v>78873435</v>
      </c>
      <c r="AY721" t="n">
        <v>1</v>
      </c>
      <c r="AZ721" t="n">
        <v>2048</v>
      </c>
      <c r="BA721" t="n">
        <v>659</v>
      </c>
      <c r="BB721" t="n">
        <v>0</v>
      </c>
      <c r="BC721" t="n">
        <v>0</v>
      </c>
      <c r="BD721" t="n">
        <v>0</v>
      </c>
      <c r="BE721" t="n">
        <v>0</v>
      </c>
      <c r="BF721" t="n">
        <v>0</v>
      </c>
      <c r="BG721" t="n">
        <v>0</v>
      </c>
      <c r="BH721" t="n">
        <v>0</v>
      </c>
      <c r="BI721" t="n">
        <v>0</v>
      </c>
      <c r="BJ721" t="n">
        <v>0</v>
      </c>
      <c r="BK721" t="n">
        <v>0</v>
      </c>
      <c r="BL721" t="n">
        <v>0</v>
      </c>
      <c r="BM721" t="n">
        <v>0</v>
      </c>
      <c r="BN721" t="n">
        <v>0</v>
      </c>
      <c r="BO721" t="n">
        <v>0</v>
      </c>
      <c r="BP721" t="n">
        <v>0</v>
      </c>
      <c r="BQ721" t="n">
        <v>0</v>
      </c>
      <c r="BR721" t="n">
        <v>0</v>
      </c>
      <c r="BS721" t="n">
        <v>0</v>
      </c>
      <c r="BT721" t="n">
        <v>0</v>
      </c>
      <c r="BU721" t="n">
        <v>0</v>
      </c>
      <c r="BV721" t="n">
        <v>0</v>
      </c>
      <c r="BW721" t="n">
        <v>0</v>
      </c>
      <c r="CU721">
        <f>ROUND(AT721*Source!I1521*AH721*AL721,0)</f>
        <v/>
      </c>
      <c r="CV721">
        <f>ROUND(Y721*Source!I1521,7)</f>
        <v/>
      </c>
      <c r="CW721" t="n">
        <v>0</v>
      </c>
      <c r="CX721">
        <f>ROUND(Y721*Source!I1521,7)</f>
        <v/>
      </c>
      <c r="CY721">
        <f>AD721</f>
        <v/>
      </c>
      <c r="CZ721">
        <f>AH721</f>
        <v/>
      </c>
      <c r="DA721">
        <f>AL721</f>
        <v/>
      </c>
      <c r="DB721">
        <f>ROUND((ROUND(AT721*CZ721,2)*ROUND(5,7)),2)</f>
        <v/>
      </c>
      <c r="DC721">
        <f>ROUND((ROUND(AT721*AG721,2)*ROUND(5,7)),2)</f>
        <v/>
      </c>
      <c r="DD721" t="inlineStr"/>
      <c r="DE721" t="inlineStr"/>
      <c r="DF721">
        <f>ROUND(ROUND(AE721,0)*CX721,0)</f>
        <v/>
      </c>
      <c r="DG721">
        <f>ROUND(ROUND(AF721,0)*CX721,0)</f>
        <v/>
      </c>
      <c r="DH721">
        <f>ROUND(ROUND(AG721,0)*CX721,0)</f>
        <v/>
      </c>
      <c r="DI721">
        <f>ROUND(ROUND(AH721,0)*CX721,0)</f>
        <v/>
      </c>
      <c r="DJ721">
        <f>DI721</f>
        <v/>
      </c>
      <c r="DK721" t="n">
        <v>0</v>
      </c>
      <c r="DL721" t="inlineStr"/>
      <c r="DM721" t="n">
        <v>0</v>
      </c>
      <c r="DN721" t="inlineStr"/>
      <c r="DO721" t="n">
        <v>0</v>
      </c>
    </row>
    <row r="722">
      <c r="A722">
        <f>ROW(Source!A1521)</f>
        <v/>
      </c>
      <c r="B722" t="n">
        <v>78869116</v>
      </c>
      <c r="C722" t="n">
        <v>78873428</v>
      </c>
      <c r="D722" t="n">
        <v>29172703</v>
      </c>
      <c r="E722" t="n">
        <v>1</v>
      </c>
      <c r="F722" t="n">
        <v>1</v>
      </c>
      <c r="G722" t="n">
        <v>1</v>
      </c>
      <c r="H722" t="n">
        <v>2</v>
      </c>
      <c r="I722" t="inlineStr">
        <is>
          <t>042900</t>
        </is>
      </c>
      <c r="J722" t="inlineStr">
        <is>
          <t>ТСЭМ Московской обл., 042900, приказ Минстроя России №675/пр от 28.02.2017 № 264/пр</t>
        </is>
      </c>
      <c r="K72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22" t="n">
        <v>1368</v>
      </c>
      <c r="N722" t="n">
        <v>1011</v>
      </c>
      <c r="O722" t="inlineStr">
        <is>
          <t>маш.-ч</t>
        </is>
      </c>
      <c r="P722" t="inlineStr">
        <is>
          <t>маш.-ч</t>
        </is>
      </c>
      <c r="Q722" t="n">
        <v>1</v>
      </c>
      <c r="W722" t="n">
        <v>0</v>
      </c>
      <c r="X722" t="n">
        <v>1695838894</v>
      </c>
      <c r="Y722">
        <f>(AT722*ROUND(5,7))</f>
        <v/>
      </c>
      <c r="AA722" t="n">
        <v>0</v>
      </c>
      <c r="AB722" t="n">
        <v>177.13</v>
      </c>
      <c r="AC722" t="n">
        <v>0</v>
      </c>
      <c r="AD722" t="n">
        <v>0</v>
      </c>
      <c r="AE722" t="n">
        <v>0</v>
      </c>
      <c r="AF722" t="n">
        <v>29.67</v>
      </c>
      <c r="AG722" t="n">
        <v>0</v>
      </c>
      <c r="AH722" t="n">
        <v>0</v>
      </c>
      <c r="AI722" t="n">
        <v>1</v>
      </c>
      <c r="AJ722" t="n">
        <v>5.97</v>
      </c>
      <c r="AK722" t="n">
        <v>52.25</v>
      </c>
      <c r="AL722" t="n">
        <v>1</v>
      </c>
      <c r="AM722" t="n">
        <v>2</v>
      </c>
      <c r="AN722" t="n">
        <v>0</v>
      </c>
      <c r="AO722" t="n">
        <v>1</v>
      </c>
      <c r="AP722" t="n">
        <v>1</v>
      </c>
      <c r="AQ722" t="n">
        <v>0</v>
      </c>
      <c r="AR722" t="n">
        <v>0</v>
      </c>
      <c r="AS722" t="inlineStr"/>
      <c r="AT722" t="n">
        <v>1.5</v>
      </c>
      <c r="AU722" t="inlineStr">
        <is>
          <t>)*5</t>
        </is>
      </c>
      <c r="AV722" t="n">
        <v>0</v>
      </c>
      <c r="AW722" t="n">
        <v>2</v>
      </c>
      <c r="AX722" t="n">
        <v>78873436</v>
      </c>
      <c r="AY722" t="n">
        <v>1</v>
      </c>
      <c r="AZ722" t="n">
        <v>0</v>
      </c>
      <c r="BA722" t="n">
        <v>660</v>
      </c>
      <c r="BB722" t="n">
        <v>0</v>
      </c>
      <c r="BC722" t="n">
        <v>0</v>
      </c>
      <c r="BD722" t="n">
        <v>0</v>
      </c>
      <c r="BE722" t="n">
        <v>0</v>
      </c>
      <c r="BF722" t="n">
        <v>0</v>
      </c>
      <c r="BG722" t="n">
        <v>0</v>
      </c>
      <c r="BH722" t="n">
        <v>0</v>
      </c>
      <c r="BI722" t="n">
        <v>0</v>
      </c>
      <c r="BJ722" t="n">
        <v>0</v>
      </c>
      <c r="BK722" t="n">
        <v>0</v>
      </c>
      <c r="BL722" t="n">
        <v>0</v>
      </c>
      <c r="BM722" t="n">
        <v>0</v>
      </c>
      <c r="BN722" t="n">
        <v>0</v>
      </c>
      <c r="BO722" t="n">
        <v>0</v>
      </c>
      <c r="BP722" t="n">
        <v>0</v>
      </c>
      <c r="BQ722" t="n">
        <v>0</v>
      </c>
      <c r="BR722" t="n">
        <v>0</v>
      </c>
      <c r="BS722" t="n">
        <v>0</v>
      </c>
      <c r="BT722" t="n">
        <v>0</v>
      </c>
      <c r="BU722" t="n">
        <v>0</v>
      </c>
      <c r="BV722" t="n">
        <v>0</v>
      </c>
      <c r="BW722" t="n">
        <v>0</v>
      </c>
      <c r="CV722" t="n">
        <v>0</v>
      </c>
      <c r="CW722">
        <f>ROUND(Y722*Source!I1521*DO722,7)</f>
        <v/>
      </c>
      <c r="CX722">
        <f>ROUND(Y722*Source!I1521,7)</f>
        <v/>
      </c>
      <c r="CY722">
        <f>AB722</f>
        <v/>
      </c>
      <c r="CZ722">
        <f>AF722</f>
        <v/>
      </c>
      <c r="DA722">
        <f>AJ722</f>
        <v/>
      </c>
      <c r="DB722">
        <f>ROUND((ROUND(AT722*CZ722,2)*ROUND(5,7)),2)</f>
        <v/>
      </c>
      <c r="DC722">
        <f>ROUND((ROUND(AT722*AG722,2)*ROUND(5,7)),2)</f>
        <v/>
      </c>
      <c r="DD722" t="inlineStr"/>
      <c r="DE722" t="inlineStr"/>
      <c r="DF722">
        <f>ROUND(ROUND(AE722,0)*CX722,0)</f>
        <v/>
      </c>
      <c r="DG722">
        <f>ROUND(ROUND(AF722*AJ722,0)*CX722,0)</f>
        <v/>
      </c>
      <c r="DH722">
        <f>ROUND(ROUND(AG722*AK722,0)*CX722,0)</f>
        <v/>
      </c>
      <c r="DI722">
        <f>ROUND(ROUND(AH722,0)*CX722,0)</f>
        <v/>
      </c>
      <c r="DJ722">
        <f>DG722</f>
        <v/>
      </c>
      <c r="DK722" t="n">
        <v>0</v>
      </c>
      <c r="DL722" t="inlineStr"/>
      <c r="DM722" t="n">
        <v>0</v>
      </c>
      <c r="DN722" t="inlineStr"/>
      <c r="DO722" t="n">
        <v>0</v>
      </c>
    </row>
    <row r="723">
      <c r="A723">
        <f>ROW(Source!A1521)</f>
        <v/>
      </c>
      <c r="B723" t="n">
        <v>78869116</v>
      </c>
      <c r="C723" t="n">
        <v>78873428</v>
      </c>
      <c r="D723" t="n">
        <v>29110398</v>
      </c>
      <c r="E723" t="n">
        <v>1</v>
      </c>
      <c r="F723" t="n">
        <v>1</v>
      </c>
      <c r="G723" t="n">
        <v>1</v>
      </c>
      <c r="H723" t="n">
        <v>3</v>
      </c>
      <c r="I723" t="inlineStr">
        <is>
          <t>101-0388</t>
        </is>
      </c>
      <c r="J723" t="inlineStr">
        <is>
          <t>ТССЦ Московской обл., 101-0388, приказ Минстроя России №675/пр от 28.02.2017 № 254/пр</t>
        </is>
      </c>
      <c r="K723" t="inlineStr">
        <is>
          <t>Краски масляные земляные марки МА-0115 мумия, сурик железный</t>
        </is>
      </c>
      <c r="L723" t="n">
        <v>1348</v>
      </c>
      <c r="N723" t="n">
        <v>1009</v>
      </c>
      <c r="O723" t="inlineStr">
        <is>
          <t>т</t>
        </is>
      </c>
      <c r="P723" t="inlineStr">
        <is>
          <t>т</t>
        </is>
      </c>
      <c r="Q723" t="n">
        <v>1000</v>
      </c>
      <c r="W723" t="n">
        <v>0</v>
      </c>
      <c r="X723" t="n">
        <v>1625292450</v>
      </c>
      <c r="Y723">
        <f>(AT723*ROUND(5,7))</f>
        <v/>
      </c>
      <c r="AA723" t="n">
        <v>76804.47</v>
      </c>
      <c r="AB723" t="n">
        <v>0</v>
      </c>
      <c r="AC723" t="n">
        <v>0</v>
      </c>
      <c r="AD723" t="n">
        <v>0</v>
      </c>
      <c r="AE723" t="n">
        <v>15118.99</v>
      </c>
      <c r="AF723" t="n">
        <v>0</v>
      </c>
      <c r="AG723" t="n">
        <v>0</v>
      </c>
      <c r="AH723" t="n">
        <v>0</v>
      </c>
      <c r="AI723" t="n">
        <v>5.08</v>
      </c>
      <c r="AJ723" t="n">
        <v>1</v>
      </c>
      <c r="AK723" t="n">
        <v>1</v>
      </c>
      <c r="AL723" t="n">
        <v>1</v>
      </c>
      <c r="AM723" t="n">
        <v>2</v>
      </c>
      <c r="AN723" t="n">
        <v>0</v>
      </c>
      <c r="AO723" t="n">
        <v>1</v>
      </c>
      <c r="AP723" t="n">
        <v>1</v>
      </c>
      <c r="AQ723" t="n">
        <v>0</v>
      </c>
      <c r="AR723" t="n">
        <v>0</v>
      </c>
      <c r="AS723" t="inlineStr"/>
      <c r="AT723" t="n">
        <v>5e-05</v>
      </c>
      <c r="AU723" t="inlineStr">
        <is>
          <t>)*5</t>
        </is>
      </c>
      <c r="AV723" t="n">
        <v>0</v>
      </c>
      <c r="AW723" t="n">
        <v>2</v>
      </c>
      <c r="AX723" t="n">
        <v>78873437</v>
      </c>
      <c r="AY723" t="n">
        <v>1</v>
      </c>
      <c r="AZ723" t="n">
        <v>0</v>
      </c>
      <c r="BA723" t="n">
        <v>661</v>
      </c>
      <c r="BB723" t="n">
        <v>0</v>
      </c>
      <c r="BC723" t="n">
        <v>0</v>
      </c>
      <c r="BD723" t="n">
        <v>0</v>
      </c>
      <c r="BE723" t="n">
        <v>0</v>
      </c>
      <c r="BF723" t="n">
        <v>0</v>
      </c>
      <c r="BG723" t="n">
        <v>0</v>
      </c>
      <c r="BH723" t="n">
        <v>0</v>
      </c>
      <c r="BI723" t="n">
        <v>0</v>
      </c>
      <c r="BJ723" t="n">
        <v>0</v>
      </c>
      <c r="BK723" t="n">
        <v>0</v>
      </c>
      <c r="BL723" t="n">
        <v>0</v>
      </c>
      <c r="BM723" t="n">
        <v>0</v>
      </c>
      <c r="BN723" t="n">
        <v>0</v>
      </c>
      <c r="BO723" t="n">
        <v>0</v>
      </c>
      <c r="BP723" t="n">
        <v>0</v>
      </c>
      <c r="BQ723" t="n">
        <v>0</v>
      </c>
      <c r="BR723" t="n">
        <v>0</v>
      </c>
      <c r="BS723" t="n">
        <v>0</v>
      </c>
      <c r="BT723" t="n">
        <v>0</v>
      </c>
      <c r="BU723" t="n">
        <v>0</v>
      </c>
      <c r="BV723" t="n">
        <v>0</v>
      </c>
      <c r="BW723" t="n">
        <v>0</v>
      </c>
      <c r="CV723" t="n">
        <v>0</v>
      </c>
      <c r="CW723" t="n">
        <v>0</v>
      </c>
      <c r="CX723">
        <f>ROUND(Y723*Source!I1521,7)</f>
        <v/>
      </c>
      <c r="CY723">
        <f>AA723</f>
        <v/>
      </c>
      <c r="CZ723">
        <f>AE723</f>
        <v/>
      </c>
      <c r="DA723">
        <f>AI723</f>
        <v/>
      </c>
      <c r="DB723">
        <f>ROUND((ROUND(AT723*CZ723,2)*ROUND(5,7)),2)</f>
        <v/>
      </c>
      <c r="DC723">
        <f>ROUND((ROUND(AT723*AG723,2)*ROUND(5,7)),2)</f>
        <v/>
      </c>
      <c r="DD723" t="inlineStr"/>
      <c r="DE723" t="inlineStr"/>
      <c r="DF723">
        <f>ROUND(ROUND(AE723*AI723,0)*CX723,0)</f>
        <v/>
      </c>
      <c r="DG723">
        <f>ROUND(ROUND(AF723,0)*CX723,0)</f>
        <v/>
      </c>
      <c r="DH723">
        <f>ROUND(ROUND(AG723,0)*CX723,0)</f>
        <v/>
      </c>
      <c r="DI723">
        <f>ROUND(ROUND(AH723,0)*CX723,0)</f>
        <v/>
      </c>
      <c r="DJ723">
        <f>DF723</f>
        <v/>
      </c>
      <c r="DK723" t="n">
        <v>0</v>
      </c>
      <c r="DL723" t="inlineStr"/>
      <c r="DM723" t="n">
        <v>0</v>
      </c>
      <c r="DN723" t="inlineStr"/>
      <c r="DO723" t="n">
        <v>0</v>
      </c>
    </row>
    <row r="724">
      <c r="A724">
        <f>ROW(Source!A1521)</f>
        <v/>
      </c>
      <c r="B724" t="n">
        <v>78869116</v>
      </c>
      <c r="C724" t="n">
        <v>78873428</v>
      </c>
      <c r="D724" t="n">
        <v>29110573</v>
      </c>
      <c r="E724" t="n">
        <v>1</v>
      </c>
      <c r="F724" t="n">
        <v>1</v>
      </c>
      <c r="G724" t="n">
        <v>1</v>
      </c>
      <c r="H724" t="n">
        <v>3</v>
      </c>
      <c r="I724" t="inlineStr">
        <is>
          <t>101-0628</t>
        </is>
      </c>
      <c r="J724" t="inlineStr">
        <is>
          <t>ТССЦ Московской обл., 101-0628, приказ Минстроя России №675/пр от 28.02.2017 № 254/пр</t>
        </is>
      </c>
      <c r="K724" t="inlineStr">
        <is>
          <t>Олифа комбинированная, марки К-3</t>
        </is>
      </c>
      <c r="L724" t="n">
        <v>1348</v>
      </c>
      <c r="N724" t="n">
        <v>1009</v>
      </c>
      <c r="O724" t="inlineStr">
        <is>
          <t>т</t>
        </is>
      </c>
      <c r="P724" t="inlineStr">
        <is>
          <t>т</t>
        </is>
      </c>
      <c r="Q724" t="n">
        <v>1000</v>
      </c>
      <c r="W724" t="n">
        <v>0</v>
      </c>
      <c r="X724" t="n">
        <v>24062879</v>
      </c>
      <c r="Y724">
        <f>(AT724*ROUND(5,7))</f>
        <v/>
      </c>
      <c r="AA724" t="n">
        <v>87631.5</v>
      </c>
      <c r="AB724" t="n">
        <v>0</v>
      </c>
      <c r="AC724" t="n">
        <v>0</v>
      </c>
      <c r="AD724" t="n">
        <v>0</v>
      </c>
      <c r="AE724" t="n">
        <v>16950</v>
      </c>
      <c r="AF724" t="n">
        <v>0</v>
      </c>
      <c r="AG724" t="n">
        <v>0</v>
      </c>
      <c r="AH724" t="n">
        <v>0</v>
      </c>
      <c r="AI724" t="n">
        <v>5.17</v>
      </c>
      <c r="AJ724" t="n">
        <v>1</v>
      </c>
      <c r="AK724" t="n">
        <v>1</v>
      </c>
      <c r="AL724" t="n">
        <v>1</v>
      </c>
      <c r="AM724" t="n">
        <v>2</v>
      </c>
      <c r="AN724" t="n">
        <v>0</v>
      </c>
      <c r="AO724" t="n">
        <v>1</v>
      </c>
      <c r="AP724" t="n">
        <v>1</v>
      </c>
      <c r="AQ724" t="n">
        <v>0</v>
      </c>
      <c r="AR724" t="n">
        <v>0</v>
      </c>
      <c r="AS724" t="inlineStr"/>
      <c r="AT724" t="n">
        <v>2e-05</v>
      </c>
      <c r="AU724" t="inlineStr">
        <is>
          <t>)*5</t>
        </is>
      </c>
      <c r="AV724" t="n">
        <v>0</v>
      </c>
      <c r="AW724" t="n">
        <v>2</v>
      </c>
      <c r="AX724" t="n">
        <v>78873438</v>
      </c>
      <c r="AY724" t="n">
        <v>1</v>
      </c>
      <c r="AZ724" t="n">
        <v>0</v>
      </c>
      <c r="BA724" t="n">
        <v>662</v>
      </c>
      <c r="BB724" t="n">
        <v>0</v>
      </c>
      <c r="BC724" t="n">
        <v>0</v>
      </c>
      <c r="BD724" t="n">
        <v>0</v>
      </c>
      <c r="BE724" t="n">
        <v>0</v>
      </c>
      <c r="BF724" t="n">
        <v>0</v>
      </c>
      <c r="BG724" t="n">
        <v>0</v>
      </c>
      <c r="BH724" t="n">
        <v>0</v>
      </c>
      <c r="BI724" t="n">
        <v>0</v>
      </c>
      <c r="BJ724" t="n">
        <v>0</v>
      </c>
      <c r="BK724" t="n">
        <v>0</v>
      </c>
      <c r="BL724" t="n">
        <v>0</v>
      </c>
      <c r="BM724" t="n">
        <v>0</v>
      </c>
      <c r="BN724" t="n">
        <v>0</v>
      </c>
      <c r="BO724" t="n">
        <v>0</v>
      </c>
      <c r="BP724" t="n">
        <v>0</v>
      </c>
      <c r="BQ724" t="n">
        <v>0</v>
      </c>
      <c r="BR724" t="n">
        <v>0</v>
      </c>
      <c r="BS724" t="n">
        <v>0</v>
      </c>
      <c r="BT724" t="n">
        <v>0</v>
      </c>
      <c r="BU724" t="n">
        <v>0</v>
      </c>
      <c r="BV724" t="n">
        <v>0</v>
      </c>
      <c r="BW724" t="n">
        <v>0</v>
      </c>
      <c r="CV724" t="n">
        <v>0</v>
      </c>
      <c r="CW724" t="n">
        <v>0</v>
      </c>
      <c r="CX724">
        <f>ROUND(Y724*Source!I1521,7)</f>
        <v/>
      </c>
      <c r="CY724">
        <f>AA724</f>
        <v/>
      </c>
      <c r="CZ724">
        <f>AE724</f>
        <v/>
      </c>
      <c r="DA724">
        <f>AI724</f>
        <v/>
      </c>
      <c r="DB724">
        <f>ROUND((ROUND(AT724*CZ724,2)*ROUND(5,7)),2)</f>
        <v/>
      </c>
      <c r="DC724">
        <f>ROUND((ROUND(AT724*AG724,2)*ROUND(5,7)),2)</f>
        <v/>
      </c>
      <c r="DD724" t="inlineStr"/>
      <c r="DE724" t="inlineStr"/>
      <c r="DF724">
        <f>ROUND(ROUND(AE724*AI724,0)*CX724,0)</f>
        <v/>
      </c>
      <c r="DG724">
        <f>ROUND(ROUND(AF724,0)*CX724,0)</f>
        <v/>
      </c>
      <c r="DH724">
        <f>ROUND(ROUND(AG724,0)*CX724,0)</f>
        <v/>
      </c>
      <c r="DI724">
        <f>ROUND(ROUND(AH724,0)*CX724,0)</f>
        <v/>
      </c>
      <c r="DJ724">
        <f>DF724</f>
        <v/>
      </c>
      <c r="DK724" t="n">
        <v>0</v>
      </c>
      <c r="DL724" t="inlineStr"/>
      <c r="DM724" t="n">
        <v>0</v>
      </c>
      <c r="DN724" t="inlineStr"/>
      <c r="DO724" t="n">
        <v>0</v>
      </c>
    </row>
    <row r="725">
      <c r="A725">
        <f>ROW(Source!A1521)</f>
        <v/>
      </c>
      <c r="B725" t="n">
        <v>78869116</v>
      </c>
      <c r="C725" t="n">
        <v>78873428</v>
      </c>
      <c r="D725" t="n">
        <v>29107963</v>
      </c>
      <c r="E725" t="n">
        <v>1</v>
      </c>
      <c r="F725" t="n">
        <v>1</v>
      </c>
      <c r="G725" t="n">
        <v>1</v>
      </c>
      <c r="H725" t="n">
        <v>3</v>
      </c>
      <c r="I725" t="inlineStr">
        <is>
          <t>101-1669</t>
        </is>
      </c>
      <c r="J725" t="inlineStr">
        <is>
          <t>ТССЦ Московской обл., 101-1669, приказ Минстроя России №675/пр от 28.02.2017 № 254/пр</t>
        </is>
      </c>
      <c r="K725" t="inlineStr">
        <is>
          <t>Очес льняной</t>
        </is>
      </c>
      <c r="L725" t="n">
        <v>1346</v>
      </c>
      <c r="N725" t="n">
        <v>1009</v>
      </c>
      <c r="O725" t="inlineStr">
        <is>
          <t>кг</t>
        </is>
      </c>
      <c r="P725" t="inlineStr">
        <is>
          <t>кг</t>
        </is>
      </c>
      <c r="Q725" t="n">
        <v>1</v>
      </c>
      <c r="W725" t="n">
        <v>0</v>
      </c>
      <c r="X725" t="n">
        <v>-2113933962</v>
      </c>
      <c r="Y725">
        <f>(AT725*ROUND(5,7))</f>
        <v/>
      </c>
      <c r="AA725" t="n">
        <v>590.67</v>
      </c>
      <c r="AB725" t="n">
        <v>0</v>
      </c>
      <c r="AC725" t="n">
        <v>0</v>
      </c>
      <c r="AD725" t="n">
        <v>0</v>
      </c>
      <c r="AE725" t="n">
        <v>37.29</v>
      </c>
      <c r="AF725" t="n">
        <v>0</v>
      </c>
      <c r="AG725" t="n">
        <v>0</v>
      </c>
      <c r="AH725" t="n">
        <v>0</v>
      </c>
      <c r="AI725" t="n">
        <v>15.84</v>
      </c>
      <c r="AJ725" t="n">
        <v>1</v>
      </c>
      <c r="AK725" t="n">
        <v>1</v>
      </c>
      <c r="AL725" t="n">
        <v>1</v>
      </c>
      <c r="AM725" t="n">
        <v>2</v>
      </c>
      <c r="AN725" t="n">
        <v>0</v>
      </c>
      <c r="AO725" t="n">
        <v>1</v>
      </c>
      <c r="AP725" t="n">
        <v>1</v>
      </c>
      <c r="AQ725" t="n">
        <v>0</v>
      </c>
      <c r="AR725" t="n">
        <v>0</v>
      </c>
      <c r="AS725" t="inlineStr"/>
      <c r="AT725" t="n">
        <v>0.02</v>
      </c>
      <c r="AU725" t="inlineStr">
        <is>
          <t>)*5</t>
        </is>
      </c>
      <c r="AV725" t="n">
        <v>0</v>
      </c>
      <c r="AW725" t="n">
        <v>2</v>
      </c>
      <c r="AX725" t="n">
        <v>78873439</v>
      </c>
      <c r="AY725" t="n">
        <v>1</v>
      </c>
      <c r="AZ725" t="n">
        <v>0</v>
      </c>
      <c r="BA725" t="n">
        <v>663</v>
      </c>
      <c r="BB725" t="n">
        <v>0</v>
      </c>
      <c r="BC725" t="n">
        <v>0</v>
      </c>
      <c r="BD725" t="n">
        <v>0</v>
      </c>
      <c r="BE725" t="n">
        <v>0</v>
      </c>
      <c r="BF725" t="n">
        <v>0</v>
      </c>
      <c r="BG725" t="n">
        <v>0</v>
      </c>
      <c r="BH725" t="n">
        <v>0</v>
      </c>
      <c r="BI725" t="n">
        <v>0</v>
      </c>
      <c r="BJ725" t="n">
        <v>0</v>
      </c>
      <c r="BK725" t="n">
        <v>0</v>
      </c>
      <c r="BL725" t="n">
        <v>0</v>
      </c>
      <c r="BM725" t="n">
        <v>0</v>
      </c>
      <c r="BN725" t="n">
        <v>0</v>
      </c>
      <c r="BO725" t="n">
        <v>0</v>
      </c>
      <c r="BP725" t="n">
        <v>0</v>
      </c>
      <c r="BQ725" t="n">
        <v>0</v>
      </c>
      <c r="BR725" t="n">
        <v>0</v>
      </c>
      <c r="BS725" t="n">
        <v>0</v>
      </c>
      <c r="BT725" t="n">
        <v>0</v>
      </c>
      <c r="BU725" t="n">
        <v>0</v>
      </c>
      <c r="BV725" t="n">
        <v>0</v>
      </c>
      <c r="BW725" t="n">
        <v>0</v>
      </c>
      <c r="CV725" t="n">
        <v>0</v>
      </c>
      <c r="CW725" t="n">
        <v>0</v>
      </c>
      <c r="CX725">
        <f>ROUND(Y725*Source!I1521,7)</f>
        <v/>
      </c>
      <c r="CY725">
        <f>AA725</f>
        <v/>
      </c>
      <c r="CZ725">
        <f>AE725</f>
        <v/>
      </c>
      <c r="DA725">
        <f>AI725</f>
        <v/>
      </c>
      <c r="DB725">
        <f>ROUND((ROUND(AT725*CZ725,2)*ROUND(5,7)),2)</f>
        <v/>
      </c>
      <c r="DC725">
        <f>ROUND((ROUND(AT725*AG725,2)*ROUND(5,7)),2)</f>
        <v/>
      </c>
      <c r="DD725" t="inlineStr"/>
      <c r="DE725" t="inlineStr"/>
      <c r="DF725">
        <f>ROUND(ROUND(AE725*AI725,0)*CX725,0)</f>
        <v/>
      </c>
      <c r="DG725">
        <f>ROUND(ROUND(AF725,0)*CX725,0)</f>
        <v/>
      </c>
      <c r="DH725">
        <f>ROUND(ROUND(AG725,0)*CX725,0)</f>
        <v/>
      </c>
      <c r="DI725">
        <f>ROUND(ROUND(AH725,0)*CX725,0)</f>
        <v/>
      </c>
      <c r="DJ725">
        <f>DF725</f>
        <v/>
      </c>
      <c r="DK725" t="n">
        <v>0</v>
      </c>
      <c r="DL725" t="inlineStr"/>
      <c r="DM725" t="n">
        <v>0</v>
      </c>
      <c r="DN725" t="inlineStr"/>
      <c r="DO725" t="n">
        <v>0</v>
      </c>
    </row>
    <row r="726">
      <c r="A726">
        <f>ROW(Source!A1521)</f>
        <v/>
      </c>
      <c r="B726" t="n">
        <v>78869116</v>
      </c>
      <c r="C726" t="n">
        <v>78873428</v>
      </c>
      <c r="D726" t="n">
        <v>29150040</v>
      </c>
      <c r="E726" t="n">
        <v>1</v>
      </c>
      <c r="F726" t="n">
        <v>1</v>
      </c>
      <c r="G726" t="n">
        <v>1</v>
      </c>
      <c r="H726" t="n">
        <v>3</v>
      </c>
      <c r="I726" t="inlineStr">
        <is>
          <t>411-0001</t>
        </is>
      </c>
      <c r="J726" t="inlineStr">
        <is>
          <t>ТССЦ Московской обл., 411-0001, приказ Минстроя России №675/пр от 28.02.2017 № 257/пр</t>
        </is>
      </c>
      <c r="K726" t="inlineStr">
        <is>
          <t>Вода</t>
        </is>
      </c>
      <c r="L726" t="n">
        <v>1339</v>
      </c>
      <c r="N726" t="n">
        <v>1007</v>
      </c>
      <c r="O726" t="inlineStr">
        <is>
          <t>м3</t>
        </is>
      </c>
      <c r="P726" t="inlineStr">
        <is>
          <t>м3</t>
        </is>
      </c>
      <c r="Q726" t="n">
        <v>1</v>
      </c>
      <c r="W726" t="n">
        <v>0</v>
      </c>
      <c r="X726" t="n">
        <v>619799737</v>
      </c>
      <c r="Y726">
        <f>(AT726*ROUND(5,7))</f>
        <v/>
      </c>
      <c r="AA726" t="n">
        <v>31.28</v>
      </c>
      <c r="AB726" t="n">
        <v>0</v>
      </c>
      <c r="AC726" t="n">
        <v>0</v>
      </c>
      <c r="AD726" t="n">
        <v>0</v>
      </c>
      <c r="AE726" t="n">
        <v>2.44</v>
      </c>
      <c r="AF726" t="n">
        <v>0</v>
      </c>
      <c r="AG726" t="n">
        <v>0</v>
      </c>
      <c r="AH726" t="n">
        <v>0</v>
      </c>
      <c r="AI726" t="n">
        <v>12.82</v>
      </c>
      <c r="AJ726" t="n">
        <v>1</v>
      </c>
      <c r="AK726" t="n">
        <v>1</v>
      </c>
      <c r="AL726" t="n">
        <v>1</v>
      </c>
      <c r="AM726" t="n">
        <v>2</v>
      </c>
      <c r="AN726" t="n">
        <v>0</v>
      </c>
      <c r="AO726" t="n">
        <v>1</v>
      </c>
      <c r="AP726" t="n">
        <v>1</v>
      </c>
      <c r="AQ726" t="n">
        <v>0</v>
      </c>
      <c r="AR726" t="n">
        <v>0</v>
      </c>
      <c r="AS726" t="inlineStr"/>
      <c r="AT726" t="n">
        <v>1</v>
      </c>
      <c r="AU726" t="inlineStr">
        <is>
          <t>)*5</t>
        </is>
      </c>
      <c r="AV726" t="n">
        <v>0</v>
      </c>
      <c r="AW726" t="n">
        <v>2</v>
      </c>
      <c r="AX726" t="n">
        <v>78873440</v>
      </c>
      <c r="AY726" t="n">
        <v>1</v>
      </c>
      <c r="AZ726" t="n">
        <v>0</v>
      </c>
      <c r="BA726" t="n">
        <v>664</v>
      </c>
      <c r="BB726" t="n">
        <v>0</v>
      </c>
      <c r="BC726" t="n">
        <v>0</v>
      </c>
      <c r="BD726" t="n">
        <v>0</v>
      </c>
      <c r="BE726" t="n">
        <v>0</v>
      </c>
      <c r="BF726" t="n">
        <v>0</v>
      </c>
      <c r="BG726" t="n">
        <v>0</v>
      </c>
      <c r="BH726" t="n">
        <v>0</v>
      </c>
      <c r="BI726" t="n">
        <v>0</v>
      </c>
      <c r="BJ726" t="n">
        <v>0</v>
      </c>
      <c r="BK726" t="n">
        <v>0</v>
      </c>
      <c r="BL726" t="n">
        <v>0</v>
      </c>
      <c r="BM726" t="n">
        <v>0</v>
      </c>
      <c r="BN726" t="n">
        <v>0</v>
      </c>
      <c r="BO726" t="n">
        <v>0</v>
      </c>
      <c r="BP726" t="n">
        <v>0</v>
      </c>
      <c r="BQ726" t="n">
        <v>0</v>
      </c>
      <c r="BR726" t="n">
        <v>0</v>
      </c>
      <c r="BS726" t="n">
        <v>0</v>
      </c>
      <c r="BT726" t="n">
        <v>0</v>
      </c>
      <c r="BU726" t="n">
        <v>0</v>
      </c>
      <c r="BV726" t="n">
        <v>0</v>
      </c>
      <c r="BW726" t="n">
        <v>0</v>
      </c>
      <c r="CV726" t="n">
        <v>0</v>
      </c>
      <c r="CW726" t="n">
        <v>0</v>
      </c>
      <c r="CX726">
        <f>ROUND(Y726*Source!I1521,7)</f>
        <v/>
      </c>
      <c r="CY726">
        <f>AA726</f>
        <v/>
      </c>
      <c r="CZ726">
        <f>AE726</f>
        <v/>
      </c>
      <c r="DA726">
        <f>AI726</f>
        <v/>
      </c>
      <c r="DB726">
        <f>ROUND((ROUND(AT726*CZ726,2)*ROUND(5,7)),2)</f>
        <v/>
      </c>
      <c r="DC726">
        <f>ROUND((ROUND(AT726*AG726,2)*ROUND(5,7)),2)</f>
        <v/>
      </c>
      <c r="DD726" t="inlineStr"/>
      <c r="DE726" t="inlineStr"/>
      <c r="DF726">
        <f>ROUND(ROUND(AE726*AI726,0)*CX726,0)</f>
        <v/>
      </c>
      <c r="DG726">
        <f>ROUND(ROUND(AF726,0)*CX726,0)</f>
        <v/>
      </c>
      <c r="DH726">
        <f>ROUND(ROUND(AG726,0)*CX726,0)</f>
        <v/>
      </c>
      <c r="DI726">
        <f>ROUND(ROUND(AH726,0)*CX726,0)</f>
        <v/>
      </c>
      <c r="DJ726">
        <f>DF726</f>
        <v/>
      </c>
      <c r="DK726" t="n">
        <v>0</v>
      </c>
      <c r="DL726" t="inlineStr"/>
      <c r="DM726" t="n">
        <v>0</v>
      </c>
      <c r="DN726" t="inlineStr"/>
      <c r="DO726" t="n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R664"/>
  <sheetViews>
    <sheetView workbookViewId="0">
      <selection activeCell="A1" sqref="A1"/>
    </sheetView>
  </sheetViews>
  <sheetFormatPr baseColWidth="8" defaultRowHeight="15"/>
  <cols>
    <col width="9.140625" customWidth="1" style="197" min="1" max="1"/>
    <col width="13" customWidth="1" style="197" min="2" max="2"/>
    <col width="13" customWidth="1" style="197" min="3" max="3"/>
    <col width="13" customWidth="1" style="197" min="4" max="4"/>
    <col width="13" customWidth="1" style="197" min="5" max="5"/>
    <col width="13" customWidth="1" style="197" min="6" max="6"/>
    <col width="13" customWidth="1" style="197" min="7" max="7"/>
    <col width="13" customWidth="1" style="197" min="8" max="8"/>
    <col width="13" customWidth="1" style="197" min="9" max="9"/>
    <col width="13" customWidth="1" style="197" min="10" max="10"/>
    <col width="13" customWidth="1" style="197" min="11" max="11"/>
    <col width="13" customWidth="1" style="197" min="12" max="12"/>
    <col width="13" customWidth="1" style="197" min="13" max="13"/>
    <col width="13" customWidth="1" style="197" min="14" max="14"/>
    <col width="13" customWidth="1" style="197" min="15" max="15"/>
    <col width="13" customWidth="1" style="197" min="16" max="16"/>
    <col width="13" customWidth="1" style="197" min="17" max="17"/>
    <col width="13" customWidth="1" style="197" min="18" max="18"/>
    <col width="13" customWidth="1" style="197" min="19" max="19"/>
    <col width="13" customWidth="1" style="197" min="20" max="20"/>
    <col width="13" customWidth="1" style="197" min="21" max="21"/>
    <col width="13" customWidth="1" style="197" min="22" max="22"/>
    <col width="13" customWidth="1" style="197" min="23" max="23"/>
    <col width="13" customWidth="1" style="197" min="24" max="24"/>
    <col width="13" customWidth="1" style="197" min="25" max="25"/>
    <col width="13" customWidth="1" style="197" min="26" max="26"/>
    <col width="13" customWidth="1" style="197" min="27" max="27"/>
    <col width="13" customWidth="1" style="197" min="28" max="28"/>
    <col width="13" customWidth="1" style="197" min="29" max="29"/>
    <col width="13" customWidth="1" style="197" min="30" max="30"/>
    <col width="13" customWidth="1" style="197" min="31" max="31"/>
    <col width="13" customWidth="1" style="197" min="32" max="32"/>
    <col width="13" customWidth="1" style="197" min="33" max="33"/>
    <col width="13" customWidth="1" style="197" min="34" max="34"/>
    <col width="13" customWidth="1" style="197" min="35" max="35"/>
    <col width="13" customWidth="1" style="197" min="36" max="36"/>
    <col width="13" customWidth="1" style="197" min="37" max="37"/>
    <col width="13" customWidth="1" style="197" min="38" max="38"/>
    <col width="13" customWidth="1" style="197" min="39" max="39"/>
    <col width="13" customWidth="1" style="197" min="40" max="40"/>
    <col width="13" customWidth="1" style="197" min="41" max="41"/>
    <col width="13" customWidth="1" style="197" min="42" max="42"/>
    <col width="13" customWidth="1" style="197" min="43" max="43"/>
    <col width="13" customWidth="1" style="197" min="44" max="44"/>
  </cols>
  <sheetData>
    <row r="1">
      <c r="A1">
        <f>ROW(Source!A24)</f>
        <v/>
      </c>
      <c r="B1" t="n">
        <v>78869145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32.2</v>
      </c>
      <c r="Y1" t="n">
        <v>0</v>
      </c>
      <c r="Z1" t="n">
        <v>0</v>
      </c>
      <c r="AA1" t="n">
        <v>0</v>
      </c>
      <c r="AB1" t="n">
        <v>8.17</v>
      </c>
      <c r="AC1" t="n">
        <v>0</v>
      </c>
      <c r="AD1" t="n">
        <v>1</v>
      </c>
      <c r="AE1" t="n">
        <v>1</v>
      </c>
      <c r="AF1" t="inlineStr"/>
      <c r="AG1" t="n">
        <v>32.2</v>
      </c>
      <c r="AH1" t="n">
        <v>2</v>
      </c>
      <c r="AI1" t="n">
        <v>78869139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ROW(Source!A24)</f>
        <v/>
      </c>
      <c r="B2" t="n">
        <v>78869146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X2" t="n">
        <v>0.01</v>
      </c>
      <c r="Y2" t="n">
        <v>0</v>
      </c>
      <c r="Z2" t="n">
        <v>87.17</v>
      </c>
      <c r="AA2" t="n">
        <v>11.6</v>
      </c>
      <c r="AB2" t="n">
        <v>0</v>
      </c>
      <c r="AC2" t="n">
        <v>0</v>
      </c>
      <c r="AD2" t="n">
        <v>1</v>
      </c>
      <c r="AE2" t="n">
        <v>0</v>
      </c>
      <c r="AF2" t="inlineStr"/>
      <c r="AG2" t="n">
        <v>0.01</v>
      </c>
      <c r="AH2" t="n">
        <v>2</v>
      </c>
      <c r="AI2" t="n">
        <v>78869140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ROW(Source!A24)</f>
        <v/>
      </c>
      <c r="B3" t="n">
        <v>78869147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X3" t="n">
        <v>2</v>
      </c>
      <c r="Y3" t="n">
        <v>23.09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0</v>
      </c>
      <c r="AF3" t="inlineStr"/>
      <c r="AG3" t="n">
        <v>2</v>
      </c>
      <c r="AH3" t="n">
        <v>2</v>
      </c>
      <c r="AI3" t="n">
        <v>78869141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ROW(Source!A24)</f>
        <v/>
      </c>
      <c r="B4" t="n">
        <v>78869148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X4" t="n">
        <v>0.005</v>
      </c>
      <c r="Y4" t="n">
        <v>14830</v>
      </c>
      <c r="Z4" t="n">
        <v>0</v>
      </c>
      <c r="AA4" t="n">
        <v>0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0.005</v>
      </c>
      <c r="AH4" t="n">
        <v>2</v>
      </c>
      <c r="AI4" t="n">
        <v>78869142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ROW(Source!A24)</f>
        <v/>
      </c>
      <c r="B5" t="n">
        <v>78869149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X5" t="n">
        <v>7.8</v>
      </c>
      <c r="Y5" t="n">
        <v>2.44</v>
      </c>
      <c r="Z5" t="n">
        <v>0</v>
      </c>
      <c r="AA5" t="n">
        <v>0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7.8</v>
      </c>
      <c r="AH5" t="n">
        <v>2</v>
      </c>
      <c r="AI5" t="n">
        <v>78869143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78869264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X6" t="n">
        <v>13.9</v>
      </c>
      <c r="Y6" t="n">
        <v>0</v>
      </c>
      <c r="Z6" t="n">
        <v>0</v>
      </c>
      <c r="AA6" t="n">
        <v>0</v>
      </c>
      <c r="AB6" t="n">
        <v>8.529999999999999</v>
      </c>
      <c r="AC6" t="n">
        <v>0</v>
      </c>
      <c r="AD6" t="n">
        <v>1</v>
      </c>
      <c r="AE6" t="n">
        <v>1</v>
      </c>
      <c r="AF6" t="inlineStr"/>
      <c r="AG6" t="n">
        <v>13.9</v>
      </c>
      <c r="AH6" t="n">
        <v>2</v>
      </c>
      <c r="AI6" t="n">
        <v>78869261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78869265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X7" t="n">
        <v>10</v>
      </c>
      <c r="Y7" t="n">
        <v>85.2</v>
      </c>
      <c r="Z7" t="n">
        <v>0</v>
      </c>
      <c r="AA7" t="n">
        <v>0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10</v>
      </c>
      <c r="AH7" t="n">
        <v>2</v>
      </c>
      <c r="AI7" t="n">
        <v>78869263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ROW(Source!A27)</f>
        <v/>
      </c>
      <c r="B8" t="n">
        <v>78869279</v>
      </c>
      <c r="C8" t="n">
        <v>78869272</v>
      </c>
      <c r="D8" t="n">
        <v>18442827</v>
      </c>
      <c r="E8" t="n">
        <v>1</v>
      </c>
      <c r="F8" t="n">
        <v>1</v>
      </c>
      <c r="G8" t="n">
        <v>1</v>
      </c>
      <c r="H8" t="n">
        <v>1</v>
      </c>
      <c r="I8" t="inlineStr">
        <is>
          <t>1-1053-90</t>
        </is>
      </c>
      <c r="J8" t="inlineStr"/>
      <c r="K8" t="inlineStr">
        <is>
          <t>Рабочий строитель среднего разряда 5,3</t>
        </is>
      </c>
      <c r="L8" t="n">
        <v>1369</v>
      </c>
      <c r="N8" t="n">
        <v>1013</v>
      </c>
      <c r="O8" t="inlineStr">
        <is>
          <t>чел.-ч</t>
        </is>
      </c>
      <c r="P8" t="inlineStr">
        <is>
          <t>чел.-ч</t>
        </is>
      </c>
      <c r="Q8" t="n">
        <v>1</v>
      </c>
      <c r="X8" t="n">
        <v>5.01</v>
      </c>
      <c r="Y8" t="n">
        <v>0</v>
      </c>
      <c r="Z8" t="n">
        <v>0</v>
      </c>
      <c r="AA8" t="n">
        <v>0</v>
      </c>
      <c r="AB8" t="n">
        <v>11.64</v>
      </c>
      <c r="AC8" t="n">
        <v>0</v>
      </c>
      <c r="AD8" t="n">
        <v>1</v>
      </c>
      <c r="AE8" t="n">
        <v>1</v>
      </c>
      <c r="AF8" t="inlineStr">
        <is>
          <t>)*5</t>
        </is>
      </c>
      <c r="AG8" t="n">
        <v>25.05</v>
      </c>
      <c r="AH8" t="n">
        <v>2</v>
      </c>
      <c r="AI8" t="n">
        <v>78869273</v>
      </c>
      <c r="AJ8" t="n">
        <v>9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ROW(Source!A27)</f>
        <v/>
      </c>
      <c r="B9" t="n">
        <v>78869280</v>
      </c>
      <c r="C9" t="n">
        <v>78869272</v>
      </c>
      <c r="D9" t="n">
        <v>29172703</v>
      </c>
      <c r="E9" t="n">
        <v>1</v>
      </c>
      <c r="F9" t="n">
        <v>1</v>
      </c>
      <c r="G9" t="n">
        <v>1</v>
      </c>
      <c r="H9" t="n">
        <v>2</v>
      </c>
      <c r="I9" t="inlineStr">
        <is>
          <t>042900</t>
        </is>
      </c>
      <c r="J9" t="inlineStr">
        <is>
          <t>ТСЭМ Московской обл., 042900, приказ Минстроя России №675/пр от 28.02.2017 № 264/пр</t>
        </is>
      </c>
      <c r="K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9" t="n">
        <v>1368</v>
      </c>
      <c r="N9" t="n">
        <v>1011</v>
      </c>
      <c r="O9" t="inlineStr">
        <is>
          <t>маш.-ч</t>
        </is>
      </c>
      <c r="P9" t="inlineStr">
        <is>
          <t>маш.-ч</t>
        </is>
      </c>
      <c r="Q9" t="n">
        <v>1</v>
      </c>
      <c r="X9" t="n">
        <v>1.5</v>
      </c>
      <c r="Y9" t="n">
        <v>0</v>
      </c>
      <c r="Z9" t="n">
        <v>29.67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>
        <is>
          <t>)*5</t>
        </is>
      </c>
      <c r="AG9" t="n">
        <v>7.5</v>
      </c>
      <c r="AH9" t="n">
        <v>2</v>
      </c>
      <c r="AI9" t="n">
        <v>78869274</v>
      </c>
      <c r="AJ9" t="n">
        <v>10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ROW(Source!A27)</f>
        <v/>
      </c>
      <c r="B10" t="n">
        <v>78869281</v>
      </c>
      <c r="C10" t="n">
        <v>78869272</v>
      </c>
      <c r="D10" t="n">
        <v>29110398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101-0388</t>
        </is>
      </c>
      <c r="J10" t="inlineStr">
        <is>
          <t>ТССЦ Московской обл., 101-0388, приказ Минстроя России №675/пр от 28.02.2017 № 254/пр</t>
        </is>
      </c>
      <c r="K10" t="inlineStr">
        <is>
          <t>Краски масляные земляные марки МА-0115 мумия, сурик железный</t>
        </is>
      </c>
      <c r="L10" t="n">
        <v>1348</v>
      </c>
      <c r="N10" t="n">
        <v>1009</v>
      </c>
      <c r="O10" t="inlineStr">
        <is>
          <t>т</t>
        </is>
      </c>
      <c r="P10" t="inlineStr">
        <is>
          <t>т</t>
        </is>
      </c>
      <c r="Q10" t="n">
        <v>1000</v>
      </c>
      <c r="X10" t="n">
        <v>5e-05</v>
      </c>
      <c r="Y10" t="n">
        <v>15118.99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>
        <is>
          <t>)*5</t>
        </is>
      </c>
      <c r="AG10" t="n">
        <v>0.00025</v>
      </c>
      <c r="AH10" t="n">
        <v>2</v>
      </c>
      <c r="AI10" t="n">
        <v>78869275</v>
      </c>
      <c r="AJ10" t="n">
        <v>11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ROW(Source!A27)</f>
        <v/>
      </c>
      <c r="B11" t="n">
        <v>78869282</v>
      </c>
      <c r="C11" t="n">
        <v>78869272</v>
      </c>
      <c r="D11" t="n">
        <v>29110573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101-0628</t>
        </is>
      </c>
      <c r="J11" t="inlineStr">
        <is>
          <t>ТССЦ Московской обл., 101-0628, приказ Минстроя России №675/пр от 28.02.2017 № 254/пр</t>
        </is>
      </c>
      <c r="K11" t="inlineStr">
        <is>
          <t>Олифа комбинированная, марки К-3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X11" t="n">
        <v>2e-05</v>
      </c>
      <c r="Y11" t="n">
        <v>16950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>
        <is>
          <t>)*5</t>
        </is>
      </c>
      <c r="AG11" t="n">
        <v>0.0001</v>
      </c>
      <c r="AH11" t="n">
        <v>2</v>
      </c>
      <c r="AI11" t="n">
        <v>78869276</v>
      </c>
      <c r="AJ11" t="n">
        <v>12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ROW(Source!A27)</f>
        <v/>
      </c>
      <c r="B12" t="n">
        <v>78869283</v>
      </c>
      <c r="C12" t="n">
        <v>78869272</v>
      </c>
      <c r="D12" t="n">
        <v>29107963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101-1669</t>
        </is>
      </c>
      <c r="J12" t="inlineStr">
        <is>
          <t>ТССЦ Московской обл., 101-1669, приказ Минстроя России №675/пр от 28.02.2017 № 254/пр</t>
        </is>
      </c>
      <c r="K12" t="inlineStr">
        <is>
          <t>Очес льняной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X12" t="n">
        <v>0.02</v>
      </c>
      <c r="Y12" t="n">
        <v>37.29</v>
      </c>
      <c r="Z12" t="n">
        <v>0</v>
      </c>
      <c r="AA12" t="n">
        <v>0</v>
      </c>
      <c r="AB12" t="n">
        <v>0</v>
      </c>
      <c r="AC12" t="n">
        <v>0</v>
      </c>
      <c r="AD12" t="n">
        <v>1</v>
      </c>
      <c r="AE12" t="n">
        <v>0</v>
      </c>
      <c r="AF12" t="inlineStr">
        <is>
          <t>)*5</t>
        </is>
      </c>
      <c r="AG12" t="n">
        <v>0.1</v>
      </c>
      <c r="AH12" t="n">
        <v>2</v>
      </c>
      <c r="AI12" t="n">
        <v>78869277</v>
      </c>
      <c r="AJ12" t="n">
        <v>13</v>
      </c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ROW(Source!A27)</f>
        <v/>
      </c>
      <c r="B13" t="n">
        <v>78869284</v>
      </c>
      <c r="C13" t="n">
        <v>78869272</v>
      </c>
      <c r="D13" t="n">
        <v>29150040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411-0001</t>
        </is>
      </c>
      <c r="J13" t="inlineStr">
        <is>
          <t>ТССЦ Московской обл., 411-0001, приказ Минстроя России №675/пр от 28.02.2017 № 257/пр</t>
        </is>
      </c>
      <c r="K13" t="inlineStr">
        <is>
          <t>Вода</t>
        </is>
      </c>
      <c r="L13" t="n">
        <v>1339</v>
      </c>
      <c r="N13" t="n">
        <v>1007</v>
      </c>
      <c r="O13" t="inlineStr">
        <is>
          <t>м3</t>
        </is>
      </c>
      <c r="P13" t="inlineStr">
        <is>
          <t>м3</t>
        </is>
      </c>
      <c r="Q13" t="n">
        <v>1</v>
      </c>
      <c r="X13" t="n">
        <v>1</v>
      </c>
      <c r="Y13" t="n">
        <v>2.44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>
        <is>
          <t>)*5</t>
        </is>
      </c>
      <c r="AG13" t="n">
        <v>5</v>
      </c>
      <c r="AH13" t="n">
        <v>2</v>
      </c>
      <c r="AI13" t="n">
        <v>78869278</v>
      </c>
      <c r="AJ13" t="n">
        <v>14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ROW(Source!A66)</f>
        <v/>
      </c>
      <c r="B14" t="n">
        <v>78869354</v>
      </c>
      <c r="C14" t="n">
        <v>78869348</v>
      </c>
      <c r="D14" t="n">
        <v>18408291</v>
      </c>
      <c r="E14" t="n">
        <v>1</v>
      </c>
      <c r="F14" t="n">
        <v>1</v>
      </c>
      <c r="G14" t="n">
        <v>1</v>
      </c>
      <c r="H14" t="n">
        <v>1</v>
      </c>
      <c r="I14" t="inlineStr">
        <is>
          <t>1-1025-90</t>
        </is>
      </c>
      <c r="J14" t="inlineStr"/>
      <c r="K14" t="inlineStr">
        <is>
          <t>Рабочий строитель среднего разряда 2,5</t>
        </is>
      </c>
      <c r="L14" t="n">
        <v>1369</v>
      </c>
      <c r="N14" t="n">
        <v>1013</v>
      </c>
      <c r="O14" t="inlineStr">
        <is>
          <t>чел.-ч</t>
        </is>
      </c>
      <c r="P14" t="inlineStr">
        <is>
          <t>чел.-ч</t>
        </is>
      </c>
      <c r="Q14" t="n">
        <v>1</v>
      </c>
      <c r="X14" t="n">
        <v>32.2</v>
      </c>
      <c r="Y14" t="n">
        <v>0</v>
      </c>
      <c r="Z14" t="n">
        <v>0</v>
      </c>
      <c r="AA14" t="n">
        <v>0</v>
      </c>
      <c r="AB14" t="n">
        <v>8.17</v>
      </c>
      <c r="AC14" t="n">
        <v>0</v>
      </c>
      <c r="AD14" t="n">
        <v>1</v>
      </c>
      <c r="AE14" t="n">
        <v>1</v>
      </c>
      <c r="AF14" t="inlineStr"/>
      <c r="AG14" t="n">
        <v>32.2</v>
      </c>
      <c r="AH14" t="n">
        <v>2</v>
      </c>
      <c r="AI14" t="n">
        <v>78869349</v>
      </c>
      <c r="AJ14" t="n">
        <v>15</v>
      </c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ROW(Source!A66)</f>
        <v/>
      </c>
      <c r="B15" t="n">
        <v>78869355</v>
      </c>
      <c r="C15" t="n">
        <v>78869348</v>
      </c>
      <c r="D15" t="n">
        <v>29174913</v>
      </c>
      <c r="E15" t="n">
        <v>1</v>
      </c>
      <c r="F15" t="n">
        <v>1</v>
      </c>
      <c r="G15" t="n">
        <v>1</v>
      </c>
      <c r="H15" t="n">
        <v>2</v>
      </c>
      <c r="I15" t="inlineStr">
        <is>
          <t>400001</t>
        </is>
      </c>
      <c r="J15" t="inlineStr">
        <is>
          <t>ТСЭМ Московской обл., 400001, приказ Минстроя России №675/пр от 28.02.2017 № 264/пр</t>
        </is>
      </c>
      <c r="K15" t="inlineStr">
        <is>
          <t>Автомобили бортовые, грузоподъемность до 5 т</t>
        </is>
      </c>
      <c r="L15" t="n">
        <v>1368</v>
      </c>
      <c r="N15" t="n">
        <v>1011</v>
      </c>
      <c r="O15" t="inlineStr">
        <is>
          <t>маш.-ч</t>
        </is>
      </c>
      <c r="P15" t="inlineStr">
        <is>
          <t>маш.-ч</t>
        </is>
      </c>
      <c r="Q15" t="n">
        <v>1</v>
      </c>
      <c r="X15" t="n">
        <v>0.01</v>
      </c>
      <c r="Y15" t="n">
        <v>0</v>
      </c>
      <c r="Z15" t="n">
        <v>87.17</v>
      </c>
      <c r="AA15" t="n">
        <v>11.6</v>
      </c>
      <c r="AB15" t="n">
        <v>0</v>
      </c>
      <c r="AC15" t="n">
        <v>0</v>
      </c>
      <c r="AD15" t="n">
        <v>1</v>
      </c>
      <c r="AE15" t="n">
        <v>0</v>
      </c>
      <c r="AF15" t="inlineStr"/>
      <c r="AG15" t="n">
        <v>0.01</v>
      </c>
      <c r="AH15" t="n">
        <v>2</v>
      </c>
      <c r="AI15" t="n">
        <v>78869350</v>
      </c>
      <c r="AJ15" t="n">
        <v>16</v>
      </c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ROW(Source!A66)</f>
        <v/>
      </c>
      <c r="B16" t="n">
        <v>78869356</v>
      </c>
      <c r="C16" t="n">
        <v>78869348</v>
      </c>
      <c r="D16" t="n">
        <v>29110139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101-1703</t>
        </is>
      </c>
      <c r="J16" t="inlineStr">
        <is>
          <t>ТССЦ Московской обл., 101-1703, приказ Минстроя России №675/пр от 28.02.2017 № 254/пр</t>
        </is>
      </c>
      <c r="K16" t="inlineStr">
        <is>
          <t>Прокладки резиновые (пластина техническая прессованная)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2</v>
      </c>
      <c r="Y16" t="n">
        <v>23.09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2</v>
      </c>
      <c r="AH16" t="n">
        <v>2</v>
      </c>
      <c r="AI16" t="n">
        <v>78869351</v>
      </c>
      <c r="AJ16" t="n">
        <v>17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ROW(Source!A66)</f>
        <v/>
      </c>
      <c r="B17" t="n">
        <v>78869357</v>
      </c>
      <c r="C17" t="n">
        <v>78869348</v>
      </c>
      <c r="D17" t="n">
        <v>29114240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101-2576</t>
        </is>
      </c>
      <c r="J17" t="inlineStr">
        <is>
          <t>ТССЦ Московской обл., 101-2576, приказ Минстроя России №675/пр от 28.02.2017 № 254/пр</t>
        </is>
      </c>
      <c r="K17" t="inlineStr">
        <is>
          <t>Болты с гайками и шайбами для санитарно-технических работ диаметром 16 мм</t>
        </is>
      </c>
      <c r="L17" t="n">
        <v>1348</v>
      </c>
      <c r="N17" t="n">
        <v>1009</v>
      </c>
      <c r="O17" t="inlineStr">
        <is>
          <t>т</t>
        </is>
      </c>
      <c r="P17" t="inlineStr">
        <is>
          <t>т</t>
        </is>
      </c>
      <c r="Q17" t="n">
        <v>1000</v>
      </c>
      <c r="X17" t="n">
        <v>0.005</v>
      </c>
      <c r="Y17" t="n">
        <v>14830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0.005</v>
      </c>
      <c r="AH17" t="n">
        <v>2</v>
      </c>
      <c r="AI17" t="n">
        <v>78869352</v>
      </c>
      <c r="AJ17" t="n">
        <v>18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ROW(Source!A66)</f>
        <v/>
      </c>
      <c r="B18" t="n">
        <v>78869358</v>
      </c>
      <c r="C18" t="n">
        <v>78869348</v>
      </c>
      <c r="D18" t="n">
        <v>29150040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411-0001</t>
        </is>
      </c>
      <c r="J18" t="inlineStr">
        <is>
          <t>ТССЦ Московской обл., 411-0001, приказ Минстроя России №675/пр от 28.02.2017 № 257/пр</t>
        </is>
      </c>
      <c r="K18" t="inlineStr">
        <is>
          <t>Вода</t>
        </is>
      </c>
      <c r="L18" t="n">
        <v>1339</v>
      </c>
      <c r="N18" t="n">
        <v>1007</v>
      </c>
      <c r="O18" t="inlineStr">
        <is>
          <t>м3</t>
        </is>
      </c>
      <c r="P18" t="inlineStr">
        <is>
          <t>м3</t>
        </is>
      </c>
      <c r="Q18" t="n">
        <v>1</v>
      </c>
      <c r="X18" t="n">
        <v>7.8</v>
      </c>
      <c r="Y18" t="n">
        <v>2.44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7.8</v>
      </c>
      <c r="AH18" t="n">
        <v>2</v>
      </c>
      <c r="AI18" t="n">
        <v>78869353</v>
      </c>
      <c r="AJ18" t="n">
        <v>19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ROW(Source!A67)</f>
        <v/>
      </c>
      <c r="B19" t="n">
        <v>78869363</v>
      </c>
      <c r="C19" t="n">
        <v>78869359</v>
      </c>
      <c r="D19" t="n">
        <v>18407150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1-1030-90</t>
        </is>
      </c>
      <c r="J19" t="inlineStr"/>
      <c r="K19" t="inlineStr">
        <is>
          <t>Рабочий строитель среднего разряда 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13.9</v>
      </c>
      <c r="Y19" t="n">
        <v>0</v>
      </c>
      <c r="Z19" t="n">
        <v>0</v>
      </c>
      <c r="AA19" t="n">
        <v>0</v>
      </c>
      <c r="AB19" t="n">
        <v>8.529999999999999</v>
      </c>
      <c r="AC19" t="n">
        <v>0</v>
      </c>
      <c r="AD19" t="n">
        <v>1</v>
      </c>
      <c r="AE19" t="n">
        <v>1</v>
      </c>
      <c r="AF19" t="inlineStr"/>
      <c r="AG19" t="n">
        <v>13.9</v>
      </c>
      <c r="AH19" t="n">
        <v>2</v>
      </c>
      <c r="AI19" t="n">
        <v>78869360</v>
      </c>
      <c r="AJ19" t="n">
        <v>20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ROW(Source!A67)</f>
        <v/>
      </c>
      <c r="B20" t="n">
        <v>78869364</v>
      </c>
      <c r="C20" t="n">
        <v>78869359</v>
      </c>
      <c r="D20" t="n">
        <v>29169821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509-0696</t>
        </is>
      </c>
      <c r="J20" t="inlineStr">
        <is>
          <t>ТССЦ Московской обл., 509-0696, приказ Минстроя России №675/пр от 28.02.2017 № 258/пр</t>
        </is>
      </c>
      <c r="K20" t="inlineStr">
        <is>
          <t>Лампы люминесцентные ртутные низкого давления типа ЛБ, ЛД, ЛДЦ, ЛТВ, ЛБХ 20</t>
        </is>
      </c>
      <c r="L20" t="n">
        <v>1358</v>
      </c>
      <c r="N20" t="n">
        <v>1010</v>
      </c>
      <c r="O20" t="inlineStr">
        <is>
          <t>10 шт.</t>
        </is>
      </c>
      <c r="P20" t="inlineStr">
        <is>
          <t>10 шт.</t>
        </is>
      </c>
      <c r="Q20" t="n">
        <v>10</v>
      </c>
      <c r="X20" t="n">
        <v>10</v>
      </c>
      <c r="Y20" t="n">
        <v>85.2</v>
      </c>
      <c r="Z20" t="n">
        <v>0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10</v>
      </c>
      <c r="AH20" t="n">
        <v>2</v>
      </c>
      <c r="AI20" t="n">
        <v>78869361</v>
      </c>
      <c r="AJ20" t="n">
        <v>21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ROW(Source!A69)</f>
        <v/>
      </c>
      <c r="B21" t="n">
        <v>78869367</v>
      </c>
      <c r="C21" t="n">
        <v>78869366</v>
      </c>
      <c r="D21" t="n">
        <v>18409850</v>
      </c>
      <c r="E21" t="n">
        <v>1</v>
      </c>
      <c r="F21" t="n">
        <v>1</v>
      </c>
      <c r="G21" t="n">
        <v>1</v>
      </c>
      <c r="H21" t="n">
        <v>1</v>
      </c>
      <c r="I21" t="inlineStr">
        <is>
          <t>1-1035-90</t>
        </is>
      </c>
      <c r="J21" t="inlineStr"/>
      <c r="K21" t="inlineStr">
        <is>
          <t>Рабочий строитель среднего разряда 3,5</t>
        </is>
      </c>
      <c r="L21" t="n">
        <v>1369</v>
      </c>
      <c r="N21" t="n">
        <v>1013</v>
      </c>
      <c r="O21" t="inlineStr">
        <is>
          <t>чел.-ч</t>
        </is>
      </c>
      <c r="P21" t="inlineStr">
        <is>
          <t>чел.-ч</t>
        </is>
      </c>
      <c r="Q21" t="n">
        <v>1</v>
      </c>
      <c r="X21" t="n">
        <v>81</v>
      </c>
      <c r="Y21" t="n">
        <v>0</v>
      </c>
      <c r="Z21" t="n">
        <v>0</v>
      </c>
      <c r="AA21" t="n">
        <v>0</v>
      </c>
      <c r="AB21" t="n">
        <v>9.07</v>
      </c>
      <c r="AC21" t="n">
        <v>0</v>
      </c>
      <c r="AD21" t="n">
        <v>1</v>
      </c>
      <c r="AE21" t="n">
        <v>1</v>
      </c>
      <c r="AF21" t="inlineStr"/>
      <c r="AG21" t="n">
        <v>81</v>
      </c>
      <c r="AH21" t="n">
        <v>2</v>
      </c>
      <c r="AI21" t="n">
        <v>78869367</v>
      </c>
      <c r="AJ21" t="n">
        <v>23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ROW(Source!A69)</f>
        <v/>
      </c>
      <c r="B22" t="n">
        <v>78869368</v>
      </c>
      <c r="C22" t="n">
        <v>78869366</v>
      </c>
      <c r="D22" t="n">
        <v>29174913</v>
      </c>
      <c r="E22" t="n">
        <v>1</v>
      </c>
      <c r="F22" t="n">
        <v>1</v>
      </c>
      <c r="G22" t="n">
        <v>1</v>
      </c>
      <c r="H22" t="n">
        <v>2</v>
      </c>
      <c r="I22" t="inlineStr">
        <is>
          <t>400001</t>
        </is>
      </c>
      <c r="J22" t="inlineStr">
        <is>
          <t>ТСЭМ Московской обл., 400001, приказ Минстроя России №675/пр от 28.02.2017 № 264/пр</t>
        </is>
      </c>
      <c r="K22" t="inlineStr">
        <is>
          <t>Автомобили бортовые, грузоподъемность до 5 т</t>
        </is>
      </c>
      <c r="L22" t="n">
        <v>1368</v>
      </c>
      <c r="N22" t="n">
        <v>1011</v>
      </c>
      <c r="O22" t="inlineStr">
        <is>
          <t>маш.-ч</t>
        </is>
      </c>
      <c r="P22" t="inlineStr">
        <is>
          <t>маш.-ч</t>
        </is>
      </c>
      <c r="Q22" t="n">
        <v>1</v>
      </c>
      <c r="X22" t="n">
        <v>0.05</v>
      </c>
      <c r="Y22" t="n">
        <v>0</v>
      </c>
      <c r="Z22" t="n">
        <v>87.17</v>
      </c>
      <c r="AA22" t="n">
        <v>11.6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0.05</v>
      </c>
      <c r="AH22" t="n">
        <v>2</v>
      </c>
      <c r="AI22" t="n">
        <v>78869368</v>
      </c>
      <c r="AJ22" t="n">
        <v>24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ROW(Source!A69)</f>
        <v/>
      </c>
      <c r="B23" t="n">
        <v>78869369</v>
      </c>
      <c r="C23" t="n">
        <v>78869366</v>
      </c>
      <c r="D23" t="n">
        <v>29110398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101-0388</t>
        </is>
      </c>
      <c r="J23" t="inlineStr">
        <is>
          <t>ТССЦ Московской обл., 101-0388, приказ Минстроя России №675/пр от 28.02.2017 № 254/пр</t>
        </is>
      </c>
      <c r="K23" t="inlineStr">
        <is>
          <t>Краски масляные земляные марки МА-0115 мумия, сурик железный</t>
        </is>
      </c>
      <c r="L23" t="n">
        <v>1348</v>
      </c>
      <c r="N23" t="n">
        <v>1009</v>
      </c>
      <c r="O23" t="inlineStr">
        <is>
          <t>т</t>
        </is>
      </c>
      <c r="P23" t="inlineStr">
        <is>
          <t>т</t>
        </is>
      </c>
      <c r="Q23" t="n">
        <v>1000</v>
      </c>
      <c r="X23" t="n">
        <v>0.0014</v>
      </c>
      <c r="Y23" t="n">
        <v>15118.99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0.0014</v>
      </c>
      <c r="AH23" t="n">
        <v>2</v>
      </c>
      <c r="AI23" t="n">
        <v>78869369</v>
      </c>
      <c r="AJ23" t="n">
        <v>25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ROW(Source!A69)</f>
        <v/>
      </c>
      <c r="B24" t="n">
        <v>78869370</v>
      </c>
      <c r="C24" t="n">
        <v>78869366</v>
      </c>
      <c r="D24" t="n">
        <v>29110573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101-0628</t>
        </is>
      </c>
      <c r="J24" t="inlineStr">
        <is>
          <t>ТССЦ Московской обл., 101-0628, приказ Минстроя России №675/пр от 28.02.2017 № 254/пр</t>
        </is>
      </c>
      <c r="K24" t="inlineStr">
        <is>
          <t>Олифа комбинированная, марки К-3</t>
        </is>
      </c>
      <c r="L24" t="n">
        <v>1348</v>
      </c>
      <c r="N24" t="n">
        <v>1009</v>
      </c>
      <c r="O24" t="inlineStr">
        <is>
          <t>т</t>
        </is>
      </c>
      <c r="P24" t="inlineStr">
        <is>
          <t>т</t>
        </is>
      </c>
      <c r="Q24" t="n">
        <v>1000</v>
      </c>
      <c r="X24" t="n">
        <v>0.0007</v>
      </c>
      <c r="Y24" t="n">
        <v>16950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0.0007</v>
      </c>
      <c r="AH24" t="n">
        <v>2</v>
      </c>
      <c r="AI24" t="n">
        <v>78869370</v>
      </c>
      <c r="AJ24" t="n">
        <v>26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ROW(Source!A69)</f>
        <v/>
      </c>
      <c r="B25" t="n">
        <v>78869371</v>
      </c>
      <c r="C25" t="n">
        <v>78869366</v>
      </c>
      <c r="D25" t="n">
        <v>29107963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101-1669</t>
        </is>
      </c>
      <c r="J25" t="inlineStr">
        <is>
          <t>ТССЦ Московской обл., 101-1669, приказ Минстроя России №675/пр от 28.02.2017 № 254/пр</t>
        </is>
      </c>
      <c r="K25" t="inlineStr">
        <is>
          <t>Очес льняной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X25" t="n">
        <v>0.7</v>
      </c>
      <c r="Y25" t="n">
        <v>37.29</v>
      </c>
      <c r="Z25" t="n">
        <v>0</v>
      </c>
      <c r="AA25" t="n">
        <v>0</v>
      </c>
      <c r="AB25" t="n">
        <v>0</v>
      </c>
      <c r="AC25" t="n">
        <v>0</v>
      </c>
      <c r="AD25" t="n">
        <v>1</v>
      </c>
      <c r="AE25" t="n">
        <v>0</v>
      </c>
      <c r="AF25" t="inlineStr"/>
      <c r="AG25" t="n">
        <v>0.7</v>
      </c>
      <c r="AH25" t="n">
        <v>2</v>
      </c>
      <c r="AI25" t="n">
        <v>78869371</v>
      </c>
      <c r="AJ25" t="n">
        <v>27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ROW(Source!A69)</f>
        <v/>
      </c>
      <c r="B26" t="n">
        <v>78869372</v>
      </c>
      <c r="C26" t="n">
        <v>78869366</v>
      </c>
      <c r="D26" t="n">
        <v>29142465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302-1342</t>
        </is>
      </c>
      <c r="J26" t="inlineStr">
        <is>
          <t>ТССЦ Московской обл., 302-1342, приказ Минстроя России №675/пр от 28.02.2017 № 256/пр</t>
        </is>
      </c>
      <c r="K26" t="inlineStr">
        <is>
          <t>Вентили проходные муфтовые 15кч18п для воды давлением 1,6 МПа (16 кгс/см2), диаметром 20 мм</t>
        </is>
      </c>
      <c r="L26" t="n">
        <v>1354</v>
      </c>
      <c r="N26" t="n">
        <v>1010</v>
      </c>
      <c r="O26" t="inlineStr">
        <is>
          <t>шт.</t>
        </is>
      </c>
      <c r="P26" t="inlineStr">
        <is>
          <t>шт.</t>
        </is>
      </c>
      <c r="Q26" t="n">
        <v>1</v>
      </c>
      <c r="X26" t="n">
        <v>100</v>
      </c>
      <c r="Y26" t="n">
        <v>21.81</v>
      </c>
      <c r="Z26" t="n">
        <v>0</v>
      </c>
      <c r="AA26" t="n">
        <v>0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100</v>
      </c>
      <c r="AH26" t="n">
        <v>2</v>
      </c>
      <c r="AI26" t="n">
        <v>78869372</v>
      </c>
      <c r="AJ26" t="n">
        <v>29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ROW(Source!A69)</f>
        <v/>
      </c>
      <c r="B27" t="n">
        <v>78869373</v>
      </c>
      <c r="C27" t="n">
        <v>78869366</v>
      </c>
      <c r="D27" t="n">
        <v>29164350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509-9899</t>
        </is>
      </c>
      <c r="J27" t="inlineStr">
        <is>
          <t>ТССЦ Московской обл., 509-9899, приказ Минстроя России №675/пр от 28.02.2017 № 258/пр</t>
        </is>
      </c>
      <c r="K27" t="inlineStr">
        <is>
          <t>Строительный мусор и масса возвратных материалов</t>
        </is>
      </c>
      <c r="L27" t="n">
        <v>1348</v>
      </c>
      <c r="N27" t="n">
        <v>1009</v>
      </c>
      <c r="O27" t="inlineStr">
        <is>
          <t>т</t>
        </is>
      </c>
      <c r="P27" t="inlineStr">
        <is>
          <t>т</t>
        </is>
      </c>
      <c r="Q27" t="n">
        <v>1000</v>
      </c>
      <c r="X27" t="n">
        <v>0.04</v>
      </c>
      <c r="Y27" t="n">
        <v>0</v>
      </c>
      <c r="Z27" t="n">
        <v>0</v>
      </c>
      <c r="AA27" t="n">
        <v>0</v>
      </c>
      <c r="AB27" t="n">
        <v>0</v>
      </c>
      <c r="AC27" t="n">
        <v>0</v>
      </c>
      <c r="AD27" t="n">
        <v>0</v>
      </c>
      <c r="AE27" t="n">
        <v>0</v>
      </c>
      <c r="AF27" t="inlineStr"/>
      <c r="AG27" t="n">
        <v>0.04</v>
      </c>
      <c r="AH27" t="n">
        <v>2</v>
      </c>
      <c r="AI27" t="n">
        <v>78869373</v>
      </c>
      <c r="AJ27" t="n">
        <v>30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ROW(Source!A72)</f>
        <v/>
      </c>
      <c r="B28" t="n">
        <v>78869384</v>
      </c>
      <c r="C28" t="n">
        <v>78869377</v>
      </c>
      <c r="D28" t="n">
        <v>18442827</v>
      </c>
      <c r="E28" t="n">
        <v>1</v>
      </c>
      <c r="F28" t="n">
        <v>1</v>
      </c>
      <c r="G28" t="n">
        <v>1</v>
      </c>
      <c r="H28" t="n">
        <v>1</v>
      </c>
      <c r="I28" t="inlineStr">
        <is>
          <t>1-1053-90</t>
        </is>
      </c>
      <c r="J28" t="inlineStr"/>
      <c r="K28" t="inlineStr">
        <is>
          <t>Рабочий строитель среднего разряда 5,3</t>
        </is>
      </c>
      <c r="L28" t="n">
        <v>1369</v>
      </c>
      <c r="N28" t="n">
        <v>1013</v>
      </c>
      <c r="O28" t="inlineStr">
        <is>
          <t>чел.-ч</t>
        </is>
      </c>
      <c r="P28" t="inlineStr">
        <is>
          <t>чел.-ч</t>
        </is>
      </c>
      <c r="Q28" t="n">
        <v>1</v>
      </c>
      <c r="X28" t="n">
        <v>5.01</v>
      </c>
      <c r="Y28" t="n">
        <v>0</v>
      </c>
      <c r="Z28" t="n">
        <v>0</v>
      </c>
      <c r="AA28" t="n">
        <v>0</v>
      </c>
      <c r="AB28" t="n">
        <v>11.64</v>
      </c>
      <c r="AC28" t="n">
        <v>0</v>
      </c>
      <c r="AD28" t="n">
        <v>1</v>
      </c>
      <c r="AE28" t="n">
        <v>1</v>
      </c>
      <c r="AF28" t="inlineStr"/>
      <c r="AG28" t="n">
        <v>5.01</v>
      </c>
      <c r="AH28" t="n">
        <v>2</v>
      </c>
      <c r="AI28" t="n">
        <v>78869378</v>
      </c>
      <c r="AJ28" t="n">
        <v>31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ROW(Source!A72)</f>
        <v/>
      </c>
      <c r="B29" t="n">
        <v>78869385</v>
      </c>
      <c r="C29" t="n">
        <v>78869377</v>
      </c>
      <c r="D29" t="n">
        <v>29172703</v>
      </c>
      <c r="E29" t="n">
        <v>1</v>
      </c>
      <c r="F29" t="n">
        <v>1</v>
      </c>
      <c r="G29" t="n">
        <v>1</v>
      </c>
      <c r="H29" t="n">
        <v>2</v>
      </c>
      <c r="I29" t="inlineStr">
        <is>
          <t>042900</t>
        </is>
      </c>
      <c r="J29" t="inlineStr">
        <is>
          <t>ТСЭМ Московской обл., 042900, приказ Минстроя России №675/пр от 28.02.2017 № 264/пр</t>
        </is>
      </c>
      <c r="K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9" t="n">
        <v>1368</v>
      </c>
      <c r="N29" t="n">
        <v>1011</v>
      </c>
      <c r="O29" t="inlineStr">
        <is>
          <t>маш.-ч</t>
        </is>
      </c>
      <c r="P29" t="inlineStr">
        <is>
          <t>маш.-ч</t>
        </is>
      </c>
      <c r="Q29" t="n">
        <v>1</v>
      </c>
      <c r="X29" t="n">
        <v>1.5</v>
      </c>
      <c r="Y29" t="n">
        <v>0</v>
      </c>
      <c r="Z29" t="n">
        <v>29.67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1.5</v>
      </c>
      <c r="AH29" t="n">
        <v>2</v>
      </c>
      <c r="AI29" t="n">
        <v>78869379</v>
      </c>
      <c r="AJ29" t="n">
        <v>32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ROW(Source!A72)</f>
        <v/>
      </c>
      <c r="B30" t="n">
        <v>78869386</v>
      </c>
      <c r="C30" t="n">
        <v>78869377</v>
      </c>
      <c r="D30" t="n">
        <v>29110398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101-0388</t>
        </is>
      </c>
      <c r="J30" t="inlineStr">
        <is>
          <t>ТССЦ Московской обл., 101-0388, приказ Минстроя России №675/пр от 28.02.2017 № 254/пр</t>
        </is>
      </c>
      <c r="K30" t="inlineStr">
        <is>
          <t>Краски масляные земляные марки МА-0115 мумия, сурик железный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X30" t="n">
        <v>5e-05</v>
      </c>
      <c r="Y30" t="n">
        <v>15118.99</v>
      </c>
      <c r="Z30" t="n">
        <v>0</v>
      </c>
      <c r="AA30" t="n">
        <v>0</v>
      </c>
      <c r="AB30" t="n">
        <v>0</v>
      </c>
      <c r="AC30" t="n">
        <v>0</v>
      </c>
      <c r="AD30" t="n">
        <v>1</v>
      </c>
      <c r="AE30" t="n">
        <v>0</v>
      </c>
      <c r="AF30" t="inlineStr"/>
      <c r="AG30" t="n">
        <v>5e-05</v>
      </c>
      <c r="AH30" t="n">
        <v>2</v>
      </c>
      <c r="AI30" t="n">
        <v>78869380</v>
      </c>
      <c r="AJ30" t="n">
        <v>33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ROW(Source!A72)</f>
        <v/>
      </c>
      <c r="B31" t="n">
        <v>78869387</v>
      </c>
      <c r="C31" t="n">
        <v>78869377</v>
      </c>
      <c r="D31" t="n">
        <v>29110573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101-0628</t>
        </is>
      </c>
      <c r="J31" t="inlineStr">
        <is>
          <t>ТССЦ Московской обл., 101-0628, приказ Минстроя России №675/пр от 28.02.2017 № 254/пр</t>
        </is>
      </c>
      <c r="K31" t="inlineStr">
        <is>
          <t>Олифа комбинированная, марки К-3</t>
        </is>
      </c>
      <c r="L31" t="n">
        <v>1348</v>
      </c>
      <c r="N31" t="n">
        <v>1009</v>
      </c>
      <c r="O31" t="inlineStr">
        <is>
          <t>т</t>
        </is>
      </c>
      <c r="P31" t="inlineStr">
        <is>
          <t>т</t>
        </is>
      </c>
      <c r="Q31" t="n">
        <v>1000</v>
      </c>
      <c r="X31" t="n">
        <v>2e-05</v>
      </c>
      <c r="Y31" t="n">
        <v>16950</v>
      </c>
      <c r="Z31" t="n">
        <v>0</v>
      </c>
      <c r="AA31" t="n">
        <v>0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2e-05</v>
      </c>
      <c r="AH31" t="n">
        <v>2</v>
      </c>
      <c r="AI31" t="n">
        <v>78869381</v>
      </c>
      <c r="AJ31" t="n">
        <v>34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ROW(Source!A72)</f>
        <v/>
      </c>
      <c r="B32" t="n">
        <v>78869388</v>
      </c>
      <c r="C32" t="n">
        <v>78869377</v>
      </c>
      <c r="D32" t="n">
        <v>29107963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101-1669</t>
        </is>
      </c>
      <c r="J32" t="inlineStr">
        <is>
          <t>ТССЦ Московской обл., 101-1669, приказ Минстроя России №675/пр от 28.02.2017 № 254/пр</t>
        </is>
      </c>
      <c r="K32" t="inlineStr">
        <is>
          <t>Очес льняной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0.02</v>
      </c>
      <c r="Y32" t="n">
        <v>37.29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0.02</v>
      </c>
      <c r="AH32" t="n">
        <v>2</v>
      </c>
      <c r="AI32" t="n">
        <v>78869382</v>
      </c>
      <c r="AJ32" t="n">
        <v>35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ROW(Source!A72)</f>
        <v/>
      </c>
      <c r="B33" t="n">
        <v>78869389</v>
      </c>
      <c r="C33" t="n">
        <v>78869377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X33" t="n">
        <v>1</v>
      </c>
      <c r="Y33" t="n">
        <v>2.44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1</v>
      </c>
      <c r="AH33" t="n">
        <v>2</v>
      </c>
      <c r="AI33" t="n">
        <v>78869383</v>
      </c>
      <c r="AJ33" t="n">
        <v>36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ROW(Source!A73)</f>
        <v/>
      </c>
      <c r="B34" t="n">
        <v>78869391</v>
      </c>
      <c r="C34" t="n">
        <v>78869390</v>
      </c>
      <c r="D34" t="n">
        <v>18410171</v>
      </c>
      <c r="E34" t="n">
        <v>1</v>
      </c>
      <c r="F34" t="n">
        <v>1</v>
      </c>
      <c r="G34" t="n">
        <v>1</v>
      </c>
      <c r="H34" t="n">
        <v>1</v>
      </c>
      <c r="I34" t="inlineStr">
        <is>
          <t>1-1034-90</t>
        </is>
      </c>
      <c r="J34" t="inlineStr"/>
      <c r="K34" t="inlineStr">
        <is>
          <t>Рабочий строитель среднего разряда 3,4</t>
        </is>
      </c>
      <c r="L34" t="n">
        <v>1369</v>
      </c>
      <c r="N34" t="n">
        <v>1013</v>
      </c>
      <c r="O34" t="inlineStr">
        <is>
          <t>чел.-ч</t>
        </is>
      </c>
      <c r="P34" t="inlineStr">
        <is>
          <t>чел.-ч</t>
        </is>
      </c>
      <c r="Q34" t="n">
        <v>1</v>
      </c>
      <c r="X34" t="n">
        <v>290.27</v>
      </c>
      <c r="Y34" t="n">
        <v>0</v>
      </c>
      <c r="Z34" t="n">
        <v>0</v>
      </c>
      <c r="AA34" t="n">
        <v>0</v>
      </c>
      <c r="AB34" t="n">
        <v>8.970000000000001</v>
      </c>
      <c r="AC34" t="n">
        <v>0</v>
      </c>
      <c r="AD34" t="n">
        <v>1</v>
      </c>
      <c r="AE34" t="n">
        <v>1</v>
      </c>
      <c r="AF34" t="inlineStr"/>
      <c r="AG34" t="n">
        <v>290.27</v>
      </c>
      <c r="AH34" t="n">
        <v>2</v>
      </c>
      <c r="AI34" t="n">
        <v>78869391</v>
      </c>
      <c r="AJ34" t="n">
        <v>37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ROW(Source!A73)</f>
        <v/>
      </c>
      <c r="B35" t="n">
        <v>78869392</v>
      </c>
      <c r="C35" t="n">
        <v>78869390</v>
      </c>
      <c r="D35" t="n">
        <v>121548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2</t>
        </is>
      </c>
      <c r="J35" t="inlineStr"/>
      <c r="K35" t="inlineStr">
        <is>
          <t>Затраты труда машинистов</t>
        </is>
      </c>
      <c r="L35" t="n">
        <v>608254</v>
      </c>
      <c r="N35" t="n">
        <v>1013</v>
      </c>
      <c r="O35" t="inlineStr">
        <is>
          <t>чел.час</t>
        </is>
      </c>
      <c r="P35" t="inlineStr">
        <is>
          <t>чел.час</t>
        </is>
      </c>
      <c r="Q35" t="n">
        <v>1</v>
      </c>
      <c r="X35" t="n">
        <v>0.72</v>
      </c>
      <c r="Y35" t="n">
        <v>0</v>
      </c>
      <c r="Z35" t="n">
        <v>0</v>
      </c>
      <c r="AA35" t="n">
        <v>0</v>
      </c>
      <c r="AB35" t="n">
        <v>0</v>
      </c>
      <c r="AC35" t="n">
        <v>0</v>
      </c>
      <c r="AD35" t="n">
        <v>1</v>
      </c>
      <c r="AE35" t="n">
        <v>2</v>
      </c>
      <c r="AF35" t="inlineStr"/>
      <c r="AG35" t="n">
        <v>0.72</v>
      </c>
      <c r="AH35" t="n">
        <v>2</v>
      </c>
      <c r="AI35" t="n">
        <v>78869392</v>
      </c>
      <c r="AJ35" t="n">
        <v>38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ROW(Source!A73)</f>
        <v/>
      </c>
      <c r="B36" t="n">
        <v>78869393</v>
      </c>
      <c r="C36" t="n">
        <v>78869390</v>
      </c>
      <c r="D36" t="n">
        <v>29172556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030954</t>
        </is>
      </c>
      <c r="J36" t="inlineStr">
        <is>
          <t>ТСЭМ Московской обл., 030954, приказ Минстроя России №675/пр от 28.02.2017 № 264/пр</t>
        </is>
      </c>
      <c r="K36" t="inlineStr">
        <is>
          <t>Подъемники грузоподъемностью до 500 кг одномачтовые, высота подъема 45 м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0.72</v>
      </c>
      <c r="Y36" t="n">
        <v>0</v>
      </c>
      <c r="Z36" t="n">
        <v>31.26</v>
      </c>
      <c r="AA36" t="n">
        <v>13.5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0.72</v>
      </c>
      <c r="AH36" t="n">
        <v>2</v>
      </c>
      <c r="AI36" t="n">
        <v>78869393</v>
      </c>
      <c r="AJ36" t="n">
        <v>39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ROW(Source!A73)</f>
        <v/>
      </c>
      <c r="B37" t="n">
        <v>78869394</v>
      </c>
      <c r="C37" t="n">
        <v>78869390</v>
      </c>
      <c r="D37" t="n">
        <v>29145213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402-0083</t>
        </is>
      </c>
      <c r="J37" t="inlineStr">
        <is>
          <t>ТССЦ Московской обл., 402-0083, приказ Минстроя России №675/пр от 28.02.2017 № 257/пр</t>
        </is>
      </c>
      <c r="K37" t="inlineStr">
        <is>
          <t>Раствор готовый отделочный тяжелый, цементно-известковый 1:1:6</t>
        </is>
      </c>
      <c r="L37" t="n">
        <v>1339</v>
      </c>
      <c r="N37" t="n">
        <v>1007</v>
      </c>
      <c r="O37" t="inlineStr">
        <is>
          <t>м3</t>
        </is>
      </c>
      <c r="P37" t="inlineStr">
        <is>
          <t>м3</t>
        </is>
      </c>
      <c r="Q37" t="n">
        <v>1</v>
      </c>
      <c r="X37" t="n">
        <v>2.31</v>
      </c>
      <c r="Y37" t="n">
        <v>517.89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2.31</v>
      </c>
      <c r="AH37" t="n">
        <v>2</v>
      </c>
      <c r="AI37" t="n">
        <v>78869394</v>
      </c>
      <c r="AJ37" t="n">
        <v>40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ROW(Source!A73)</f>
        <v/>
      </c>
      <c r="B38" t="n">
        <v>78869395</v>
      </c>
      <c r="C38" t="n">
        <v>78869390</v>
      </c>
      <c r="D38" t="n">
        <v>29150040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411-0001</t>
        </is>
      </c>
      <c r="J38" t="inlineStr">
        <is>
          <t>ТССЦ Московской обл., 411-0001, приказ Минстроя России №675/пр от 28.02.2017 № 257/пр</t>
        </is>
      </c>
      <c r="K38" t="inlineStr">
        <is>
          <t>Вода</t>
        </is>
      </c>
      <c r="L38" t="n">
        <v>1339</v>
      </c>
      <c r="N38" t="n">
        <v>1007</v>
      </c>
      <c r="O38" t="inlineStr">
        <is>
          <t>м3</t>
        </is>
      </c>
      <c r="P38" t="inlineStr">
        <is>
          <t>м3</t>
        </is>
      </c>
      <c r="Q38" t="n">
        <v>1</v>
      </c>
      <c r="X38" t="n">
        <v>0.35</v>
      </c>
      <c r="Y38" t="n">
        <v>2.44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0.35</v>
      </c>
      <c r="AH38" t="n">
        <v>2</v>
      </c>
      <c r="AI38" t="n">
        <v>78869395</v>
      </c>
      <c r="AJ38" t="n">
        <v>41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ROW(Source!A73)</f>
        <v/>
      </c>
      <c r="B39" t="n">
        <v>78869396</v>
      </c>
      <c r="C39" t="n">
        <v>78869390</v>
      </c>
      <c r="D39" t="n">
        <v>29164349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509-9900</t>
        </is>
      </c>
      <c r="J39" t="inlineStr">
        <is>
          <t>ТССЦ Московской обл., 509-9900, приказ Минстроя России №675/пр от 28.02.2017 № 258/пр</t>
        </is>
      </c>
      <c r="K39" t="inlineStr">
        <is>
          <t>Строительный мусор</t>
        </is>
      </c>
      <c r="L39" t="n">
        <v>1348</v>
      </c>
      <c r="N39" t="n">
        <v>1009</v>
      </c>
      <c r="O39" t="inlineStr">
        <is>
          <t>т</t>
        </is>
      </c>
      <c r="P39" t="inlineStr">
        <is>
          <t>т</t>
        </is>
      </c>
      <c r="Q39" t="n">
        <v>1000</v>
      </c>
      <c r="X39" t="n">
        <v>3.38</v>
      </c>
      <c r="Y39" t="n">
        <v>0</v>
      </c>
      <c r="Z39" t="n">
        <v>0</v>
      </c>
      <c r="AA39" t="n">
        <v>0</v>
      </c>
      <c r="AB39" t="n">
        <v>0</v>
      </c>
      <c r="AC39" t="n">
        <v>0</v>
      </c>
      <c r="AD39" t="n">
        <v>0</v>
      </c>
      <c r="AE39" t="n">
        <v>0</v>
      </c>
      <c r="AF39" t="inlineStr"/>
      <c r="AG39" t="n">
        <v>3.38</v>
      </c>
      <c r="AH39" t="n">
        <v>2</v>
      </c>
      <c r="AI39" t="n">
        <v>78869396</v>
      </c>
      <c r="AJ39" t="n">
        <v>42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ROW(Source!A75)</f>
        <v/>
      </c>
      <c r="B40" t="n">
        <v>78869399</v>
      </c>
      <c r="C40" t="n">
        <v>78869398</v>
      </c>
      <c r="D40" t="n">
        <v>18406785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1-1033-90</t>
        </is>
      </c>
      <c r="J40" t="inlineStr"/>
      <c r="K40" t="inlineStr">
        <is>
          <t>Рабочий строитель среднего разряда 3,3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228.35</v>
      </c>
      <c r="Y40" t="n">
        <v>0</v>
      </c>
      <c r="Z40" t="n">
        <v>0</v>
      </c>
      <c r="AA40" t="n">
        <v>0</v>
      </c>
      <c r="AB40" t="n">
        <v>8.859999999999999</v>
      </c>
      <c r="AC40" t="n">
        <v>0</v>
      </c>
      <c r="AD40" t="n">
        <v>1</v>
      </c>
      <c r="AE40" t="n">
        <v>1</v>
      </c>
      <c r="AF40" t="inlineStr"/>
      <c r="AG40" t="n">
        <v>228.35</v>
      </c>
      <c r="AH40" t="n">
        <v>2</v>
      </c>
      <c r="AI40" t="n">
        <v>78869399</v>
      </c>
      <c r="AJ40" t="n">
        <v>43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ROW(Source!A75)</f>
        <v/>
      </c>
      <c r="B41" t="n">
        <v>78869400</v>
      </c>
      <c r="C41" t="n">
        <v>78869398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0.67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0.67</v>
      </c>
      <c r="AH41" t="n">
        <v>2</v>
      </c>
      <c r="AI41" t="n">
        <v>78869400</v>
      </c>
      <c r="AJ41" t="n">
        <v>44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ROW(Source!A75)</f>
        <v/>
      </c>
      <c r="B42" t="n">
        <v>78869401</v>
      </c>
      <c r="C42" t="n">
        <v>78869398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0.67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0.67</v>
      </c>
      <c r="AH42" t="n">
        <v>2</v>
      </c>
      <c r="AI42" t="n">
        <v>78869401</v>
      </c>
      <c r="AJ42" t="n">
        <v>45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ROW(Source!A75)</f>
        <v/>
      </c>
      <c r="B43" t="n">
        <v>78869402</v>
      </c>
      <c r="C43" t="n">
        <v>78869398</v>
      </c>
      <c r="D43" t="n">
        <v>29145213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402-0083</t>
        </is>
      </c>
      <c r="J43" t="inlineStr">
        <is>
          <t>ТССЦ Московской обл., 402-0083, приказ Минстроя России №675/пр от 28.02.2017 № 257/пр</t>
        </is>
      </c>
      <c r="K43" t="inlineStr">
        <is>
          <t>Раствор готовый отделочный тяжелый, цементно-известковый 1:1:6</t>
        </is>
      </c>
      <c r="L43" t="n">
        <v>1339</v>
      </c>
      <c r="N43" t="n">
        <v>1007</v>
      </c>
      <c r="O43" t="inlineStr">
        <is>
          <t>м3</t>
        </is>
      </c>
      <c r="P43" t="inlineStr">
        <is>
          <t>м3</t>
        </is>
      </c>
      <c r="Q43" t="n">
        <v>1</v>
      </c>
      <c r="X43" t="n">
        <v>2.2</v>
      </c>
      <c r="Y43" t="n">
        <v>517.89</v>
      </c>
      <c r="Z43" t="n">
        <v>0</v>
      </c>
      <c r="AA43" t="n">
        <v>0</v>
      </c>
      <c r="AB43" t="n">
        <v>0</v>
      </c>
      <c r="AC43" t="n">
        <v>0</v>
      </c>
      <c r="AD43" t="n">
        <v>1</v>
      </c>
      <c r="AE43" t="n">
        <v>0</v>
      </c>
      <c r="AF43" t="inlineStr"/>
      <c r="AG43" t="n">
        <v>2.2</v>
      </c>
      <c r="AH43" t="n">
        <v>2</v>
      </c>
      <c r="AI43" t="n">
        <v>78869402</v>
      </c>
      <c r="AJ43" t="n">
        <v>46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ROW(Source!A75)</f>
        <v/>
      </c>
      <c r="B44" t="n">
        <v>78869403</v>
      </c>
      <c r="C44" t="n">
        <v>78869398</v>
      </c>
      <c r="D44" t="n">
        <v>29150040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411-0001</t>
        </is>
      </c>
      <c r="J44" t="inlineStr">
        <is>
          <t>ТССЦ Московской обл., 411-0001, приказ Минстроя России №675/пр от 28.02.2017 № 257/пр</t>
        </is>
      </c>
      <c r="K44" t="inlineStr">
        <is>
          <t>Вода</t>
        </is>
      </c>
      <c r="L44" t="n">
        <v>1339</v>
      </c>
      <c r="N44" t="n">
        <v>1007</v>
      </c>
      <c r="O44" t="inlineStr">
        <is>
          <t>м3</t>
        </is>
      </c>
      <c r="P44" t="inlineStr">
        <is>
          <t>м3</t>
        </is>
      </c>
      <c r="Q44" t="n">
        <v>1</v>
      </c>
      <c r="X44" t="n">
        <v>0.35</v>
      </c>
      <c r="Y44" t="n">
        <v>2.44</v>
      </c>
      <c r="Z44" t="n">
        <v>0</v>
      </c>
      <c r="AA44" t="n">
        <v>0</v>
      </c>
      <c r="AB44" t="n">
        <v>0</v>
      </c>
      <c r="AC44" t="n">
        <v>0</v>
      </c>
      <c r="AD44" t="n">
        <v>1</v>
      </c>
      <c r="AE44" t="n">
        <v>0</v>
      </c>
      <c r="AF44" t="inlineStr"/>
      <c r="AG44" t="n">
        <v>0.35</v>
      </c>
      <c r="AH44" t="n">
        <v>2</v>
      </c>
      <c r="AI44" t="n">
        <v>78869403</v>
      </c>
      <c r="AJ44" t="n">
        <v>47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ROW(Source!A75)</f>
        <v/>
      </c>
      <c r="B45" t="n">
        <v>78869404</v>
      </c>
      <c r="C45" t="n">
        <v>78869398</v>
      </c>
      <c r="D45" t="n">
        <v>29164349</v>
      </c>
      <c r="E45" t="n">
        <v>1</v>
      </c>
      <c r="F45" t="n">
        <v>1</v>
      </c>
      <c r="G45" t="n">
        <v>1</v>
      </c>
      <c r="H45" t="n">
        <v>3</v>
      </c>
      <c r="I45" t="inlineStr">
        <is>
          <t>509-9900</t>
        </is>
      </c>
      <c r="J45" t="inlineStr">
        <is>
          <t>ТССЦ Московской обл., 509-9900, приказ Минстроя России №675/пр от 28.02.2017 № 258/пр</t>
        </is>
      </c>
      <c r="K45" t="inlineStr">
        <is>
          <t>Строительный мусор</t>
        </is>
      </c>
      <c r="L45" t="n">
        <v>1348</v>
      </c>
      <c r="N45" t="n">
        <v>1009</v>
      </c>
      <c r="O45" t="inlineStr">
        <is>
          <t>т</t>
        </is>
      </c>
      <c r="P45" t="inlineStr">
        <is>
          <t>т</t>
        </is>
      </c>
      <c r="Q45" t="n">
        <v>1000</v>
      </c>
      <c r="X45" t="n">
        <v>3.38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0</v>
      </c>
      <c r="AE45" t="n">
        <v>0</v>
      </c>
      <c r="AF45" t="inlineStr"/>
      <c r="AG45" t="n">
        <v>3.38</v>
      </c>
      <c r="AH45" t="n">
        <v>2</v>
      </c>
      <c r="AI45" t="n">
        <v>78869404</v>
      </c>
      <c r="AJ45" t="n">
        <v>48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ROW(Source!A77)</f>
        <v/>
      </c>
      <c r="B46" t="n">
        <v>78869407</v>
      </c>
      <c r="C46" t="n">
        <v>78869406</v>
      </c>
      <c r="D46" t="n">
        <v>18410572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1-1032-90</t>
        </is>
      </c>
      <c r="J46" t="inlineStr"/>
      <c r="K46" t="inlineStr">
        <is>
          <t>Рабочий строитель среднего разряда 3,2</t>
        </is>
      </c>
      <c r="L46" t="n">
        <v>1369</v>
      </c>
      <c r="N46" t="n">
        <v>1013</v>
      </c>
      <c r="O46" t="inlineStr">
        <is>
          <t>чел.-ч</t>
        </is>
      </c>
      <c r="P46" t="inlineStr">
        <is>
          <t>чел.-ч</t>
        </is>
      </c>
      <c r="Q46" t="n">
        <v>1</v>
      </c>
      <c r="X46" t="n">
        <v>43.56</v>
      </c>
      <c r="Y46" t="n">
        <v>0</v>
      </c>
      <c r="Z46" t="n">
        <v>0</v>
      </c>
      <c r="AA46" t="n">
        <v>0</v>
      </c>
      <c r="AB46" t="n">
        <v>8.74</v>
      </c>
      <c r="AC46" t="n">
        <v>0</v>
      </c>
      <c r="AD46" t="n">
        <v>1</v>
      </c>
      <c r="AE46" t="n">
        <v>1</v>
      </c>
      <c r="AF46" t="inlineStr"/>
      <c r="AG46" t="n">
        <v>43.56</v>
      </c>
      <c r="AH46" t="n">
        <v>2</v>
      </c>
      <c r="AI46" t="n">
        <v>78869407</v>
      </c>
      <c r="AJ46" t="n">
        <v>49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ROW(Source!A77)</f>
        <v/>
      </c>
      <c r="B47" t="n">
        <v>78869408</v>
      </c>
      <c r="C47" t="n">
        <v>78869406</v>
      </c>
      <c r="D47" t="n">
        <v>121548</v>
      </c>
      <c r="E47" t="n">
        <v>1</v>
      </c>
      <c r="F47" t="n">
        <v>1</v>
      </c>
      <c r="G47" t="n">
        <v>1</v>
      </c>
      <c r="H47" t="n">
        <v>1</v>
      </c>
      <c r="I47" t="inlineStr">
        <is>
          <t>2</t>
        </is>
      </c>
      <c r="J47" t="inlineStr"/>
      <c r="K47" t="inlineStr">
        <is>
          <t>Затраты труда машинистов</t>
        </is>
      </c>
      <c r="L47" t="n">
        <v>608254</v>
      </c>
      <c r="N47" t="n">
        <v>1013</v>
      </c>
      <c r="O47" t="inlineStr">
        <is>
          <t>чел.час</t>
        </is>
      </c>
      <c r="P47" t="inlineStr">
        <is>
          <t>чел.час</t>
        </is>
      </c>
      <c r="Q47" t="n">
        <v>1</v>
      </c>
      <c r="X47" t="n">
        <v>0.02</v>
      </c>
      <c r="Y47" t="n">
        <v>0</v>
      </c>
      <c r="Z47" t="n">
        <v>0</v>
      </c>
      <c r="AA47" t="n">
        <v>0</v>
      </c>
      <c r="AB47" t="n">
        <v>0</v>
      </c>
      <c r="AC47" t="n">
        <v>0</v>
      </c>
      <c r="AD47" t="n">
        <v>1</v>
      </c>
      <c r="AE47" t="n">
        <v>2</v>
      </c>
      <c r="AF47" t="inlineStr"/>
      <c r="AG47" t="n">
        <v>0.02</v>
      </c>
      <c r="AH47" t="n">
        <v>2</v>
      </c>
      <c r="AI47" t="n">
        <v>78869408</v>
      </c>
      <c r="AJ47" t="n">
        <v>50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ROW(Source!A77)</f>
        <v/>
      </c>
      <c r="B48" t="n">
        <v>78869409</v>
      </c>
      <c r="C48" t="n">
        <v>78869406</v>
      </c>
      <c r="D48" t="n">
        <v>29172554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030952</t>
        </is>
      </c>
      <c r="J48" t="inlineStr">
        <is>
          <t>ТСЭМ Московской обл., 030952, приказ Минстроя России №675/пр от 28.02.2017 № 264/пр</t>
        </is>
      </c>
      <c r="K48" t="inlineStr">
        <is>
          <t>Подъемники грузоподъемностью до 500 кг одномачтовые, высота подъема 25 м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0.02</v>
      </c>
      <c r="Y48" t="n">
        <v>0</v>
      </c>
      <c r="Z48" t="n">
        <v>27.66</v>
      </c>
      <c r="AA48" t="n">
        <v>11.6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0.02</v>
      </c>
      <c r="AH48" t="n">
        <v>2</v>
      </c>
      <c r="AI48" t="n">
        <v>78869409</v>
      </c>
      <c r="AJ48" t="n">
        <v>51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ROW(Source!A77)</f>
        <v/>
      </c>
      <c r="B49" t="n">
        <v>78869410</v>
      </c>
      <c r="C49" t="n">
        <v>78869406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0.15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0.15</v>
      </c>
      <c r="AH49" t="n">
        <v>2</v>
      </c>
      <c r="AI49" t="n">
        <v>78869410</v>
      </c>
      <c r="AJ49" t="n">
        <v>52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ROW(Source!A77)</f>
        <v/>
      </c>
      <c r="B50" t="n">
        <v>78869411</v>
      </c>
      <c r="C50" t="n">
        <v>78869406</v>
      </c>
      <c r="D50" t="n">
        <v>29107779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101-1596</t>
        </is>
      </c>
      <c r="J50" t="inlineStr">
        <is>
          <t>ТССЦ Московской обл., 101-1596, приказ Минстроя России №675/пр от 28.02.2017 № 254/пр</t>
        </is>
      </c>
      <c r="K50" t="inlineStr">
        <is>
          <t>Шкурка шлифовальная двухслойная с зернистостью 40-25</t>
        </is>
      </c>
      <c r="L50" t="n">
        <v>1327</v>
      </c>
      <c r="N50" t="n">
        <v>1005</v>
      </c>
      <c r="O50" t="inlineStr">
        <is>
          <t>м2</t>
        </is>
      </c>
      <c r="P50" t="inlineStr">
        <is>
          <t>м2</t>
        </is>
      </c>
      <c r="Q50" t="n">
        <v>1</v>
      </c>
      <c r="X50" t="n">
        <v>0.84</v>
      </c>
      <c r="Y50" t="n">
        <v>72.31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0.84</v>
      </c>
      <c r="AH50" t="n">
        <v>2</v>
      </c>
      <c r="AI50" t="n">
        <v>78869411</v>
      </c>
      <c r="AJ50" t="n">
        <v>53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ROW(Source!A77)</f>
        <v/>
      </c>
      <c r="B51" t="n">
        <v>78869412</v>
      </c>
      <c r="C51" t="n">
        <v>78869406</v>
      </c>
      <c r="D51" t="n">
        <v>29107800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101-1757</t>
        </is>
      </c>
      <c r="J51" t="inlineStr">
        <is>
          <t>ТССЦ Московской обл., 101-1757, приказ Минстроя России №675/пр от 28.02.2017 № 254/пр</t>
        </is>
      </c>
      <c r="K51" t="inlineStr">
        <is>
          <t>Ветошь</t>
        </is>
      </c>
      <c r="L51" t="n">
        <v>1346</v>
      </c>
      <c r="N51" t="n">
        <v>1009</v>
      </c>
      <c r="O51" t="inlineStr">
        <is>
          <t>кг</t>
        </is>
      </c>
      <c r="P51" t="inlineStr">
        <is>
          <t>кг</t>
        </is>
      </c>
      <c r="Q51" t="n">
        <v>1</v>
      </c>
      <c r="X51" t="n">
        <v>0.31</v>
      </c>
      <c r="Y51" t="n">
        <v>1.81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0.31</v>
      </c>
      <c r="AH51" t="n">
        <v>2</v>
      </c>
      <c r="AI51" t="n">
        <v>78869412</v>
      </c>
      <c r="AJ51" t="n">
        <v>54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ROW(Source!A77)</f>
        <v/>
      </c>
      <c r="B52" t="n">
        <v>78869413</v>
      </c>
      <c r="C52" t="n">
        <v>78869406</v>
      </c>
      <c r="D52" t="n">
        <v>29110233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101-3512</t>
        </is>
      </c>
      <c r="J52" t="inlineStr">
        <is>
          <t>ТССЦ Московской обл., 101-3512, приказ Минстроя России №675/пр от 28.02.2017 № 254/пр</t>
        </is>
      </c>
      <c r="K52" t="inlineStr">
        <is>
          <t>Краска акриловая ВД-АК 2180, ВГТ</t>
        </is>
      </c>
      <c r="L52" t="n">
        <v>1348</v>
      </c>
      <c r="N52" t="n">
        <v>1009</v>
      </c>
      <c r="O52" t="inlineStr">
        <is>
          <t>т</t>
        </is>
      </c>
      <c r="P52" t="inlineStr">
        <is>
          <t>т</t>
        </is>
      </c>
      <c r="Q52" t="n">
        <v>1000</v>
      </c>
      <c r="X52" t="n">
        <v>0.03</v>
      </c>
      <c r="Y52" t="n">
        <v>4615.94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0.03</v>
      </c>
      <c r="AH52" t="n">
        <v>2</v>
      </c>
      <c r="AI52" t="n">
        <v>78869413</v>
      </c>
      <c r="AJ52" t="n">
        <v>55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ROW(Source!A77)</f>
        <v/>
      </c>
      <c r="B53" t="n">
        <v>78869414</v>
      </c>
      <c r="C53" t="n">
        <v>78869406</v>
      </c>
      <c r="D53" t="n">
        <v>29109784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101-3585</t>
        </is>
      </c>
      <c r="J53" t="inlineStr">
        <is>
          <t>ТССЦ Московской обл., 101-3585, приказ Минстроя России №675/пр от 28.02.2017 № 254/пр</t>
        </is>
      </c>
      <c r="K53" t="inlineStr">
        <is>
          <t>Шпатлевка водно-дисперсионная</t>
        </is>
      </c>
      <c r="L53" t="n">
        <v>1348</v>
      </c>
      <c r="N53" t="n">
        <v>1009</v>
      </c>
      <c r="O53" t="inlineStr">
        <is>
          <t>т</t>
        </is>
      </c>
      <c r="P53" t="inlineStr">
        <is>
          <t>т</t>
        </is>
      </c>
      <c r="Q53" t="n">
        <v>1000</v>
      </c>
      <c r="X53" t="n">
        <v>0.051</v>
      </c>
      <c r="Y53" t="n">
        <v>11927.49</v>
      </c>
      <c r="Z53" t="n">
        <v>0</v>
      </c>
      <c r="AA53" t="n">
        <v>0</v>
      </c>
      <c r="AB53" t="n">
        <v>0</v>
      </c>
      <c r="AC53" t="n">
        <v>0</v>
      </c>
      <c r="AD53" t="n">
        <v>1</v>
      </c>
      <c r="AE53" t="n">
        <v>0</v>
      </c>
      <c r="AF53" t="inlineStr"/>
      <c r="AG53" t="n">
        <v>0.051</v>
      </c>
      <c r="AH53" t="n">
        <v>2</v>
      </c>
      <c r="AI53" t="n">
        <v>78869414</v>
      </c>
      <c r="AJ53" t="n">
        <v>56</v>
      </c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ROW(Source!A77)</f>
        <v/>
      </c>
      <c r="B54" t="n">
        <v>78869415</v>
      </c>
      <c r="C54" t="n">
        <v>78869406</v>
      </c>
      <c r="D54" t="n">
        <v>29109298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101-4163</t>
        </is>
      </c>
      <c r="J54" t="inlineStr">
        <is>
          <t>ТССЦ Московской обл., 101-4163, приказ Минстроя России №675/пр от 28.02.2017 № 254/пр</t>
        </is>
      </c>
      <c r="K54" t="inlineStr">
        <is>
          <t>Грунтовка акриловая НОРТЕКС-ГРУНТ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X54" t="n">
        <v>20</v>
      </c>
      <c r="Y54" t="n">
        <v>15.26</v>
      </c>
      <c r="Z54" t="n">
        <v>0</v>
      </c>
      <c r="AA54" t="n">
        <v>0</v>
      </c>
      <c r="AB54" t="n">
        <v>0</v>
      </c>
      <c r="AC54" t="n">
        <v>0</v>
      </c>
      <c r="AD54" t="n">
        <v>1</v>
      </c>
      <c r="AE54" t="n">
        <v>0</v>
      </c>
      <c r="AF54" t="inlineStr"/>
      <c r="AG54" t="n">
        <v>20</v>
      </c>
      <c r="AH54" t="n">
        <v>2</v>
      </c>
      <c r="AI54" t="n">
        <v>78869415</v>
      </c>
      <c r="AJ54" t="n">
        <v>57</v>
      </c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ROW(Source!A78)</f>
        <v/>
      </c>
      <c r="B55" t="n">
        <v>78869423</v>
      </c>
      <c r="C55" t="n">
        <v>78869416</v>
      </c>
      <c r="D55" t="n">
        <v>18442827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1-1053-90</t>
        </is>
      </c>
      <c r="J55" t="inlineStr"/>
      <c r="K55" t="inlineStr">
        <is>
          <t>Рабочий строитель среднего разряда 5,3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X55" t="n">
        <v>5.01</v>
      </c>
      <c r="Y55" t="n">
        <v>0</v>
      </c>
      <c r="Z55" t="n">
        <v>0</v>
      </c>
      <c r="AA55" t="n">
        <v>0</v>
      </c>
      <c r="AB55" t="n">
        <v>11.64</v>
      </c>
      <c r="AC55" t="n">
        <v>0</v>
      </c>
      <c r="AD55" t="n">
        <v>1</v>
      </c>
      <c r="AE55" t="n">
        <v>1</v>
      </c>
      <c r="AF55" t="inlineStr">
        <is>
          <t>)*5</t>
        </is>
      </c>
      <c r="AG55" t="n">
        <v>25.05</v>
      </c>
      <c r="AH55" t="n">
        <v>2</v>
      </c>
      <c r="AI55" t="n">
        <v>78869417</v>
      </c>
      <c r="AJ55" t="n">
        <v>58</v>
      </c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ROW(Source!A78)</f>
        <v/>
      </c>
      <c r="B56" t="n">
        <v>78869424</v>
      </c>
      <c r="C56" t="n">
        <v>78869416</v>
      </c>
      <c r="D56" t="n">
        <v>29172703</v>
      </c>
      <c r="E56" t="n">
        <v>1</v>
      </c>
      <c r="F56" t="n">
        <v>1</v>
      </c>
      <c r="G56" t="n">
        <v>1</v>
      </c>
      <c r="H56" t="n">
        <v>2</v>
      </c>
      <c r="I56" t="inlineStr">
        <is>
          <t>042900</t>
        </is>
      </c>
      <c r="J56" t="inlineStr">
        <is>
          <t>ТСЭМ Московской обл., 042900, приказ Минстроя России №675/пр от 28.02.2017 № 264/пр</t>
        </is>
      </c>
      <c r="K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" t="n">
        <v>1368</v>
      </c>
      <c r="N56" t="n">
        <v>1011</v>
      </c>
      <c r="O56" t="inlineStr">
        <is>
          <t>маш.-ч</t>
        </is>
      </c>
      <c r="P56" t="inlineStr">
        <is>
          <t>маш.-ч</t>
        </is>
      </c>
      <c r="Q56" t="n">
        <v>1</v>
      </c>
      <c r="X56" t="n">
        <v>1.5</v>
      </c>
      <c r="Y56" t="n">
        <v>0</v>
      </c>
      <c r="Z56" t="n">
        <v>29.67</v>
      </c>
      <c r="AA56" t="n">
        <v>0</v>
      </c>
      <c r="AB56" t="n">
        <v>0</v>
      </c>
      <c r="AC56" t="n">
        <v>0</v>
      </c>
      <c r="AD56" t="n">
        <v>1</v>
      </c>
      <c r="AE56" t="n">
        <v>0</v>
      </c>
      <c r="AF56" t="inlineStr">
        <is>
          <t>)*5</t>
        </is>
      </c>
      <c r="AG56" t="n">
        <v>7.5</v>
      </c>
      <c r="AH56" t="n">
        <v>2</v>
      </c>
      <c r="AI56" t="n">
        <v>78869418</v>
      </c>
      <c r="AJ56" t="n">
        <v>59</v>
      </c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ROW(Source!A78)</f>
        <v/>
      </c>
      <c r="B57" t="n">
        <v>78869425</v>
      </c>
      <c r="C57" t="n">
        <v>78869416</v>
      </c>
      <c r="D57" t="n">
        <v>29110398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101-0388</t>
        </is>
      </c>
      <c r="J57" t="inlineStr">
        <is>
          <t>ТССЦ Московской обл., 101-0388, приказ Минстроя России №675/пр от 28.02.2017 № 254/пр</t>
        </is>
      </c>
      <c r="K57" t="inlineStr">
        <is>
          <t>Краски масляные земляные марки МА-0115 мумия, сурик железный</t>
        </is>
      </c>
      <c r="L57" t="n">
        <v>1348</v>
      </c>
      <c r="N57" t="n">
        <v>1009</v>
      </c>
      <c r="O57" t="inlineStr">
        <is>
          <t>т</t>
        </is>
      </c>
      <c r="P57" t="inlineStr">
        <is>
          <t>т</t>
        </is>
      </c>
      <c r="Q57" t="n">
        <v>1000</v>
      </c>
      <c r="X57" t="n">
        <v>5e-05</v>
      </c>
      <c r="Y57" t="n">
        <v>15118.99</v>
      </c>
      <c r="Z57" t="n">
        <v>0</v>
      </c>
      <c r="AA57" t="n">
        <v>0</v>
      </c>
      <c r="AB57" t="n">
        <v>0</v>
      </c>
      <c r="AC57" t="n">
        <v>0</v>
      </c>
      <c r="AD57" t="n">
        <v>1</v>
      </c>
      <c r="AE57" t="n">
        <v>0</v>
      </c>
      <c r="AF57" t="inlineStr">
        <is>
          <t>)*5</t>
        </is>
      </c>
      <c r="AG57" t="n">
        <v>0.00025</v>
      </c>
      <c r="AH57" t="n">
        <v>2</v>
      </c>
      <c r="AI57" t="n">
        <v>78869419</v>
      </c>
      <c r="AJ57" t="n">
        <v>60</v>
      </c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ROW(Source!A78)</f>
        <v/>
      </c>
      <c r="B58" t="n">
        <v>78869426</v>
      </c>
      <c r="C58" t="n">
        <v>78869416</v>
      </c>
      <c r="D58" t="n">
        <v>29110573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101-0628</t>
        </is>
      </c>
      <c r="J58" t="inlineStr">
        <is>
          <t>ТССЦ Московской обл., 101-0628, приказ Минстроя России №675/пр от 28.02.2017 № 254/пр</t>
        </is>
      </c>
      <c r="K58" t="inlineStr">
        <is>
          <t>Олифа комбинированная, марки К-3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X58" t="n">
        <v>2e-05</v>
      </c>
      <c r="Y58" t="n">
        <v>16950</v>
      </c>
      <c r="Z58" t="n">
        <v>0</v>
      </c>
      <c r="AA58" t="n">
        <v>0</v>
      </c>
      <c r="AB58" t="n">
        <v>0</v>
      </c>
      <c r="AC58" t="n">
        <v>0</v>
      </c>
      <c r="AD58" t="n">
        <v>1</v>
      </c>
      <c r="AE58" t="n">
        <v>0</v>
      </c>
      <c r="AF58" t="inlineStr">
        <is>
          <t>)*5</t>
        </is>
      </c>
      <c r="AG58" t="n">
        <v>0.0001</v>
      </c>
      <c r="AH58" t="n">
        <v>2</v>
      </c>
      <c r="AI58" t="n">
        <v>78869420</v>
      </c>
      <c r="AJ58" t="n">
        <v>61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ROW(Source!A78)</f>
        <v/>
      </c>
      <c r="B59" t="n">
        <v>78869427</v>
      </c>
      <c r="C59" t="n">
        <v>78869416</v>
      </c>
      <c r="D59" t="n">
        <v>29107963</v>
      </c>
      <c r="E59" t="n">
        <v>1</v>
      </c>
      <c r="F59" t="n">
        <v>1</v>
      </c>
      <c r="G59" t="n">
        <v>1</v>
      </c>
      <c r="H59" t="n">
        <v>3</v>
      </c>
      <c r="I59" t="inlineStr">
        <is>
          <t>101-1669</t>
        </is>
      </c>
      <c r="J59" t="inlineStr">
        <is>
          <t>ТССЦ Московской обл., 101-1669, приказ Минстроя России №675/пр от 28.02.2017 № 254/пр</t>
        </is>
      </c>
      <c r="K59" t="inlineStr">
        <is>
          <t>Очес льняной</t>
        </is>
      </c>
      <c r="L59" t="n">
        <v>1346</v>
      </c>
      <c r="N59" t="n">
        <v>1009</v>
      </c>
      <c r="O59" t="inlineStr">
        <is>
          <t>кг</t>
        </is>
      </c>
      <c r="P59" t="inlineStr">
        <is>
          <t>кг</t>
        </is>
      </c>
      <c r="Q59" t="n">
        <v>1</v>
      </c>
      <c r="X59" t="n">
        <v>0.02</v>
      </c>
      <c r="Y59" t="n">
        <v>37.29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0</v>
      </c>
      <c r="AF59" t="inlineStr">
        <is>
          <t>)*5</t>
        </is>
      </c>
      <c r="AG59" t="n">
        <v>0.1</v>
      </c>
      <c r="AH59" t="n">
        <v>2</v>
      </c>
      <c r="AI59" t="n">
        <v>78869421</v>
      </c>
      <c r="AJ59" t="n">
        <v>62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ROW(Source!A78)</f>
        <v/>
      </c>
      <c r="B60" t="n">
        <v>78869428</v>
      </c>
      <c r="C60" t="n">
        <v>78869416</v>
      </c>
      <c r="D60" t="n">
        <v>29150040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411-0001</t>
        </is>
      </c>
      <c r="J60" t="inlineStr">
        <is>
          <t>ТССЦ Московской обл., 411-0001, приказ Минстроя России №675/пр от 28.02.2017 № 257/пр</t>
        </is>
      </c>
      <c r="K60" t="inlineStr">
        <is>
          <t>Вода</t>
        </is>
      </c>
      <c r="L60" t="n">
        <v>1339</v>
      </c>
      <c r="N60" t="n">
        <v>1007</v>
      </c>
      <c r="O60" t="inlineStr">
        <is>
          <t>м3</t>
        </is>
      </c>
      <c r="P60" t="inlineStr">
        <is>
          <t>м3</t>
        </is>
      </c>
      <c r="Q60" t="n">
        <v>1</v>
      </c>
      <c r="X60" t="n">
        <v>1</v>
      </c>
      <c r="Y60" t="n">
        <v>2.44</v>
      </c>
      <c r="Z60" t="n">
        <v>0</v>
      </c>
      <c r="AA60" t="n">
        <v>0</v>
      </c>
      <c r="AB60" t="n">
        <v>0</v>
      </c>
      <c r="AC60" t="n">
        <v>0</v>
      </c>
      <c r="AD60" t="n">
        <v>1</v>
      </c>
      <c r="AE60" t="n">
        <v>0</v>
      </c>
      <c r="AF60" t="inlineStr">
        <is>
          <t>)*5</t>
        </is>
      </c>
      <c r="AG60" t="n">
        <v>5</v>
      </c>
      <c r="AH60" t="n">
        <v>2</v>
      </c>
      <c r="AI60" t="n">
        <v>78869422</v>
      </c>
      <c r="AJ60" t="n">
        <v>63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ROW(Source!A117)</f>
        <v/>
      </c>
      <c r="B61" t="n">
        <v>78869498</v>
      </c>
      <c r="C61" t="n">
        <v>78869492</v>
      </c>
      <c r="D61" t="n">
        <v>18408291</v>
      </c>
      <c r="E61" t="n">
        <v>1</v>
      </c>
      <c r="F61" t="n">
        <v>1</v>
      </c>
      <c r="G61" t="n">
        <v>1</v>
      </c>
      <c r="H61" t="n">
        <v>1</v>
      </c>
      <c r="I61" t="inlineStr">
        <is>
          <t>1-1025-90</t>
        </is>
      </c>
      <c r="J61" t="inlineStr"/>
      <c r="K61" t="inlineStr">
        <is>
          <t>Рабочий строитель среднего разряда 2,5</t>
        </is>
      </c>
      <c r="L61" t="n">
        <v>1369</v>
      </c>
      <c r="N61" t="n">
        <v>1013</v>
      </c>
      <c r="O61" t="inlineStr">
        <is>
          <t>чел.-ч</t>
        </is>
      </c>
      <c r="P61" t="inlineStr">
        <is>
          <t>чел.-ч</t>
        </is>
      </c>
      <c r="Q61" t="n">
        <v>1</v>
      </c>
      <c r="X61" t="n">
        <v>32.2</v>
      </c>
      <c r="Y61" t="n">
        <v>0</v>
      </c>
      <c r="Z61" t="n">
        <v>0</v>
      </c>
      <c r="AA61" t="n">
        <v>0</v>
      </c>
      <c r="AB61" t="n">
        <v>8.17</v>
      </c>
      <c r="AC61" t="n">
        <v>0</v>
      </c>
      <c r="AD61" t="n">
        <v>1</v>
      </c>
      <c r="AE61" t="n">
        <v>1</v>
      </c>
      <c r="AF61" t="inlineStr"/>
      <c r="AG61" t="n">
        <v>32.2</v>
      </c>
      <c r="AH61" t="n">
        <v>2</v>
      </c>
      <c r="AI61" t="n">
        <v>78869493</v>
      </c>
      <c r="AJ61" t="n">
        <v>64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ROW(Source!A117)</f>
        <v/>
      </c>
      <c r="B62" t="n">
        <v>78869499</v>
      </c>
      <c r="C62" t="n">
        <v>78869492</v>
      </c>
      <c r="D62" t="n">
        <v>29174913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400001</t>
        </is>
      </c>
      <c r="J62" t="inlineStr">
        <is>
          <t>ТСЭМ Московской обл., 400001, приказ Минстроя России №675/пр от 28.02.2017 № 264/пр</t>
        </is>
      </c>
      <c r="K62" t="inlineStr">
        <is>
          <t>Автомобили бортовые, грузоподъемность до 5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X62" t="n">
        <v>0.01</v>
      </c>
      <c r="Y62" t="n">
        <v>0</v>
      </c>
      <c r="Z62" t="n">
        <v>87.17</v>
      </c>
      <c r="AA62" t="n">
        <v>11.6</v>
      </c>
      <c r="AB62" t="n">
        <v>0</v>
      </c>
      <c r="AC62" t="n">
        <v>0</v>
      </c>
      <c r="AD62" t="n">
        <v>1</v>
      </c>
      <c r="AE62" t="n">
        <v>0</v>
      </c>
      <c r="AF62" t="inlineStr"/>
      <c r="AG62" t="n">
        <v>0.01</v>
      </c>
      <c r="AH62" t="n">
        <v>2</v>
      </c>
      <c r="AI62" t="n">
        <v>78869494</v>
      </c>
      <c r="AJ62" t="n">
        <v>65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ROW(Source!A117)</f>
        <v/>
      </c>
      <c r="B63" t="n">
        <v>78869500</v>
      </c>
      <c r="C63" t="n">
        <v>78869492</v>
      </c>
      <c r="D63" t="n">
        <v>29110139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101-1703</t>
        </is>
      </c>
      <c r="J63" t="inlineStr">
        <is>
          <t>ТССЦ Московской обл., 101-1703, приказ Минстроя России №675/пр от 28.02.2017 № 254/пр</t>
        </is>
      </c>
      <c r="K63" t="inlineStr">
        <is>
          <t>Прокладки резиновые (пластина техническая прессованная)</t>
        </is>
      </c>
      <c r="L63" t="n">
        <v>1346</v>
      </c>
      <c r="N63" t="n">
        <v>1009</v>
      </c>
      <c r="O63" t="inlineStr">
        <is>
          <t>кг</t>
        </is>
      </c>
      <c r="P63" t="inlineStr">
        <is>
          <t>кг</t>
        </is>
      </c>
      <c r="Q63" t="n">
        <v>1</v>
      </c>
      <c r="X63" t="n">
        <v>2</v>
      </c>
      <c r="Y63" t="n">
        <v>23.09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0</v>
      </c>
      <c r="AF63" t="inlineStr"/>
      <c r="AG63" t="n">
        <v>2</v>
      </c>
      <c r="AH63" t="n">
        <v>2</v>
      </c>
      <c r="AI63" t="n">
        <v>78869495</v>
      </c>
      <c r="AJ63" t="n">
        <v>66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ROW(Source!A117)</f>
        <v/>
      </c>
      <c r="B64" t="n">
        <v>78869501</v>
      </c>
      <c r="C64" t="n">
        <v>78869492</v>
      </c>
      <c r="D64" t="n">
        <v>29114240</v>
      </c>
      <c r="E64" t="n">
        <v>1</v>
      </c>
      <c r="F64" t="n">
        <v>1</v>
      </c>
      <c r="G64" t="n">
        <v>1</v>
      </c>
      <c r="H64" t="n">
        <v>3</v>
      </c>
      <c r="I64" t="inlineStr">
        <is>
          <t>101-2576</t>
        </is>
      </c>
      <c r="J64" t="inlineStr">
        <is>
          <t>ТССЦ Московской обл., 101-2576, приказ Минстроя России №675/пр от 28.02.2017 № 254/пр</t>
        </is>
      </c>
      <c r="K64" t="inlineStr">
        <is>
          <t>Болты с гайками и шайбами для санитарно-технических работ диаметром 16 мм</t>
        </is>
      </c>
      <c r="L64" t="n">
        <v>1348</v>
      </c>
      <c r="N64" t="n">
        <v>1009</v>
      </c>
      <c r="O64" t="inlineStr">
        <is>
          <t>т</t>
        </is>
      </c>
      <c r="P64" t="inlineStr">
        <is>
          <t>т</t>
        </is>
      </c>
      <c r="Q64" t="n">
        <v>1000</v>
      </c>
      <c r="X64" t="n">
        <v>0.005</v>
      </c>
      <c r="Y64" t="n">
        <v>14830</v>
      </c>
      <c r="Z64" t="n">
        <v>0</v>
      </c>
      <c r="AA64" t="n">
        <v>0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0.005</v>
      </c>
      <c r="AH64" t="n">
        <v>2</v>
      </c>
      <c r="AI64" t="n">
        <v>78869496</v>
      </c>
      <c r="AJ64" t="n">
        <v>67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ROW(Source!A117)</f>
        <v/>
      </c>
      <c r="B65" t="n">
        <v>78869502</v>
      </c>
      <c r="C65" t="n">
        <v>78869492</v>
      </c>
      <c r="D65" t="n">
        <v>29150040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411-0001</t>
        </is>
      </c>
      <c r="J65" t="inlineStr">
        <is>
          <t>ТССЦ Московской обл., 411-0001, приказ Минстроя России №675/пр от 28.02.2017 № 257/пр</t>
        </is>
      </c>
      <c r="K65" t="inlineStr">
        <is>
          <t>Вода</t>
        </is>
      </c>
      <c r="L65" t="n">
        <v>1339</v>
      </c>
      <c r="N65" t="n">
        <v>1007</v>
      </c>
      <c r="O65" t="inlineStr">
        <is>
          <t>м3</t>
        </is>
      </c>
      <c r="P65" t="inlineStr">
        <is>
          <t>м3</t>
        </is>
      </c>
      <c r="Q65" t="n">
        <v>1</v>
      </c>
      <c r="X65" t="n">
        <v>7.8</v>
      </c>
      <c r="Y65" t="n">
        <v>2.44</v>
      </c>
      <c r="Z65" t="n">
        <v>0</v>
      </c>
      <c r="AA65" t="n">
        <v>0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7.8</v>
      </c>
      <c r="AH65" t="n">
        <v>2</v>
      </c>
      <c r="AI65" t="n">
        <v>78869497</v>
      </c>
      <c r="AJ65" t="n">
        <v>68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ROW(Source!A118)</f>
        <v/>
      </c>
      <c r="B66" t="n">
        <v>78869507</v>
      </c>
      <c r="C66" t="n">
        <v>78869503</v>
      </c>
      <c r="D66" t="n">
        <v>18407150</v>
      </c>
      <c r="E66" t="n">
        <v>1</v>
      </c>
      <c r="F66" t="n">
        <v>1</v>
      </c>
      <c r="G66" t="n">
        <v>1</v>
      </c>
      <c r="H66" t="n">
        <v>1</v>
      </c>
      <c r="I66" t="inlineStr">
        <is>
          <t>1-1030-90</t>
        </is>
      </c>
      <c r="J66" t="inlineStr"/>
      <c r="K66" t="inlineStr">
        <is>
          <t>Рабочий строитель среднего разряда 3</t>
        </is>
      </c>
      <c r="L66" t="n">
        <v>1369</v>
      </c>
      <c r="N66" t="n">
        <v>1013</v>
      </c>
      <c r="O66" t="inlineStr">
        <is>
          <t>чел.-ч</t>
        </is>
      </c>
      <c r="P66" t="inlineStr">
        <is>
          <t>чел.-ч</t>
        </is>
      </c>
      <c r="Q66" t="n">
        <v>1</v>
      </c>
      <c r="X66" t="n">
        <v>13.9</v>
      </c>
      <c r="Y66" t="n">
        <v>0</v>
      </c>
      <c r="Z66" t="n">
        <v>0</v>
      </c>
      <c r="AA66" t="n">
        <v>0</v>
      </c>
      <c r="AB66" t="n">
        <v>8.529999999999999</v>
      </c>
      <c r="AC66" t="n">
        <v>0</v>
      </c>
      <c r="AD66" t="n">
        <v>1</v>
      </c>
      <c r="AE66" t="n">
        <v>1</v>
      </c>
      <c r="AF66" t="inlineStr"/>
      <c r="AG66" t="n">
        <v>13.9</v>
      </c>
      <c r="AH66" t="n">
        <v>2</v>
      </c>
      <c r="AI66" t="n">
        <v>78869504</v>
      </c>
      <c r="AJ66" t="n">
        <v>69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ROW(Source!A118)</f>
        <v/>
      </c>
      <c r="B67" t="n">
        <v>78869508</v>
      </c>
      <c r="C67" t="n">
        <v>78869503</v>
      </c>
      <c r="D67" t="n">
        <v>29169821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509-0696</t>
        </is>
      </c>
      <c r="J67" t="inlineStr">
        <is>
          <t>ТССЦ Московской обл., 509-0696, приказ Минстроя России №675/пр от 28.02.2017 № 258/пр</t>
        </is>
      </c>
      <c r="K67" t="inlineStr">
        <is>
          <t>Лампы люминесцентные ртутные низкого давления типа ЛБ, ЛД, ЛДЦ, ЛТВ, ЛБХ 20</t>
        </is>
      </c>
      <c r="L67" t="n">
        <v>1358</v>
      </c>
      <c r="N67" t="n">
        <v>1010</v>
      </c>
      <c r="O67" t="inlineStr">
        <is>
          <t>10 шт.</t>
        </is>
      </c>
      <c r="P67" t="inlineStr">
        <is>
          <t>10 шт.</t>
        </is>
      </c>
      <c r="Q67" t="n">
        <v>10</v>
      </c>
      <c r="X67" t="n">
        <v>10</v>
      </c>
      <c r="Y67" t="n">
        <v>85.2</v>
      </c>
      <c r="Z67" t="n">
        <v>0</v>
      </c>
      <c r="AA67" t="n">
        <v>0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10</v>
      </c>
      <c r="AH67" t="n">
        <v>2</v>
      </c>
      <c r="AI67" t="n">
        <v>78869505</v>
      </c>
      <c r="AJ67" t="n">
        <v>70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ROW(Source!A120)</f>
        <v/>
      </c>
      <c r="B68" t="n">
        <v>78869535</v>
      </c>
      <c r="C68" t="n">
        <v>78869528</v>
      </c>
      <c r="D68" t="n">
        <v>18442827</v>
      </c>
      <c r="E68" t="n">
        <v>1</v>
      </c>
      <c r="F68" t="n">
        <v>1</v>
      </c>
      <c r="G68" t="n">
        <v>1</v>
      </c>
      <c r="H68" t="n">
        <v>1</v>
      </c>
      <c r="I68" t="inlineStr">
        <is>
          <t>1-1053-90</t>
        </is>
      </c>
      <c r="J68" t="inlineStr"/>
      <c r="K68" t="inlineStr">
        <is>
          <t>Рабочий строитель среднего разряда 5,3</t>
        </is>
      </c>
      <c r="L68" t="n">
        <v>1369</v>
      </c>
      <c r="N68" t="n">
        <v>1013</v>
      </c>
      <c r="O68" t="inlineStr">
        <is>
          <t>чел.-ч</t>
        </is>
      </c>
      <c r="P68" t="inlineStr">
        <is>
          <t>чел.-ч</t>
        </is>
      </c>
      <c r="Q68" t="n">
        <v>1</v>
      </c>
      <c r="X68" t="n">
        <v>5.01</v>
      </c>
      <c r="Y68" t="n">
        <v>0</v>
      </c>
      <c r="Z68" t="n">
        <v>0</v>
      </c>
      <c r="AA68" t="n">
        <v>0</v>
      </c>
      <c r="AB68" t="n">
        <v>11.64</v>
      </c>
      <c r="AC68" t="n">
        <v>0</v>
      </c>
      <c r="AD68" t="n">
        <v>1</v>
      </c>
      <c r="AE68" t="n">
        <v>1</v>
      </c>
      <c r="AF68" t="inlineStr"/>
      <c r="AG68" t="n">
        <v>5.01</v>
      </c>
      <c r="AH68" t="n">
        <v>2</v>
      </c>
      <c r="AI68" t="n">
        <v>78869529</v>
      </c>
      <c r="AJ68" t="n">
        <v>72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ROW(Source!A120)</f>
        <v/>
      </c>
      <c r="B69" t="n">
        <v>78869536</v>
      </c>
      <c r="C69" t="n">
        <v>78869528</v>
      </c>
      <c r="D69" t="n">
        <v>29172703</v>
      </c>
      <c r="E69" t="n">
        <v>1</v>
      </c>
      <c r="F69" t="n">
        <v>1</v>
      </c>
      <c r="G69" t="n">
        <v>1</v>
      </c>
      <c r="H69" t="n">
        <v>2</v>
      </c>
      <c r="I69" t="inlineStr">
        <is>
          <t>042900</t>
        </is>
      </c>
      <c r="J69" t="inlineStr">
        <is>
          <t>ТСЭМ Московской обл., 042900, приказ Минстроя России №675/пр от 28.02.2017 № 264/пр</t>
        </is>
      </c>
      <c r="K6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9" t="n">
        <v>1368</v>
      </c>
      <c r="N69" t="n">
        <v>1011</v>
      </c>
      <c r="O69" t="inlineStr">
        <is>
          <t>маш.-ч</t>
        </is>
      </c>
      <c r="P69" t="inlineStr">
        <is>
          <t>маш.-ч</t>
        </is>
      </c>
      <c r="Q69" t="n">
        <v>1</v>
      </c>
      <c r="X69" t="n">
        <v>1.5</v>
      </c>
      <c r="Y69" t="n">
        <v>0</v>
      </c>
      <c r="Z69" t="n">
        <v>29.67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1.5</v>
      </c>
      <c r="AH69" t="n">
        <v>2</v>
      </c>
      <c r="AI69" t="n">
        <v>78869530</v>
      </c>
      <c r="AJ69" t="n">
        <v>73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ROW(Source!A120)</f>
        <v/>
      </c>
      <c r="B70" t="n">
        <v>78869537</v>
      </c>
      <c r="C70" t="n">
        <v>78869528</v>
      </c>
      <c r="D70" t="n">
        <v>29110398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101-0388</t>
        </is>
      </c>
      <c r="J70" t="inlineStr">
        <is>
          <t>ТССЦ Московской обл., 101-0388, приказ Минстроя России №675/пр от 28.02.2017 № 254/пр</t>
        </is>
      </c>
      <c r="K70" t="inlineStr">
        <is>
          <t>Краски масляные земляные марки МА-0115 мумия, сурик железный</t>
        </is>
      </c>
      <c r="L70" t="n">
        <v>1348</v>
      </c>
      <c r="N70" t="n">
        <v>1009</v>
      </c>
      <c r="O70" t="inlineStr">
        <is>
          <t>т</t>
        </is>
      </c>
      <c r="P70" t="inlineStr">
        <is>
          <t>т</t>
        </is>
      </c>
      <c r="Q70" t="n">
        <v>1000</v>
      </c>
      <c r="X70" t="n">
        <v>5e-05</v>
      </c>
      <c r="Y70" t="n">
        <v>15118.99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5e-05</v>
      </c>
      <c r="AH70" t="n">
        <v>2</v>
      </c>
      <c r="AI70" t="n">
        <v>78869531</v>
      </c>
      <c r="AJ70" t="n">
        <v>74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ROW(Source!A120)</f>
        <v/>
      </c>
      <c r="B71" t="n">
        <v>78869538</v>
      </c>
      <c r="C71" t="n">
        <v>78869528</v>
      </c>
      <c r="D71" t="n">
        <v>29110573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101-0628</t>
        </is>
      </c>
      <c r="J71" t="inlineStr">
        <is>
          <t>ТССЦ Московской обл., 101-0628, приказ Минстроя России №675/пр от 28.02.2017 № 254/пр</t>
        </is>
      </c>
      <c r="K71" t="inlineStr">
        <is>
          <t>Олифа комбинированная, марки К-3</t>
        </is>
      </c>
      <c r="L71" t="n">
        <v>1348</v>
      </c>
      <c r="N71" t="n">
        <v>1009</v>
      </c>
      <c r="O71" t="inlineStr">
        <is>
          <t>т</t>
        </is>
      </c>
      <c r="P71" t="inlineStr">
        <is>
          <t>т</t>
        </is>
      </c>
      <c r="Q71" t="n">
        <v>1000</v>
      </c>
      <c r="X71" t="n">
        <v>2e-05</v>
      </c>
      <c r="Y71" t="n">
        <v>16950</v>
      </c>
      <c r="Z71" t="n">
        <v>0</v>
      </c>
      <c r="AA71" t="n">
        <v>0</v>
      </c>
      <c r="AB71" t="n">
        <v>0</v>
      </c>
      <c r="AC71" t="n">
        <v>0</v>
      </c>
      <c r="AD71" t="n">
        <v>1</v>
      </c>
      <c r="AE71" t="n">
        <v>0</v>
      </c>
      <c r="AF71" t="inlineStr"/>
      <c r="AG71" t="n">
        <v>2e-05</v>
      </c>
      <c r="AH71" t="n">
        <v>2</v>
      </c>
      <c r="AI71" t="n">
        <v>78869532</v>
      </c>
      <c r="AJ71" t="n">
        <v>75</v>
      </c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ROW(Source!A120)</f>
        <v/>
      </c>
      <c r="B72" t="n">
        <v>78869539</v>
      </c>
      <c r="C72" t="n">
        <v>78869528</v>
      </c>
      <c r="D72" t="n">
        <v>29107963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101-1669</t>
        </is>
      </c>
      <c r="J72" t="inlineStr">
        <is>
          <t>ТССЦ Московской обл., 101-1669, приказ Минстроя России №675/пр от 28.02.2017 № 254/пр</t>
        </is>
      </c>
      <c r="K72" t="inlineStr">
        <is>
          <t>Очес льняной</t>
        </is>
      </c>
      <c r="L72" t="n">
        <v>1346</v>
      </c>
      <c r="N72" t="n">
        <v>1009</v>
      </c>
      <c r="O72" t="inlineStr">
        <is>
          <t>кг</t>
        </is>
      </c>
      <c r="P72" t="inlineStr">
        <is>
          <t>кг</t>
        </is>
      </c>
      <c r="Q72" t="n">
        <v>1</v>
      </c>
      <c r="X72" t="n">
        <v>0.02</v>
      </c>
      <c r="Y72" t="n">
        <v>37.29</v>
      </c>
      <c r="Z72" t="n">
        <v>0</v>
      </c>
      <c r="AA72" t="n">
        <v>0</v>
      </c>
      <c r="AB72" t="n">
        <v>0</v>
      </c>
      <c r="AC72" t="n">
        <v>0</v>
      </c>
      <c r="AD72" t="n">
        <v>1</v>
      </c>
      <c r="AE72" t="n">
        <v>0</v>
      </c>
      <c r="AF72" t="inlineStr"/>
      <c r="AG72" t="n">
        <v>0.02</v>
      </c>
      <c r="AH72" t="n">
        <v>2</v>
      </c>
      <c r="AI72" t="n">
        <v>78869533</v>
      </c>
      <c r="AJ72" t="n">
        <v>76</v>
      </c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ROW(Source!A120)</f>
        <v/>
      </c>
      <c r="B73" t="n">
        <v>78869540</v>
      </c>
      <c r="C73" t="n">
        <v>78869528</v>
      </c>
      <c r="D73" t="n">
        <v>29150040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411-0001</t>
        </is>
      </c>
      <c r="J73" t="inlineStr">
        <is>
          <t>ТССЦ Московской обл., 411-0001, приказ Минстроя России №675/пр от 28.02.2017 № 257/пр</t>
        </is>
      </c>
      <c r="K73" t="inlineStr">
        <is>
          <t>Вода</t>
        </is>
      </c>
      <c r="L73" t="n">
        <v>1339</v>
      </c>
      <c r="N73" t="n">
        <v>1007</v>
      </c>
      <c r="O73" t="inlineStr">
        <is>
          <t>м3</t>
        </is>
      </c>
      <c r="P73" t="inlineStr">
        <is>
          <t>м3</t>
        </is>
      </c>
      <c r="Q73" t="n">
        <v>1</v>
      </c>
      <c r="X73" t="n">
        <v>1</v>
      </c>
      <c r="Y73" t="n">
        <v>2.44</v>
      </c>
      <c r="Z73" t="n">
        <v>0</v>
      </c>
      <c r="AA73" t="n">
        <v>0</v>
      </c>
      <c r="AB73" t="n">
        <v>0</v>
      </c>
      <c r="AC73" t="n">
        <v>0</v>
      </c>
      <c r="AD73" t="n">
        <v>1</v>
      </c>
      <c r="AE73" t="n">
        <v>0</v>
      </c>
      <c r="AF73" t="inlineStr"/>
      <c r="AG73" t="n">
        <v>1</v>
      </c>
      <c r="AH73" t="n">
        <v>2</v>
      </c>
      <c r="AI73" t="n">
        <v>78869534</v>
      </c>
      <c r="AJ73" t="n">
        <v>77</v>
      </c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ROW(Source!A159)</f>
        <v/>
      </c>
      <c r="B74" t="n">
        <v>78869610</v>
      </c>
      <c r="C74" t="n">
        <v>78869604</v>
      </c>
      <c r="D74" t="n">
        <v>18408291</v>
      </c>
      <c r="E74" t="n">
        <v>1</v>
      </c>
      <c r="F74" t="n">
        <v>1</v>
      </c>
      <c r="G74" t="n">
        <v>1</v>
      </c>
      <c r="H74" t="n">
        <v>1</v>
      </c>
      <c r="I74" t="inlineStr">
        <is>
          <t>1-1025-90</t>
        </is>
      </c>
      <c r="J74" t="inlineStr"/>
      <c r="K74" t="inlineStr">
        <is>
          <t>Рабочий строитель среднего разряда 2,5</t>
        </is>
      </c>
      <c r="L74" t="n">
        <v>1369</v>
      </c>
      <c r="N74" t="n">
        <v>1013</v>
      </c>
      <c r="O74" t="inlineStr">
        <is>
          <t>чел.-ч</t>
        </is>
      </c>
      <c r="P74" t="inlineStr">
        <is>
          <t>чел.-ч</t>
        </is>
      </c>
      <c r="Q74" t="n">
        <v>1</v>
      </c>
      <c r="X74" t="n">
        <v>32.2</v>
      </c>
      <c r="Y74" t="n">
        <v>0</v>
      </c>
      <c r="Z74" t="n">
        <v>0</v>
      </c>
      <c r="AA74" t="n">
        <v>0</v>
      </c>
      <c r="AB74" t="n">
        <v>8.17</v>
      </c>
      <c r="AC74" t="n">
        <v>0</v>
      </c>
      <c r="AD74" t="n">
        <v>1</v>
      </c>
      <c r="AE74" t="n">
        <v>1</v>
      </c>
      <c r="AF74" t="inlineStr"/>
      <c r="AG74" t="n">
        <v>32.2</v>
      </c>
      <c r="AH74" t="n">
        <v>2</v>
      </c>
      <c r="AI74" t="n">
        <v>78869605</v>
      </c>
      <c r="AJ74" t="n">
        <v>78</v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ROW(Source!A159)</f>
        <v/>
      </c>
      <c r="B75" t="n">
        <v>78869611</v>
      </c>
      <c r="C75" t="n">
        <v>78869604</v>
      </c>
      <c r="D75" t="n">
        <v>29174913</v>
      </c>
      <c r="E75" t="n">
        <v>1</v>
      </c>
      <c r="F75" t="n">
        <v>1</v>
      </c>
      <c r="G75" t="n">
        <v>1</v>
      </c>
      <c r="H75" t="n">
        <v>2</v>
      </c>
      <c r="I75" t="inlineStr">
        <is>
          <t>400001</t>
        </is>
      </c>
      <c r="J75" t="inlineStr">
        <is>
          <t>ТСЭМ Московской обл., 400001, приказ Минстроя России №675/пр от 28.02.2017 № 264/пр</t>
        </is>
      </c>
      <c r="K75" t="inlineStr">
        <is>
          <t>Автомобили бортовые, грузоподъемность до 5 т</t>
        </is>
      </c>
      <c r="L75" t="n">
        <v>1368</v>
      </c>
      <c r="N75" t="n">
        <v>1011</v>
      </c>
      <c r="O75" t="inlineStr">
        <is>
          <t>маш.-ч</t>
        </is>
      </c>
      <c r="P75" t="inlineStr">
        <is>
          <t>маш.-ч</t>
        </is>
      </c>
      <c r="Q75" t="n">
        <v>1</v>
      </c>
      <c r="X75" t="n">
        <v>0.01</v>
      </c>
      <c r="Y75" t="n">
        <v>0</v>
      </c>
      <c r="Z75" t="n">
        <v>87.17</v>
      </c>
      <c r="AA75" t="n">
        <v>11.6</v>
      </c>
      <c r="AB75" t="n">
        <v>0</v>
      </c>
      <c r="AC75" t="n">
        <v>0</v>
      </c>
      <c r="AD75" t="n">
        <v>1</v>
      </c>
      <c r="AE75" t="n">
        <v>0</v>
      </c>
      <c r="AF75" t="inlineStr"/>
      <c r="AG75" t="n">
        <v>0.01</v>
      </c>
      <c r="AH75" t="n">
        <v>2</v>
      </c>
      <c r="AI75" t="n">
        <v>78869606</v>
      </c>
      <c r="AJ75" t="n">
        <v>79</v>
      </c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ROW(Source!A159)</f>
        <v/>
      </c>
      <c r="B76" t="n">
        <v>78869612</v>
      </c>
      <c r="C76" t="n">
        <v>78869604</v>
      </c>
      <c r="D76" t="n">
        <v>29110139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101-1703</t>
        </is>
      </c>
      <c r="J76" t="inlineStr">
        <is>
          <t>ТССЦ Московской обл., 101-1703, приказ Минстроя России №675/пр от 28.02.2017 № 254/пр</t>
        </is>
      </c>
      <c r="K76" t="inlineStr">
        <is>
          <t>Прокладки резиновые (пластина техническая прессованная)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X76" t="n">
        <v>2</v>
      </c>
      <c r="Y76" t="n">
        <v>23.09</v>
      </c>
      <c r="Z76" t="n">
        <v>0</v>
      </c>
      <c r="AA76" t="n">
        <v>0</v>
      </c>
      <c r="AB76" t="n">
        <v>0</v>
      </c>
      <c r="AC76" t="n">
        <v>0</v>
      </c>
      <c r="AD76" t="n">
        <v>1</v>
      </c>
      <c r="AE76" t="n">
        <v>0</v>
      </c>
      <c r="AF76" t="inlineStr"/>
      <c r="AG76" t="n">
        <v>2</v>
      </c>
      <c r="AH76" t="n">
        <v>2</v>
      </c>
      <c r="AI76" t="n">
        <v>78869607</v>
      </c>
      <c r="AJ76" t="n">
        <v>80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ROW(Source!A159)</f>
        <v/>
      </c>
      <c r="B77" t="n">
        <v>78869613</v>
      </c>
      <c r="C77" t="n">
        <v>78869604</v>
      </c>
      <c r="D77" t="n">
        <v>29114240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101-2576</t>
        </is>
      </c>
      <c r="J77" t="inlineStr">
        <is>
          <t>ТССЦ Московской обл., 101-2576, приказ Минстроя России №675/пр от 28.02.2017 № 254/пр</t>
        </is>
      </c>
      <c r="K77" t="inlineStr">
        <is>
          <t>Болты с гайками и шайбами для санитарно-технических работ диаметром 16 мм</t>
        </is>
      </c>
      <c r="L77" t="n">
        <v>1348</v>
      </c>
      <c r="N77" t="n">
        <v>1009</v>
      </c>
      <c r="O77" t="inlineStr">
        <is>
          <t>т</t>
        </is>
      </c>
      <c r="P77" t="inlineStr">
        <is>
          <t>т</t>
        </is>
      </c>
      <c r="Q77" t="n">
        <v>1000</v>
      </c>
      <c r="X77" t="n">
        <v>0.005</v>
      </c>
      <c r="Y77" t="n">
        <v>14830</v>
      </c>
      <c r="Z77" t="n">
        <v>0</v>
      </c>
      <c r="AA77" t="n">
        <v>0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0.005</v>
      </c>
      <c r="AH77" t="n">
        <v>2</v>
      </c>
      <c r="AI77" t="n">
        <v>78869608</v>
      </c>
      <c r="AJ77" t="n">
        <v>81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ROW(Source!A159)</f>
        <v/>
      </c>
      <c r="B78" t="n">
        <v>78869614</v>
      </c>
      <c r="C78" t="n">
        <v>78869604</v>
      </c>
      <c r="D78" t="n">
        <v>29150040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411-0001</t>
        </is>
      </c>
      <c r="J78" t="inlineStr">
        <is>
          <t>ТССЦ Московской обл., 411-0001, приказ Минстроя России №675/пр от 28.02.2017 № 257/пр</t>
        </is>
      </c>
      <c r="K78" t="inlineStr">
        <is>
          <t>Вода</t>
        </is>
      </c>
      <c r="L78" t="n">
        <v>1339</v>
      </c>
      <c r="N78" t="n">
        <v>1007</v>
      </c>
      <c r="O78" t="inlineStr">
        <is>
          <t>м3</t>
        </is>
      </c>
      <c r="P78" t="inlineStr">
        <is>
          <t>м3</t>
        </is>
      </c>
      <c r="Q78" t="n">
        <v>1</v>
      </c>
      <c r="X78" t="n">
        <v>7.8</v>
      </c>
      <c r="Y78" t="n">
        <v>2.44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7.8</v>
      </c>
      <c r="AH78" t="n">
        <v>2</v>
      </c>
      <c r="AI78" t="n">
        <v>78869609</v>
      </c>
      <c r="AJ78" t="n">
        <v>82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ROW(Source!A160)</f>
        <v/>
      </c>
      <c r="B79" t="n">
        <v>78869622</v>
      </c>
      <c r="C79" t="n">
        <v>78869615</v>
      </c>
      <c r="D79" t="n">
        <v>18442827</v>
      </c>
      <c r="E79" t="n">
        <v>1</v>
      </c>
      <c r="F79" t="n">
        <v>1</v>
      </c>
      <c r="G79" t="n">
        <v>1</v>
      </c>
      <c r="H79" t="n">
        <v>1</v>
      </c>
      <c r="I79" t="inlineStr">
        <is>
          <t>1-1053-90</t>
        </is>
      </c>
      <c r="J79" t="inlineStr"/>
      <c r="K79" t="inlineStr">
        <is>
          <t>Рабочий строитель среднего разряда 5,3</t>
        </is>
      </c>
      <c r="L79" t="n">
        <v>1369</v>
      </c>
      <c r="N79" t="n">
        <v>1013</v>
      </c>
      <c r="O79" t="inlineStr">
        <is>
          <t>чел.-ч</t>
        </is>
      </c>
      <c r="P79" t="inlineStr">
        <is>
          <t>чел.-ч</t>
        </is>
      </c>
      <c r="Q79" t="n">
        <v>1</v>
      </c>
      <c r="X79" t="n">
        <v>5.01</v>
      </c>
      <c r="Y79" t="n">
        <v>0</v>
      </c>
      <c r="Z79" t="n">
        <v>0</v>
      </c>
      <c r="AA79" t="n">
        <v>0</v>
      </c>
      <c r="AB79" t="n">
        <v>11.64</v>
      </c>
      <c r="AC79" t="n">
        <v>0</v>
      </c>
      <c r="AD79" t="n">
        <v>1</v>
      </c>
      <c r="AE79" t="n">
        <v>1</v>
      </c>
      <c r="AF79" t="inlineStr"/>
      <c r="AG79" t="n">
        <v>5.01</v>
      </c>
      <c r="AH79" t="n">
        <v>2</v>
      </c>
      <c r="AI79" t="n">
        <v>78869616</v>
      </c>
      <c r="AJ79" t="n">
        <v>83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ROW(Source!A160)</f>
        <v/>
      </c>
      <c r="B80" t="n">
        <v>78869623</v>
      </c>
      <c r="C80" t="n">
        <v>78869615</v>
      </c>
      <c r="D80" t="n">
        <v>29172703</v>
      </c>
      <c r="E80" t="n">
        <v>1</v>
      </c>
      <c r="F80" t="n">
        <v>1</v>
      </c>
      <c r="G80" t="n">
        <v>1</v>
      </c>
      <c r="H80" t="n">
        <v>2</v>
      </c>
      <c r="I80" t="inlineStr">
        <is>
          <t>042900</t>
        </is>
      </c>
      <c r="J80" t="inlineStr">
        <is>
          <t>ТСЭМ Московской обл., 042900, приказ Минстроя России №675/пр от 28.02.2017 № 264/пр</t>
        </is>
      </c>
      <c r="K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0" t="n">
        <v>1368</v>
      </c>
      <c r="N80" t="n">
        <v>1011</v>
      </c>
      <c r="O80" t="inlineStr">
        <is>
          <t>маш.-ч</t>
        </is>
      </c>
      <c r="P80" t="inlineStr">
        <is>
          <t>маш.-ч</t>
        </is>
      </c>
      <c r="Q80" t="n">
        <v>1</v>
      </c>
      <c r="X80" t="n">
        <v>1.5</v>
      </c>
      <c r="Y80" t="n">
        <v>0</v>
      </c>
      <c r="Z80" t="n">
        <v>29.67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1.5</v>
      </c>
      <c r="AH80" t="n">
        <v>2</v>
      </c>
      <c r="AI80" t="n">
        <v>78869617</v>
      </c>
      <c r="AJ80" t="n">
        <v>84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ROW(Source!A160)</f>
        <v/>
      </c>
      <c r="B81" t="n">
        <v>78869624</v>
      </c>
      <c r="C81" t="n">
        <v>78869615</v>
      </c>
      <c r="D81" t="n">
        <v>29110398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101-0388</t>
        </is>
      </c>
      <c r="J81" t="inlineStr">
        <is>
          <t>ТССЦ Московской обл., 101-0388, приказ Минстроя России №675/пр от 28.02.2017 № 254/пр</t>
        </is>
      </c>
      <c r="K81" t="inlineStr">
        <is>
          <t>Краски масляные земляные марки МА-0115 мумия, сурик железный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X81" t="n">
        <v>5e-05</v>
      </c>
      <c r="Y81" t="n">
        <v>15118.99</v>
      </c>
      <c r="Z81" t="n">
        <v>0</v>
      </c>
      <c r="AA81" t="n">
        <v>0</v>
      </c>
      <c r="AB81" t="n">
        <v>0</v>
      </c>
      <c r="AC81" t="n">
        <v>0</v>
      </c>
      <c r="AD81" t="n">
        <v>1</v>
      </c>
      <c r="AE81" t="n">
        <v>0</v>
      </c>
      <c r="AF81" t="inlineStr"/>
      <c r="AG81" t="n">
        <v>5e-05</v>
      </c>
      <c r="AH81" t="n">
        <v>2</v>
      </c>
      <c r="AI81" t="n">
        <v>78869618</v>
      </c>
      <c r="AJ81" t="n">
        <v>85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ROW(Source!A160)</f>
        <v/>
      </c>
      <c r="B82" t="n">
        <v>78869625</v>
      </c>
      <c r="C82" t="n">
        <v>78869615</v>
      </c>
      <c r="D82" t="n">
        <v>29110573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101-0628</t>
        </is>
      </c>
      <c r="J82" t="inlineStr">
        <is>
          <t>ТССЦ Московской обл., 101-0628, приказ Минстроя России №675/пр от 28.02.2017 № 254/пр</t>
        </is>
      </c>
      <c r="K82" t="inlineStr">
        <is>
          <t>Олифа комбинированная, марки К-3</t>
        </is>
      </c>
      <c r="L82" t="n">
        <v>1348</v>
      </c>
      <c r="N82" t="n">
        <v>1009</v>
      </c>
      <c r="O82" t="inlineStr">
        <is>
          <t>т</t>
        </is>
      </c>
      <c r="P82" t="inlineStr">
        <is>
          <t>т</t>
        </is>
      </c>
      <c r="Q82" t="n">
        <v>1000</v>
      </c>
      <c r="X82" t="n">
        <v>2e-05</v>
      </c>
      <c r="Y82" t="n">
        <v>16950</v>
      </c>
      <c r="Z82" t="n">
        <v>0</v>
      </c>
      <c r="AA82" t="n">
        <v>0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2e-05</v>
      </c>
      <c r="AH82" t="n">
        <v>2</v>
      </c>
      <c r="AI82" t="n">
        <v>78869619</v>
      </c>
      <c r="AJ82" t="n">
        <v>86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ROW(Source!A160)</f>
        <v/>
      </c>
      <c r="B83" t="n">
        <v>78869626</v>
      </c>
      <c r="C83" t="n">
        <v>78869615</v>
      </c>
      <c r="D83" t="n">
        <v>29107963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101-1669</t>
        </is>
      </c>
      <c r="J83" t="inlineStr">
        <is>
          <t>ТССЦ Московской обл., 101-1669, приказ Минстроя России №675/пр от 28.02.2017 № 254/пр</t>
        </is>
      </c>
      <c r="K83" t="inlineStr">
        <is>
          <t>Очес льняной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0.02</v>
      </c>
      <c r="Y83" t="n">
        <v>37.29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0.02</v>
      </c>
      <c r="AH83" t="n">
        <v>2</v>
      </c>
      <c r="AI83" t="n">
        <v>78869620</v>
      </c>
      <c r="AJ83" t="n">
        <v>87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ROW(Source!A160)</f>
        <v/>
      </c>
      <c r="B84" t="n">
        <v>78869627</v>
      </c>
      <c r="C84" t="n">
        <v>78869615</v>
      </c>
      <c r="D84" t="n">
        <v>29150040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411-0001</t>
        </is>
      </c>
      <c r="J84" t="inlineStr">
        <is>
          <t>ТССЦ Московской обл., 411-0001, приказ Минстроя России №675/пр от 28.02.2017 № 257/пр</t>
        </is>
      </c>
      <c r="K84" t="inlineStr">
        <is>
          <t>Вода</t>
        </is>
      </c>
      <c r="L84" t="n">
        <v>1339</v>
      </c>
      <c r="N84" t="n">
        <v>1007</v>
      </c>
      <c r="O84" t="inlineStr">
        <is>
          <t>м3</t>
        </is>
      </c>
      <c r="P84" t="inlineStr">
        <is>
          <t>м3</t>
        </is>
      </c>
      <c r="Q84" t="n">
        <v>1</v>
      </c>
      <c r="X84" t="n">
        <v>1</v>
      </c>
      <c r="Y84" t="n">
        <v>2.44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1</v>
      </c>
      <c r="AH84" t="n">
        <v>2</v>
      </c>
      <c r="AI84" t="n">
        <v>78869621</v>
      </c>
      <c r="AJ84" t="n">
        <v>88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ROW(Source!A199)</f>
        <v/>
      </c>
      <c r="B85" t="n">
        <v>78869697</v>
      </c>
      <c r="C85" t="n">
        <v>78869691</v>
      </c>
      <c r="D85" t="n">
        <v>18408291</v>
      </c>
      <c r="E85" t="n">
        <v>1</v>
      </c>
      <c r="F85" t="n">
        <v>1</v>
      </c>
      <c r="G85" t="n">
        <v>1</v>
      </c>
      <c r="H85" t="n">
        <v>1</v>
      </c>
      <c r="I85" t="inlineStr">
        <is>
          <t>1-1025-90</t>
        </is>
      </c>
      <c r="J85" t="inlineStr"/>
      <c r="K85" t="inlineStr">
        <is>
          <t>Рабочий строитель среднего разряда 2,5</t>
        </is>
      </c>
      <c r="L85" t="n">
        <v>1369</v>
      </c>
      <c r="N85" t="n">
        <v>1013</v>
      </c>
      <c r="O85" t="inlineStr">
        <is>
          <t>чел.-ч</t>
        </is>
      </c>
      <c r="P85" t="inlineStr">
        <is>
          <t>чел.-ч</t>
        </is>
      </c>
      <c r="Q85" t="n">
        <v>1</v>
      </c>
      <c r="X85" t="n">
        <v>32.2</v>
      </c>
      <c r="Y85" t="n">
        <v>0</v>
      </c>
      <c r="Z85" t="n">
        <v>0</v>
      </c>
      <c r="AA85" t="n">
        <v>0</v>
      </c>
      <c r="AB85" t="n">
        <v>8.17</v>
      </c>
      <c r="AC85" t="n">
        <v>0</v>
      </c>
      <c r="AD85" t="n">
        <v>1</v>
      </c>
      <c r="AE85" t="n">
        <v>1</v>
      </c>
      <c r="AF85" t="inlineStr"/>
      <c r="AG85" t="n">
        <v>32.2</v>
      </c>
      <c r="AH85" t="n">
        <v>2</v>
      </c>
      <c r="AI85" t="n">
        <v>78869692</v>
      </c>
      <c r="AJ85" t="n">
        <v>89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ROW(Source!A199)</f>
        <v/>
      </c>
      <c r="B86" t="n">
        <v>78869698</v>
      </c>
      <c r="C86" t="n">
        <v>78869691</v>
      </c>
      <c r="D86" t="n">
        <v>29174913</v>
      </c>
      <c r="E86" t="n">
        <v>1</v>
      </c>
      <c r="F86" t="n">
        <v>1</v>
      </c>
      <c r="G86" t="n">
        <v>1</v>
      </c>
      <c r="H86" t="n">
        <v>2</v>
      </c>
      <c r="I86" t="inlineStr">
        <is>
          <t>400001</t>
        </is>
      </c>
      <c r="J86" t="inlineStr">
        <is>
          <t>ТСЭМ Московской обл., 400001, приказ Минстроя России №675/пр от 28.02.2017 № 264/пр</t>
        </is>
      </c>
      <c r="K86" t="inlineStr">
        <is>
          <t>Автомобили бортовые, грузоподъемность до 5 т</t>
        </is>
      </c>
      <c r="L86" t="n">
        <v>1368</v>
      </c>
      <c r="N86" t="n">
        <v>1011</v>
      </c>
      <c r="O86" t="inlineStr">
        <is>
          <t>маш.-ч</t>
        </is>
      </c>
      <c r="P86" t="inlineStr">
        <is>
          <t>маш.-ч</t>
        </is>
      </c>
      <c r="Q86" t="n">
        <v>1</v>
      </c>
      <c r="X86" t="n">
        <v>0.01</v>
      </c>
      <c r="Y86" t="n">
        <v>0</v>
      </c>
      <c r="Z86" t="n">
        <v>87.17</v>
      </c>
      <c r="AA86" t="n">
        <v>11.6</v>
      </c>
      <c r="AB86" t="n">
        <v>0</v>
      </c>
      <c r="AC86" t="n">
        <v>0</v>
      </c>
      <c r="AD86" t="n">
        <v>1</v>
      </c>
      <c r="AE86" t="n">
        <v>0</v>
      </c>
      <c r="AF86" t="inlineStr"/>
      <c r="AG86" t="n">
        <v>0.01</v>
      </c>
      <c r="AH86" t="n">
        <v>2</v>
      </c>
      <c r="AI86" t="n">
        <v>78869693</v>
      </c>
      <c r="AJ86" t="n">
        <v>90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ROW(Source!A199)</f>
        <v/>
      </c>
      <c r="B87" t="n">
        <v>78869699</v>
      </c>
      <c r="C87" t="n">
        <v>78869691</v>
      </c>
      <c r="D87" t="n">
        <v>29110139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101-1703</t>
        </is>
      </c>
      <c r="J87" t="inlineStr">
        <is>
          <t>ТССЦ Московской обл., 101-1703, приказ Минстроя России №675/пр от 28.02.2017 № 254/пр</t>
        </is>
      </c>
      <c r="K87" t="inlineStr">
        <is>
          <t>Прокладки резиновые (пластина техническая прессованная)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X87" t="n">
        <v>2</v>
      </c>
      <c r="Y87" t="n">
        <v>23.09</v>
      </c>
      <c r="Z87" t="n">
        <v>0</v>
      </c>
      <c r="AA87" t="n">
        <v>0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2</v>
      </c>
      <c r="AH87" t="n">
        <v>2</v>
      </c>
      <c r="AI87" t="n">
        <v>78869694</v>
      </c>
      <c r="AJ87" t="n">
        <v>91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ROW(Source!A199)</f>
        <v/>
      </c>
      <c r="B88" t="n">
        <v>78869700</v>
      </c>
      <c r="C88" t="n">
        <v>78869691</v>
      </c>
      <c r="D88" t="n">
        <v>29114240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101-2576</t>
        </is>
      </c>
      <c r="J88" t="inlineStr">
        <is>
          <t>ТССЦ Московской обл., 101-2576, приказ Минстроя России №675/пр от 28.02.2017 № 254/пр</t>
        </is>
      </c>
      <c r="K88" t="inlineStr">
        <is>
          <t>Болты с гайками и шайбами для санитарно-технических работ диаметром 16 мм</t>
        </is>
      </c>
      <c r="L88" t="n">
        <v>1348</v>
      </c>
      <c r="N88" t="n">
        <v>1009</v>
      </c>
      <c r="O88" t="inlineStr">
        <is>
          <t>т</t>
        </is>
      </c>
      <c r="P88" t="inlineStr">
        <is>
          <t>т</t>
        </is>
      </c>
      <c r="Q88" t="n">
        <v>1000</v>
      </c>
      <c r="X88" t="n">
        <v>0.005</v>
      </c>
      <c r="Y88" t="n">
        <v>14830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0.005</v>
      </c>
      <c r="AH88" t="n">
        <v>2</v>
      </c>
      <c r="AI88" t="n">
        <v>78869695</v>
      </c>
      <c r="AJ88" t="n">
        <v>92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ROW(Source!A199)</f>
        <v/>
      </c>
      <c r="B89" t="n">
        <v>78869701</v>
      </c>
      <c r="C89" t="n">
        <v>78869691</v>
      </c>
      <c r="D89" t="n">
        <v>29150040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411-0001</t>
        </is>
      </c>
      <c r="J89" t="inlineStr">
        <is>
          <t>ТССЦ Московской обл., 411-0001, приказ Минстроя России №675/пр от 28.02.2017 № 257/пр</t>
        </is>
      </c>
      <c r="K89" t="inlineStr">
        <is>
          <t>Вода</t>
        </is>
      </c>
      <c r="L89" t="n">
        <v>1339</v>
      </c>
      <c r="N89" t="n">
        <v>1007</v>
      </c>
      <c r="O89" t="inlineStr">
        <is>
          <t>м3</t>
        </is>
      </c>
      <c r="P89" t="inlineStr">
        <is>
          <t>м3</t>
        </is>
      </c>
      <c r="Q89" t="n">
        <v>1</v>
      </c>
      <c r="X89" t="n">
        <v>7.8</v>
      </c>
      <c r="Y89" t="n">
        <v>2.44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7.8</v>
      </c>
      <c r="AH89" t="n">
        <v>2</v>
      </c>
      <c r="AI89" t="n">
        <v>78869696</v>
      </c>
      <c r="AJ89" t="n">
        <v>93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ROW(Source!A200)</f>
        <v/>
      </c>
      <c r="B90" t="n">
        <v>78869706</v>
      </c>
      <c r="C90" t="n">
        <v>78869702</v>
      </c>
      <c r="D90" t="n">
        <v>18407150</v>
      </c>
      <c r="E90" t="n">
        <v>1</v>
      </c>
      <c r="F90" t="n">
        <v>1</v>
      </c>
      <c r="G90" t="n">
        <v>1</v>
      </c>
      <c r="H90" t="n">
        <v>1</v>
      </c>
      <c r="I90" t="inlineStr">
        <is>
          <t>1-1030-90</t>
        </is>
      </c>
      <c r="J90" t="inlineStr"/>
      <c r="K90" t="inlineStr">
        <is>
          <t>Рабочий строитель среднего разряда 3</t>
        </is>
      </c>
      <c r="L90" t="n">
        <v>1369</v>
      </c>
      <c r="N90" t="n">
        <v>1013</v>
      </c>
      <c r="O90" t="inlineStr">
        <is>
          <t>чел.-ч</t>
        </is>
      </c>
      <c r="P90" t="inlineStr">
        <is>
          <t>чел.-ч</t>
        </is>
      </c>
      <c r="Q90" t="n">
        <v>1</v>
      </c>
      <c r="X90" t="n">
        <v>13.9</v>
      </c>
      <c r="Y90" t="n">
        <v>0</v>
      </c>
      <c r="Z90" t="n">
        <v>0</v>
      </c>
      <c r="AA90" t="n">
        <v>0</v>
      </c>
      <c r="AB90" t="n">
        <v>8.529999999999999</v>
      </c>
      <c r="AC90" t="n">
        <v>0</v>
      </c>
      <c r="AD90" t="n">
        <v>1</v>
      </c>
      <c r="AE90" t="n">
        <v>1</v>
      </c>
      <c r="AF90" t="inlineStr"/>
      <c r="AG90" t="n">
        <v>13.9</v>
      </c>
      <c r="AH90" t="n">
        <v>2</v>
      </c>
      <c r="AI90" t="n">
        <v>78869703</v>
      </c>
      <c r="AJ90" t="n">
        <v>94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ROW(Source!A200)</f>
        <v/>
      </c>
      <c r="B91" t="n">
        <v>78869707</v>
      </c>
      <c r="C91" t="n">
        <v>78869702</v>
      </c>
      <c r="D91" t="n">
        <v>29169821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509-0696</t>
        </is>
      </c>
      <c r="J91" t="inlineStr">
        <is>
          <t>ТССЦ Московской обл., 509-0696, приказ Минстроя России №675/пр от 28.02.2017 № 258/пр</t>
        </is>
      </c>
      <c r="K91" t="inlineStr">
        <is>
          <t>Лампы люминесцентные ртутные низкого давления типа ЛБ, ЛД, ЛДЦ, ЛТВ, ЛБХ 20</t>
        </is>
      </c>
      <c r="L91" t="n">
        <v>1358</v>
      </c>
      <c r="N91" t="n">
        <v>1010</v>
      </c>
      <c r="O91" t="inlineStr">
        <is>
          <t>10 шт.</t>
        </is>
      </c>
      <c r="P91" t="inlineStr">
        <is>
          <t>10 шт.</t>
        </is>
      </c>
      <c r="Q91" t="n">
        <v>10</v>
      </c>
      <c r="X91" t="n">
        <v>10</v>
      </c>
      <c r="Y91" t="n">
        <v>85.2</v>
      </c>
      <c r="Z91" t="n">
        <v>0</v>
      </c>
      <c r="AA91" t="n">
        <v>0</v>
      </c>
      <c r="AB91" t="n">
        <v>0</v>
      </c>
      <c r="AC91" t="n">
        <v>0</v>
      </c>
      <c r="AD91" t="n">
        <v>1</v>
      </c>
      <c r="AE91" t="n">
        <v>0</v>
      </c>
      <c r="AF91" t="inlineStr"/>
      <c r="AG91" t="n">
        <v>10</v>
      </c>
      <c r="AH91" t="n">
        <v>2</v>
      </c>
      <c r="AI91" t="n">
        <v>78869704</v>
      </c>
      <c r="AJ91" t="n">
        <v>95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ROW(Source!A202)</f>
        <v/>
      </c>
      <c r="B92" t="n">
        <v>78869718</v>
      </c>
      <c r="C92" t="n">
        <v>78869709</v>
      </c>
      <c r="D92" t="n">
        <v>18409850</v>
      </c>
      <c r="E92" t="n">
        <v>1</v>
      </c>
      <c r="F92" t="n">
        <v>1</v>
      </c>
      <c r="G92" t="n">
        <v>1</v>
      </c>
      <c r="H92" t="n">
        <v>1</v>
      </c>
      <c r="I92" t="inlineStr">
        <is>
          <t>1-1035-90</t>
        </is>
      </c>
      <c r="J92" t="inlineStr"/>
      <c r="K92" t="inlineStr">
        <is>
          <t>Рабочий строитель среднего разряда 3,5</t>
        </is>
      </c>
      <c r="L92" t="n">
        <v>1369</v>
      </c>
      <c r="N92" t="n">
        <v>1013</v>
      </c>
      <c r="O92" t="inlineStr">
        <is>
          <t>чел.-ч</t>
        </is>
      </c>
      <c r="P92" t="inlineStr">
        <is>
          <t>чел.-ч</t>
        </is>
      </c>
      <c r="Q92" t="n">
        <v>1</v>
      </c>
      <c r="X92" t="n">
        <v>81</v>
      </c>
      <c r="Y92" t="n">
        <v>0</v>
      </c>
      <c r="Z92" t="n">
        <v>0</v>
      </c>
      <c r="AA92" t="n">
        <v>0</v>
      </c>
      <c r="AB92" t="n">
        <v>9.07</v>
      </c>
      <c r="AC92" t="n">
        <v>0</v>
      </c>
      <c r="AD92" t="n">
        <v>1</v>
      </c>
      <c r="AE92" t="n">
        <v>1</v>
      </c>
      <c r="AF92" t="inlineStr"/>
      <c r="AG92" t="n">
        <v>81</v>
      </c>
      <c r="AH92" t="n">
        <v>2</v>
      </c>
      <c r="AI92" t="n">
        <v>78869710</v>
      </c>
      <c r="AJ92" t="n">
        <v>97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ROW(Source!A202)</f>
        <v/>
      </c>
      <c r="B93" t="n">
        <v>78869719</v>
      </c>
      <c r="C93" t="n">
        <v>78869709</v>
      </c>
      <c r="D93" t="n">
        <v>29174913</v>
      </c>
      <c r="E93" t="n">
        <v>1</v>
      </c>
      <c r="F93" t="n">
        <v>1</v>
      </c>
      <c r="G93" t="n">
        <v>1</v>
      </c>
      <c r="H93" t="n">
        <v>2</v>
      </c>
      <c r="I93" t="inlineStr">
        <is>
          <t>400001</t>
        </is>
      </c>
      <c r="J93" t="inlineStr">
        <is>
          <t>ТСЭМ Московской обл., 400001, приказ Минстроя России №675/пр от 28.02.2017 № 264/пр</t>
        </is>
      </c>
      <c r="K93" t="inlineStr">
        <is>
          <t>Автомобили бортовые, грузоподъемность до 5 т</t>
        </is>
      </c>
      <c r="L93" t="n">
        <v>1368</v>
      </c>
      <c r="N93" t="n">
        <v>1011</v>
      </c>
      <c r="O93" t="inlineStr">
        <is>
          <t>маш.-ч</t>
        </is>
      </c>
      <c r="P93" t="inlineStr">
        <is>
          <t>маш.-ч</t>
        </is>
      </c>
      <c r="Q93" t="n">
        <v>1</v>
      </c>
      <c r="X93" t="n">
        <v>0.05</v>
      </c>
      <c r="Y93" t="n">
        <v>0</v>
      </c>
      <c r="Z93" t="n">
        <v>87.17</v>
      </c>
      <c r="AA93" t="n">
        <v>11.6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0.05</v>
      </c>
      <c r="AH93" t="n">
        <v>2</v>
      </c>
      <c r="AI93" t="n">
        <v>78869711</v>
      </c>
      <c r="AJ93" t="n">
        <v>98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ROW(Source!A202)</f>
        <v/>
      </c>
      <c r="B94" t="n">
        <v>78869720</v>
      </c>
      <c r="C94" t="n">
        <v>78869709</v>
      </c>
      <c r="D94" t="n">
        <v>29110398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101-0388</t>
        </is>
      </c>
      <c r="J94" t="inlineStr">
        <is>
          <t>ТССЦ Московской обл., 101-0388, приказ Минстроя России №675/пр от 28.02.2017 № 254/пр</t>
        </is>
      </c>
      <c r="K94" t="inlineStr">
        <is>
          <t>Краски масляные земляные марки МА-0115 мумия, сурик железный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0.0014</v>
      </c>
      <c r="Y94" t="n">
        <v>15118.99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0.0014</v>
      </c>
      <c r="AH94" t="n">
        <v>2</v>
      </c>
      <c r="AI94" t="n">
        <v>78869712</v>
      </c>
      <c r="AJ94" t="n">
        <v>99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ROW(Source!A202)</f>
        <v/>
      </c>
      <c r="B95" t="n">
        <v>78869721</v>
      </c>
      <c r="C95" t="n">
        <v>78869709</v>
      </c>
      <c r="D95" t="n">
        <v>29110573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101-0628</t>
        </is>
      </c>
      <c r="J95" t="inlineStr">
        <is>
          <t>ТССЦ Московской обл., 101-0628, приказ Минстроя России №675/пр от 28.02.2017 № 254/пр</t>
        </is>
      </c>
      <c r="K95" t="inlineStr">
        <is>
          <t>Олифа комбинированная, марки К-3</t>
        </is>
      </c>
      <c r="L95" t="n">
        <v>1348</v>
      </c>
      <c r="N95" t="n">
        <v>1009</v>
      </c>
      <c r="O95" t="inlineStr">
        <is>
          <t>т</t>
        </is>
      </c>
      <c r="P95" t="inlineStr">
        <is>
          <t>т</t>
        </is>
      </c>
      <c r="Q95" t="n">
        <v>1000</v>
      </c>
      <c r="X95" t="n">
        <v>0.0007</v>
      </c>
      <c r="Y95" t="n">
        <v>16950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0.0007</v>
      </c>
      <c r="AH95" t="n">
        <v>2</v>
      </c>
      <c r="AI95" t="n">
        <v>78869713</v>
      </c>
      <c r="AJ95" t="n">
        <v>100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ROW(Source!A202)</f>
        <v/>
      </c>
      <c r="B96" t="n">
        <v>78869722</v>
      </c>
      <c r="C96" t="n">
        <v>78869709</v>
      </c>
      <c r="D96" t="n">
        <v>29107963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101-1669</t>
        </is>
      </c>
      <c r="J96" t="inlineStr">
        <is>
          <t>ТССЦ Московской обл., 101-1669, приказ Минстроя России №675/пр от 28.02.2017 № 254/пр</t>
        </is>
      </c>
      <c r="K96" t="inlineStr">
        <is>
          <t>Очес льняной</t>
        </is>
      </c>
      <c r="L96" t="n">
        <v>1346</v>
      </c>
      <c r="N96" t="n">
        <v>1009</v>
      </c>
      <c r="O96" t="inlineStr">
        <is>
          <t>кг</t>
        </is>
      </c>
      <c r="P96" t="inlineStr">
        <is>
          <t>кг</t>
        </is>
      </c>
      <c r="Q96" t="n">
        <v>1</v>
      </c>
      <c r="X96" t="n">
        <v>0.7</v>
      </c>
      <c r="Y96" t="n">
        <v>37.29</v>
      </c>
      <c r="Z96" t="n">
        <v>0</v>
      </c>
      <c r="AA96" t="n">
        <v>0</v>
      </c>
      <c r="AB96" t="n">
        <v>0</v>
      </c>
      <c r="AC96" t="n">
        <v>0</v>
      </c>
      <c r="AD96" t="n">
        <v>1</v>
      </c>
      <c r="AE96" t="n">
        <v>0</v>
      </c>
      <c r="AF96" t="inlineStr"/>
      <c r="AG96" t="n">
        <v>0.7</v>
      </c>
      <c r="AH96" t="n">
        <v>2</v>
      </c>
      <c r="AI96" t="n">
        <v>78869714</v>
      </c>
      <c r="AJ96" t="n">
        <v>101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ROW(Source!A202)</f>
        <v/>
      </c>
      <c r="B97" t="n">
        <v>78869723</v>
      </c>
      <c r="C97" t="n">
        <v>78869709</v>
      </c>
      <c r="D97" t="n">
        <v>29142465</v>
      </c>
      <c r="E97" t="n">
        <v>1</v>
      </c>
      <c r="F97" t="n">
        <v>1</v>
      </c>
      <c r="G97" t="n">
        <v>1</v>
      </c>
      <c r="H97" t="n">
        <v>3</v>
      </c>
      <c r="I97" t="inlineStr">
        <is>
          <t>302-1342</t>
        </is>
      </c>
      <c r="J97" t="inlineStr">
        <is>
          <t>ТССЦ Московской обл., 302-1342, приказ Минстроя России №675/пр от 28.02.2017 № 256/пр</t>
        </is>
      </c>
      <c r="K97" t="inlineStr">
        <is>
          <t>Вентили проходные муфтовые 15кч18п для воды давлением 1,6 МПа (16 кгс/см2), диаметром 20 мм</t>
        </is>
      </c>
      <c r="L97" t="n">
        <v>1354</v>
      </c>
      <c r="N97" t="n">
        <v>1010</v>
      </c>
      <c r="O97" t="inlineStr">
        <is>
          <t>шт.</t>
        </is>
      </c>
      <c r="P97" t="inlineStr">
        <is>
          <t>шт.</t>
        </is>
      </c>
      <c r="Q97" t="n">
        <v>1</v>
      </c>
      <c r="X97" t="n">
        <v>100</v>
      </c>
      <c r="Y97" t="n">
        <v>21.81</v>
      </c>
      <c r="Z97" t="n">
        <v>0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100</v>
      </c>
      <c r="AH97" t="n">
        <v>2</v>
      </c>
      <c r="AI97" t="n">
        <v>78869716</v>
      </c>
      <c r="AJ97" t="n">
        <v>103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ROW(Source!A202)</f>
        <v/>
      </c>
      <c r="B98" t="n">
        <v>78869724</v>
      </c>
      <c r="C98" t="n">
        <v>78869709</v>
      </c>
      <c r="D98" t="n">
        <v>29164350</v>
      </c>
      <c r="E98" t="n">
        <v>1</v>
      </c>
      <c r="F98" t="n">
        <v>1</v>
      </c>
      <c r="G98" t="n">
        <v>1</v>
      </c>
      <c r="H98" t="n">
        <v>3</v>
      </c>
      <c r="I98" t="inlineStr">
        <is>
          <t>509-9899</t>
        </is>
      </c>
      <c r="J98" t="inlineStr">
        <is>
          <t>ТССЦ Московской обл., 509-9899, приказ Минстроя России №675/пр от 28.02.2017 № 258/пр</t>
        </is>
      </c>
      <c r="K98" t="inlineStr">
        <is>
          <t>Строительный мусор и масса возвратных материалов</t>
        </is>
      </c>
      <c r="L98" t="n">
        <v>1348</v>
      </c>
      <c r="N98" t="n">
        <v>1009</v>
      </c>
      <c r="O98" t="inlineStr">
        <is>
          <t>т</t>
        </is>
      </c>
      <c r="P98" t="inlineStr">
        <is>
          <t>т</t>
        </is>
      </c>
      <c r="Q98" t="n">
        <v>1000</v>
      </c>
      <c r="X98" t="n">
        <v>0.04</v>
      </c>
      <c r="Y98" t="n">
        <v>0</v>
      </c>
      <c r="Z98" t="n">
        <v>0</v>
      </c>
      <c r="AA98" t="n">
        <v>0</v>
      </c>
      <c r="AB98" t="n">
        <v>0</v>
      </c>
      <c r="AC98" t="n">
        <v>0</v>
      </c>
      <c r="AD98" t="n">
        <v>0</v>
      </c>
      <c r="AE98" t="n">
        <v>0</v>
      </c>
      <c r="AF98" t="inlineStr"/>
      <c r="AG98" t="n">
        <v>0.04</v>
      </c>
      <c r="AH98" t="n">
        <v>2</v>
      </c>
      <c r="AI98" t="n">
        <v>78869717</v>
      </c>
      <c r="AJ98" t="n">
        <v>104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ROW(Source!A205)</f>
        <v/>
      </c>
      <c r="B99" t="n">
        <v>78869734</v>
      </c>
      <c r="C99" t="n">
        <v>78869727</v>
      </c>
      <c r="D99" t="n">
        <v>18442827</v>
      </c>
      <c r="E99" t="n">
        <v>1</v>
      </c>
      <c r="F99" t="n">
        <v>1</v>
      </c>
      <c r="G99" t="n">
        <v>1</v>
      </c>
      <c r="H99" t="n">
        <v>1</v>
      </c>
      <c r="I99" t="inlineStr">
        <is>
          <t>1-1053-90</t>
        </is>
      </c>
      <c r="J99" t="inlineStr"/>
      <c r="K99" t="inlineStr">
        <is>
          <t>Рабочий строитель среднего разряда 5,3</t>
        </is>
      </c>
      <c r="L99" t="n">
        <v>1369</v>
      </c>
      <c r="N99" t="n">
        <v>1013</v>
      </c>
      <c r="O99" t="inlineStr">
        <is>
          <t>чел.-ч</t>
        </is>
      </c>
      <c r="P99" t="inlineStr">
        <is>
          <t>чел.-ч</t>
        </is>
      </c>
      <c r="Q99" t="n">
        <v>1</v>
      </c>
      <c r="X99" t="n">
        <v>5.01</v>
      </c>
      <c r="Y99" t="n">
        <v>0</v>
      </c>
      <c r="Z99" t="n">
        <v>0</v>
      </c>
      <c r="AA99" t="n">
        <v>0</v>
      </c>
      <c r="AB99" t="n">
        <v>11.64</v>
      </c>
      <c r="AC99" t="n">
        <v>0</v>
      </c>
      <c r="AD99" t="n">
        <v>1</v>
      </c>
      <c r="AE99" t="n">
        <v>1</v>
      </c>
      <c r="AF99" t="inlineStr">
        <is>
          <t>)*5</t>
        </is>
      </c>
      <c r="AG99" t="n">
        <v>25.05</v>
      </c>
      <c r="AH99" t="n">
        <v>2</v>
      </c>
      <c r="AI99" t="n">
        <v>78869728</v>
      </c>
      <c r="AJ99" t="n">
        <v>105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ROW(Source!A205)</f>
        <v/>
      </c>
      <c r="B100" t="n">
        <v>78869735</v>
      </c>
      <c r="C100" t="n">
        <v>78869727</v>
      </c>
      <c r="D100" t="n">
        <v>29172703</v>
      </c>
      <c r="E100" t="n">
        <v>1</v>
      </c>
      <c r="F100" t="n">
        <v>1</v>
      </c>
      <c r="G100" t="n">
        <v>1</v>
      </c>
      <c r="H100" t="n">
        <v>2</v>
      </c>
      <c r="I100" t="inlineStr">
        <is>
          <t>042900</t>
        </is>
      </c>
      <c r="J100" t="inlineStr">
        <is>
          <t>ТСЭМ Московской обл., 042900, приказ Минстроя России №675/пр от 28.02.2017 № 264/пр</t>
        </is>
      </c>
      <c r="K10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0" t="n">
        <v>1368</v>
      </c>
      <c r="N100" t="n">
        <v>1011</v>
      </c>
      <c r="O100" t="inlineStr">
        <is>
          <t>маш.-ч</t>
        </is>
      </c>
      <c r="P100" t="inlineStr">
        <is>
          <t>маш.-ч</t>
        </is>
      </c>
      <c r="Q100" t="n">
        <v>1</v>
      </c>
      <c r="X100" t="n">
        <v>1.5</v>
      </c>
      <c r="Y100" t="n">
        <v>0</v>
      </c>
      <c r="Z100" t="n">
        <v>29.67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>
        <is>
          <t>)*5</t>
        </is>
      </c>
      <c r="AG100" t="n">
        <v>7.5</v>
      </c>
      <c r="AH100" t="n">
        <v>2</v>
      </c>
      <c r="AI100" t="n">
        <v>78869729</v>
      </c>
      <c r="AJ100" t="n">
        <v>106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ROW(Source!A205)</f>
        <v/>
      </c>
      <c r="B101" t="n">
        <v>78869736</v>
      </c>
      <c r="C101" t="n">
        <v>78869727</v>
      </c>
      <c r="D101" t="n">
        <v>29110398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101-0388</t>
        </is>
      </c>
      <c r="J101" t="inlineStr">
        <is>
          <t>ТССЦ Московской обл., 101-0388, приказ Минстроя России №675/пр от 28.02.2017 № 254/пр</t>
        </is>
      </c>
      <c r="K101" t="inlineStr">
        <is>
          <t>Краски масляные земляные марки МА-0115 мумия, сурик железный</t>
        </is>
      </c>
      <c r="L101" t="n">
        <v>1348</v>
      </c>
      <c r="N101" t="n">
        <v>1009</v>
      </c>
      <c r="O101" t="inlineStr">
        <is>
          <t>т</t>
        </is>
      </c>
      <c r="P101" t="inlineStr">
        <is>
          <t>т</t>
        </is>
      </c>
      <c r="Q101" t="n">
        <v>1000</v>
      </c>
      <c r="X101" t="n">
        <v>5e-05</v>
      </c>
      <c r="Y101" t="n">
        <v>15118.99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>
        <is>
          <t>)*5</t>
        </is>
      </c>
      <c r="AG101" t="n">
        <v>0.00025</v>
      </c>
      <c r="AH101" t="n">
        <v>2</v>
      </c>
      <c r="AI101" t="n">
        <v>78869730</v>
      </c>
      <c r="AJ101" t="n">
        <v>107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ROW(Source!A205)</f>
        <v/>
      </c>
      <c r="B102" t="n">
        <v>78869737</v>
      </c>
      <c r="C102" t="n">
        <v>78869727</v>
      </c>
      <c r="D102" t="n">
        <v>29110573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101-0628</t>
        </is>
      </c>
      <c r="J102" t="inlineStr">
        <is>
          <t>ТССЦ Московской обл., 101-0628, приказ Минстроя России №675/пр от 28.02.2017 № 254/пр</t>
        </is>
      </c>
      <c r="K102" t="inlineStr">
        <is>
          <t>Олифа комбинированная, марки К-3</t>
        </is>
      </c>
      <c r="L102" t="n">
        <v>1348</v>
      </c>
      <c r="N102" t="n">
        <v>1009</v>
      </c>
      <c r="O102" t="inlineStr">
        <is>
          <t>т</t>
        </is>
      </c>
      <c r="P102" t="inlineStr">
        <is>
          <t>т</t>
        </is>
      </c>
      <c r="Q102" t="n">
        <v>1000</v>
      </c>
      <c r="X102" t="n">
        <v>2e-05</v>
      </c>
      <c r="Y102" t="n">
        <v>16950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>
        <is>
          <t>)*5</t>
        </is>
      </c>
      <c r="AG102" t="n">
        <v>0.0001</v>
      </c>
      <c r="AH102" t="n">
        <v>2</v>
      </c>
      <c r="AI102" t="n">
        <v>78869731</v>
      </c>
      <c r="AJ102" t="n">
        <v>108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ROW(Source!A205)</f>
        <v/>
      </c>
      <c r="B103" t="n">
        <v>78869738</v>
      </c>
      <c r="C103" t="n">
        <v>78869727</v>
      </c>
      <c r="D103" t="n">
        <v>29107963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101-1669</t>
        </is>
      </c>
      <c r="J103" t="inlineStr">
        <is>
          <t>ТССЦ Московской обл., 101-1669, приказ Минстроя России №675/пр от 28.02.2017 № 254/пр</t>
        </is>
      </c>
      <c r="K103" t="inlineStr">
        <is>
          <t>Очес льняной</t>
        </is>
      </c>
      <c r="L103" t="n">
        <v>1346</v>
      </c>
      <c r="N103" t="n">
        <v>1009</v>
      </c>
      <c r="O103" t="inlineStr">
        <is>
          <t>кг</t>
        </is>
      </c>
      <c r="P103" t="inlineStr">
        <is>
          <t>кг</t>
        </is>
      </c>
      <c r="Q103" t="n">
        <v>1</v>
      </c>
      <c r="X103" t="n">
        <v>0.02</v>
      </c>
      <c r="Y103" t="n">
        <v>37.29</v>
      </c>
      <c r="Z103" t="n">
        <v>0</v>
      </c>
      <c r="AA103" t="n">
        <v>0</v>
      </c>
      <c r="AB103" t="n">
        <v>0</v>
      </c>
      <c r="AC103" t="n">
        <v>0</v>
      </c>
      <c r="AD103" t="n">
        <v>1</v>
      </c>
      <c r="AE103" t="n">
        <v>0</v>
      </c>
      <c r="AF103" t="inlineStr">
        <is>
          <t>)*5</t>
        </is>
      </c>
      <c r="AG103" t="n">
        <v>0.1</v>
      </c>
      <c r="AH103" t="n">
        <v>2</v>
      </c>
      <c r="AI103" t="n">
        <v>78869732</v>
      </c>
      <c r="AJ103" t="n">
        <v>109</v>
      </c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ROW(Source!A205)</f>
        <v/>
      </c>
      <c r="B104" t="n">
        <v>78869739</v>
      </c>
      <c r="C104" t="n">
        <v>78869727</v>
      </c>
      <c r="D104" t="n">
        <v>29150040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411-0001</t>
        </is>
      </c>
      <c r="J104" t="inlineStr">
        <is>
          <t>ТССЦ Московской обл., 411-0001, приказ Минстроя России №675/пр от 28.02.2017 № 257/пр</t>
        </is>
      </c>
      <c r="K104" t="inlineStr">
        <is>
          <t>Вода</t>
        </is>
      </c>
      <c r="L104" t="n">
        <v>1339</v>
      </c>
      <c r="N104" t="n">
        <v>1007</v>
      </c>
      <c r="O104" t="inlineStr">
        <is>
          <t>м3</t>
        </is>
      </c>
      <c r="P104" t="inlineStr">
        <is>
          <t>м3</t>
        </is>
      </c>
      <c r="Q104" t="n">
        <v>1</v>
      </c>
      <c r="X104" t="n">
        <v>1</v>
      </c>
      <c r="Y104" t="n">
        <v>2.44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>
        <is>
          <t>)*5</t>
        </is>
      </c>
      <c r="AG104" t="n">
        <v>5</v>
      </c>
      <c r="AH104" t="n">
        <v>2</v>
      </c>
      <c r="AI104" t="n">
        <v>78869733</v>
      </c>
      <c r="AJ104" t="n">
        <v>110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ROW(Source!A244)</f>
        <v/>
      </c>
      <c r="B105" t="n">
        <v>78869809</v>
      </c>
      <c r="C105" t="n">
        <v>78869803</v>
      </c>
      <c r="D105" t="n">
        <v>18408291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1-1025-90</t>
        </is>
      </c>
      <c r="J105" t="inlineStr"/>
      <c r="K105" t="inlineStr">
        <is>
          <t>Рабочий строитель среднего разряда 2,5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X105" t="n">
        <v>32.2</v>
      </c>
      <c r="Y105" t="n">
        <v>0</v>
      </c>
      <c r="Z105" t="n">
        <v>0</v>
      </c>
      <c r="AA105" t="n">
        <v>0</v>
      </c>
      <c r="AB105" t="n">
        <v>8.17</v>
      </c>
      <c r="AC105" t="n">
        <v>0</v>
      </c>
      <c r="AD105" t="n">
        <v>1</v>
      </c>
      <c r="AE105" t="n">
        <v>1</v>
      </c>
      <c r="AF105" t="inlineStr"/>
      <c r="AG105" t="n">
        <v>32.2</v>
      </c>
      <c r="AH105" t="n">
        <v>2</v>
      </c>
      <c r="AI105" t="n">
        <v>78869804</v>
      </c>
      <c r="AJ105" t="n">
        <v>111</v>
      </c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ROW(Source!A244)</f>
        <v/>
      </c>
      <c r="B106" t="n">
        <v>78869810</v>
      </c>
      <c r="C106" t="n">
        <v>78869803</v>
      </c>
      <c r="D106" t="n">
        <v>29174913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400001</t>
        </is>
      </c>
      <c r="J106" t="inlineStr">
        <is>
          <t>ТСЭМ Московской обл., 400001, приказ Минстроя России №675/пр от 28.02.2017 № 264/пр</t>
        </is>
      </c>
      <c r="K106" t="inlineStr">
        <is>
          <t>Автомобили бортовые, грузоподъемность до 5 т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X106" t="n">
        <v>0.01</v>
      </c>
      <c r="Y106" t="n">
        <v>0</v>
      </c>
      <c r="Z106" t="n">
        <v>87.17</v>
      </c>
      <c r="AA106" t="n">
        <v>11.6</v>
      </c>
      <c r="AB106" t="n">
        <v>0</v>
      </c>
      <c r="AC106" t="n">
        <v>0</v>
      </c>
      <c r="AD106" t="n">
        <v>1</v>
      </c>
      <c r="AE106" t="n">
        <v>0</v>
      </c>
      <c r="AF106" t="inlineStr"/>
      <c r="AG106" t="n">
        <v>0.01</v>
      </c>
      <c r="AH106" t="n">
        <v>2</v>
      </c>
      <c r="AI106" t="n">
        <v>78869805</v>
      </c>
      <c r="AJ106" t="n">
        <v>112</v>
      </c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ROW(Source!A244)</f>
        <v/>
      </c>
      <c r="B107" t="n">
        <v>78869811</v>
      </c>
      <c r="C107" t="n">
        <v>78869803</v>
      </c>
      <c r="D107" t="n">
        <v>29110139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101-1703</t>
        </is>
      </c>
      <c r="J107" t="inlineStr">
        <is>
          <t>ТССЦ Московской обл., 101-1703, приказ Минстроя России №675/пр от 28.02.2017 № 254/пр</t>
        </is>
      </c>
      <c r="K107" t="inlineStr">
        <is>
          <t>Прокладки резиновые (пластина техническая прессованная)</t>
        </is>
      </c>
      <c r="L107" t="n">
        <v>1346</v>
      </c>
      <c r="N107" t="n">
        <v>1009</v>
      </c>
      <c r="O107" t="inlineStr">
        <is>
          <t>кг</t>
        </is>
      </c>
      <c r="P107" t="inlineStr">
        <is>
          <t>кг</t>
        </is>
      </c>
      <c r="Q107" t="n">
        <v>1</v>
      </c>
      <c r="X107" t="n">
        <v>2</v>
      </c>
      <c r="Y107" t="n">
        <v>23.09</v>
      </c>
      <c r="Z107" t="n">
        <v>0</v>
      </c>
      <c r="AA107" t="n">
        <v>0</v>
      </c>
      <c r="AB107" t="n">
        <v>0</v>
      </c>
      <c r="AC107" t="n">
        <v>0</v>
      </c>
      <c r="AD107" t="n">
        <v>1</v>
      </c>
      <c r="AE107" t="n">
        <v>0</v>
      </c>
      <c r="AF107" t="inlineStr"/>
      <c r="AG107" t="n">
        <v>2</v>
      </c>
      <c r="AH107" t="n">
        <v>2</v>
      </c>
      <c r="AI107" t="n">
        <v>78869806</v>
      </c>
      <c r="AJ107" t="n">
        <v>113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ROW(Source!A244)</f>
        <v/>
      </c>
      <c r="B108" t="n">
        <v>78869812</v>
      </c>
      <c r="C108" t="n">
        <v>78869803</v>
      </c>
      <c r="D108" t="n">
        <v>29114240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101-2576</t>
        </is>
      </c>
      <c r="J108" t="inlineStr">
        <is>
          <t>ТССЦ Московской обл., 101-2576, приказ Минстроя России №675/пр от 28.02.2017 № 254/пр</t>
        </is>
      </c>
      <c r="K108" t="inlineStr">
        <is>
          <t>Болты с гайками и шайбами для санитарно-технических работ диаметром 16 мм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X108" t="n">
        <v>0.005</v>
      </c>
      <c r="Y108" t="n">
        <v>14830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0</v>
      </c>
      <c r="AF108" t="inlineStr"/>
      <c r="AG108" t="n">
        <v>0.005</v>
      </c>
      <c r="AH108" t="n">
        <v>2</v>
      </c>
      <c r="AI108" t="n">
        <v>78869807</v>
      </c>
      <c r="AJ108" t="n">
        <v>114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ROW(Source!A244)</f>
        <v/>
      </c>
      <c r="B109" t="n">
        <v>78869813</v>
      </c>
      <c r="C109" t="n">
        <v>78869803</v>
      </c>
      <c r="D109" t="n">
        <v>29150040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411-0001</t>
        </is>
      </c>
      <c r="J109" t="inlineStr">
        <is>
          <t>ТССЦ Московской обл., 411-0001, приказ Минстроя России №675/пр от 28.02.2017 № 257/пр</t>
        </is>
      </c>
      <c r="K109" t="inlineStr">
        <is>
          <t>Вода</t>
        </is>
      </c>
      <c r="L109" t="n">
        <v>1339</v>
      </c>
      <c r="N109" t="n">
        <v>1007</v>
      </c>
      <c r="O109" t="inlineStr">
        <is>
          <t>м3</t>
        </is>
      </c>
      <c r="P109" t="inlineStr">
        <is>
          <t>м3</t>
        </is>
      </c>
      <c r="Q109" t="n">
        <v>1</v>
      </c>
      <c r="X109" t="n">
        <v>7.8</v>
      </c>
      <c r="Y109" t="n">
        <v>2.44</v>
      </c>
      <c r="Z109" t="n">
        <v>0</v>
      </c>
      <c r="AA109" t="n">
        <v>0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7.8</v>
      </c>
      <c r="AH109" t="n">
        <v>2</v>
      </c>
      <c r="AI109" t="n">
        <v>78869808</v>
      </c>
      <c r="AJ109" t="n">
        <v>115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ROW(Source!A245)</f>
        <v/>
      </c>
      <c r="B110" t="n">
        <v>78869818</v>
      </c>
      <c r="C110" t="n">
        <v>78869814</v>
      </c>
      <c r="D110" t="n">
        <v>18407150</v>
      </c>
      <c r="E110" t="n">
        <v>1</v>
      </c>
      <c r="F110" t="n">
        <v>1</v>
      </c>
      <c r="G110" t="n">
        <v>1</v>
      </c>
      <c r="H110" t="n">
        <v>1</v>
      </c>
      <c r="I110" t="inlineStr">
        <is>
          <t>1-1030-90</t>
        </is>
      </c>
      <c r="J110" t="inlineStr"/>
      <c r="K110" t="inlineStr">
        <is>
          <t>Рабочий строитель среднего разряда 3</t>
        </is>
      </c>
      <c r="L110" t="n">
        <v>1369</v>
      </c>
      <c r="N110" t="n">
        <v>1013</v>
      </c>
      <c r="O110" t="inlineStr">
        <is>
          <t>чел.-ч</t>
        </is>
      </c>
      <c r="P110" t="inlineStr">
        <is>
          <t>чел.-ч</t>
        </is>
      </c>
      <c r="Q110" t="n">
        <v>1</v>
      </c>
      <c r="X110" t="n">
        <v>13.9</v>
      </c>
      <c r="Y110" t="n">
        <v>0</v>
      </c>
      <c r="Z110" t="n">
        <v>0</v>
      </c>
      <c r="AA110" t="n">
        <v>0</v>
      </c>
      <c r="AB110" t="n">
        <v>8.529999999999999</v>
      </c>
      <c r="AC110" t="n">
        <v>0</v>
      </c>
      <c r="AD110" t="n">
        <v>1</v>
      </c>
      <c r="AE110" t="n">
        <v>1</v>
      </c>
      <c r="AF110" t="inlineStr"/>
      <c r="AG110" t="n">
        <v>13.9</v>
      </c>
      <c r="AH110" t="n">
        <v>2</v>
      </c>
      <c r="AI110" t="n">
        <v>78869815</v>
      </c>
      <c r="AJ110" t="n">
        <v>116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ROW(Source!A245)</f>
        <v/>
      </c>
      <c r="B111" t="n">
        <v>78869819</v>
      </c>
      <c r="C111" t="n">
        <v>78869814</v>
      </c>
      <c r="D111" t="n">
        <v>29169821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509-0696</t>
        </is>
      </c>
      <c r="J111" t="inlineStr">
        <is>
          <t>ТССЦ Московской обл., 509-0696, приказ Минстроя России №675/пр от 28.02.2017 № 258/пр</t>
        </is>
      </c>
      <c r="K111" t="inlineStr">
        <is>
          <t>Лампы люминесцентные ртутные низкого давления типа ЛБ, ЛД, ЛДЦ, ЛТВ, ЛБХ 20</t>
        </is>
      </c>
      <c r="L111" t="n">
        <v>1358</v>
      </c>
      <c r="N111" t="n">
        <v>1010</v>
      </c>
      <c r="O111" t="inlineStr">
        <is>
          <t>10 шт.</t>
        </is>
      </c>
      <c r="P111" t="inlineStr">
        <is>
          <t>10 шт.</t>
        </is>
      </c>
      <c r="Q111" t="n">
        <v>10</v>
      </c>
      <c r="X111" t="n">
        <v>10</v>
      </c>
      <c r="Y111" t="n">
        <v>85.2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10</v>
      </c>
      <c r="AH111" t="n">
        <v>2</v>
      </c>
      <c r="AI111" t="n">
        <v>78869816</v>
      </c>
      <c r="AJ111" t="n">
        <v>117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ROW(Source!A247)</f>
        <v/>
      </c>
      <c r="B112" t="n">
        <v>78869830</v>
      </c>
      <c r="C112" t="n">
        <v>78869821</v>
      </c>
      <c r="D112" t="n">
        <v>18409850</v>
      </c>
      <c r="E112" t="n">
        <v>1</v>
      </c>
      <c r="F112" t="n">
        <v>1</v>
      </c>
      <c r="G112" t="n">
        <v>1</v>
      </c>
      <c r="H112" t="n">
        <v>1</v>
      </c>
      <c r="I112" t="inlineStr">
        <is>
          <t>1-1035-90</t>
        </is>
      </c>
      <c r="J112" t="inlineStr"/>
      <c r="K112" t="inlineStr">
        <is>
          <t>Рабочий строитель среднего разряда 3,5</t>
        </is>
      </c>
      <c r="L112" t="n">
        <v>1369</v>
      </c>
      <c r="N112" t="n">
        <v>1013</v>
      </c>
      <c r="O112" t="inlineStr">
        <is>
          <t>чел.-ч</t>
        </is>
      </c>
      <c r="P112" t="inlineStr">
        <is>
          <t>чел.-ч</t>
        </is>
      </c>
      <c r="Q112" t="n">
        <v>1</v>
      </c>
      <c r="X112" t="n">
        <v>81</v>
      </c>
      <c r="Y112" t="n">
        <v>0</v>
      </c>
      <c r="Z112" t="n">
        <v>0</v>
      </c>
      <c r="AA112" t="n">
        <v>0</v>
      </c>
      <c r="AB112" t="n">
        <v>9.07</v>
      </c>
      <c r="AC112" t="n">
        <v>0</v>
      </c>
      <c r="AD112" t="n">
        <v>1</v>
      </c>
      <c r="AE112" t="n">
        <v>1</v>
      </c>
      <c r="AF112" t="inlineStr"/>
      <c r="AG112" t="n">
        <v>81</v>
      </c>
      <c r="AH112" t="n">
        <v>2</v>
      </c>
      <c r="AI112" t="n">
        <v>78869822</v>
      </c>
      <c r="AJ112" t="n">
        <v>119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ROW(Source!A247)</f>
        <v/>
      </c>
      <c r="B113" t="n">
        <v>78869831</v>
      </c>
      <c r="C113" t="n">
        <v>78869821</v>
      </c>
      <c r="D113" t="n">
        <v>29174913</v>
      </c>
      <c r="E113" t="n">
        <v>1</v>
      </c>
      <c r="F113" t="n">
        <v>1</v>
      </c>
      <c r="G113" t="n">
        <v>1</v>
      </c>
      <c r="H113" t="n">
        <v>2</v>
      </c>
      <c r="I113" t="inlineStr">
        <is>
          <t>400001</t>
        </is>
      </c>
      <c r="J113" t="inlineStr">
        <is>
          <t>ТСЭМ Московской обл., 400001, приказ Минстроя России №675/пр от 28.02.2017 № 264/пр</t>
        </is>
      </c>
      <c r="K113" t="inlineStr">
        <is>
          <t>Автомобили бортовые, грузоподъемность до 5 т</t>
        </is>
      </c>
      <c r="L113" t="n">
        <v>1368</v>
      </c>
      <c r="N113" t="n">
        <v>1011</v>
      </c>
      <c r="O113" t="inlineStr">
        <is>
          <t>маш.-ч</t>
        </is>
      </c>
      <c r="P113" t="inlineStr">
        <is>
          <t>маш.-ч</t>
        </is>
      </c>
      <c r="Q113" t="n">
        <v>1</v>
      </c>
      <c r="X113" t="n">
        <v>0.05</v>
      </c>
      <c r="Y113" t="n">
        <v>0</v>
      </c>
      <c r="Z113" t="n">
        <v>87.17</v>
      </c>
      <c r="AA113" t="n">
        <v>11.6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0.05</v>
      </c>
      <c r="AH113" t="n">
        <v>2</v>
      </c>
      <c r="AI113" t="n">
        <v>78869823</v>
      </c>
      <c r="AJ113" t="n">
        <v>120</v>
      </c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ROW(Source!A247)</f>
        <v/>
      </c>
      <c r="B114" t="n">
        <v>78869832</v>
      </c>
      <c r="C114" t="n">
        <v>78869821</v>
      </c>
      <c r="D114" t="n">
        <v>29110398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101-0388</t>
        </is>
      </c>
      <c r="J114" t="inlineStr">
        <is>
          <t>ТССЦ Московской обл., 101-0388, приказ Минстроя России №675/пр от 28.02.2017 № 254/пр</t>
        </is>
      </c>
      <c r="K114" t="inlineStr">
        <is>
          <t>Краски масляные земляные марки МА-0115 мумия, сурик железный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X114" t="n">
        <v>0.0014</v>
      </c>
      <c r="Y114" t="n">
        <v>15118.99</v>
      </c>
      <c r="Z114" t="n">
        <v>0</v>
      </c>
      <c r="AA114" t="n">
        <v>0</v>
      </c>
      <c r="AB114" t="n">
        <v>0</v>
      </c>
      <c r="AC114" t="n">
        <v>0</v>
      </c>
      <c r="AD114" t="n">
        <v>1</v>
      </c>
      <c r="AE114" t="n">
        <v>0</v>
      </c>
      <c r="AF114" t="inlineStr"/>
      <c r="AG114" t="n">
        <v>0.0014</v>
      </c>
      <c r="AH114" t="n">
        <v>2</v>
      </c>
      <c r="AI114" t="n">
        <v>78869824</v>
      </c>
      <c r="AJ114" t="n">
        <v>121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ROW(Source!A247)</f>
        <v/>
      </c>
      <c r="B115" t="n">
        <v>78869833</v>
      </c>
      <c r="C115" t="n">
        <v>78869821</v>
      </c>
      <c r="D115" t="n">
        <v>29110573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101-0628</t>
        </is>
      </c>
      <c r="J115" t="inlineStr">
        <is>
          <t>ТССЦ Московской обл., 101-0628, приказ Минстроя России №675/пр от 28.02.2017 № 254/пр</t>
        </is>
      </c>
      <c r="K115" t="inlineStr">
        <is>
          <t>Олифа комбинированная, марки К-3</t>
        </is>
      </c>
      <c r="L115" t="n">
        <v>1348</v>
      </c>
      <c r="N115" t="n">
        <v>1009</v>
      </c>
      <c r="O115" t="inlineStr">
        <is>
          <t>т</t>
        </is>
      </c>
      <c r="P115" t="inlineStr">
        <is>
          <t>т</t>
        </is>
      </c>
      <c r="Q115" t="n">
        <v>1000</v>
      </c>
      <c r="X115" t="n">
        <v>0.0007</v>
      </c>
      <c r="Y115" t="n">
        <v>16950</v>
      </c>
      <c r="Z115" t="n">
        <v>0</v>
      </c>
      <c r="AA115" t="n">
        <v>0</v>
      </c>
      <c r="AB115" t="n">
        <v>0</v>
      </c>
      <c r="AC115" t="n">
        <v>0</v>
      </c>
      <c r="AD115" t="n">
        <v>1</v>
      </c>
      <c r="AE115" t="n">
        <v>0</v>
      </c>
      <c r="AF115" t="inlineStr"/>
      <c r="AG115" t="n">
        <v>0.0007</v>
      </c>
      <c r="AH115" t="n">
        <v>2</v>
      </c>
      <c r="AI115" t="n">
        <v>78869825</v>
      </c>
      <c r="AJ115" t="n">
        <v>122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ROW(Source!A247)</f>
        <v/>
      </c>
      <c r="B116" t="n">
        <v>78869834</v>
      </c>
      <c r="C116" t="n">
        <v>78869821</v>
      </c>
      <c r="D116" t="n">
        <v>29107963</v>
      </c>
      <c r="E116" t="n">
        <v>1</v>
      </c>
      <c r="F116" t="n">
        <v>1</v>
      </c>
      <c r="G116" t="n">
        <v>1</v>
      </c>
      <c r="H116" t="n">
        <v>3</v>
      </c>
      <c r="I116" t="inlineStr">
        <is>
          <t>101-1669</t>
        </is>
      </c>
      <c r="J116" t="inlineStr">
        <is>
          <t>ТССЦ Московской обл., 101-1669, приказ Минстроя России №675/пр от 28.02.2017 № 254/пр</t>
        </is>
      </c>
      <c r="K116" t="inlineStr">
        <is>
          <t>Очес льняной</t>
        </is>
      </c>
      <c r="L116" t="n">
        <v>1346</v>
      </c>
      <c r="N116" t="n">
        <v>1009</v>
      </c>
      <c r="O116" t="inlineStr">
        <is>
          <t>кг</t>
        </is>
      </c>
      <c r="P116" t="inlineStr">
        <is>
          <t>кг</t>
        </is>
      </c>
      <c r="Q116" t="n">
        <v>1</v>
      </c>
      <c r="X116" t="n">
        <v>0.7</v>
      </c>
      <c r="Y116" t="n">
        <v>37.29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0</v>
      </c>
      <c r="AF116" t="inlineStr"/>
      <c r="AG116" t="n">
        <v>0.7</v>
      </c>
      <c r="AH116" t="n">
        <v>2</v>
      </c>
      <c r="AI116" t="n">
        <v>78869826</v>
      </c>
      <c r="AJ116" t="n">
        <v>123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ROW(Source!A247)</f>
        <v/>
      </c>
      <c r="B117" t="n">
        <v>78869835</v>
      </c>
      <c r="C117" t="n">
        <v>78869821</v>
      </c>
      <c r="D117" t="n">
        <v>29142465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302-1342</t>
        </is>
      </c>
      <c r="J117" t="inlineStr">
        <is>
          <t>ТССЦ Московской обл., 302-1342, приказ Минстроя России №675/пр от 28.02.2017 № 256/пр</t>
        </is>
      </c>
      <c r="K117" t="inlineStr">
        <is>
          <t>Вентили проходные муфтовые 15кч18п для воды давлением 1,6 МПа (16 кгс/см2), диаметром 20 мм</t>
        </is>
      </c>
      <c r="L117" t="n">
        <v>1354</v>
      </c>
      <c r="N117" t="n">
        <v>1010</v>
      </c>
      <c r="O117" t="inlineStr">
        <is>
          <t>шт.</t>
        </is>
      </c>
      <c r="P117" t="inlineStr">
        <is>
          <t>шт.</t>
        </is>
      </c>
      <c r="Q117" t="n">
        <v>1</v>
      </c>
      <c r="X117" t="n">
        <v>100</v>
      </c>
      <c r="Y117" t="n">
        <v>21.81</v>
      </c>
      <c r="Z117" t="n">
        <v>0</v>
      </c>
      <c r="AA117" t="n">
        <v>0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100</v>
      </c>
      <c r="AH117" t="n">
        <v>2</v>
      </c>
      <c r="AI117" t="n">
        <v>78869828</v>
      </c>
      <c r="AJ117" t="n">
        <v>125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ROW(Source!A247)</f>
        <v/>
      </c>
      <c r="B118" t="n">
        <v>78869836</v>
      </c>
      <c r="C118" t="n">
        <v>78869821</v>
      </c>
      <c r="D118" t="n">
        <v>29164350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509-9899</t>
        </is>
      </c>
      <c r="J118" t="inlineStr">
        <is>
          <t>ТССЦ Московской обл., 509-9899, приказ Минстроя России №675/пр от 28.02.2017 № 258/пр</t>
        </is>
      </c>
      <c r="K118" t="inlineStr">
        <is>
          <t>Строительный мусор и масса возвратных материалов</t>
        </is>
      </c>
      <c r="L118" t="n">
        <v>1348</v>
      </c>
      <c r="N118" t="n">
        <v>1009</v>
      </c>
      <c r="O118" t="inlineStr">
        <is>
          <t>т</t>
        </is>
      </c>
      <c r="P118" t="inlineStr">
        <is>
          <t>т</t>
        </is>
      </c>
      <c r="Q118" t="n">
        <v>1000</v>
      </c>
      <c r="X118" t="n">
        <v>0.04</v>
      </c>
      <c r="Y118" t="n">
        <v>0</v>
      </c>
      <c r="Z118" t="n">
        <v>0</v>
      </c>
      <c r="AA118" t="n">
        <v>0</v>
      </c>
      <c r="AB118" t="n">
        <v>0</v>
      </c>
      <c r="AC118" t="n">
        <v>0</v>
      </c>
      <c r="AD118" t="n">
        <v>0</v>
      </c>
      <c r="AE118" t="n">
        <v>0</v>
      </c>
      <c r="AF118" t="inlineStr"/>
      <c r="AG118" t="n">
        <v>0.04</v>
      </c>
      <c r="AH118" t="n">
        <v>2</v>
      </c>
      <c r="AI118" t="n">
        <v>78869829</v>
      </c>
      <c r="AJ118" t="n">
        <v>126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ROW(Source!A250)</f>
        <v/>
      </c>
      <c r="B119" t="n">
        <v>78869846</v>
      </c>
      <c r="C119" t="n">
        <v>78869839</v>
      </c>
      <c r="D119" t="n">
        <v>18442827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1-1053-90</t>
        </is>
      </c>
      <c r="J119" t="inlineStr"/>
      <c r="K119" t="inlineStr">
        <is>
          <t>Рабочий строитель среднего разряда 5,3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X119" t="n">
        <v>5.01</v>
      </c>
      <c r="Y119" t="n">
        <v>0</v>
      </c>
      <c r="Z119" t="n">
        <v>0</v>
      </c>
      <c r="AA119" t="n">
        <v>0</v>
      </c>
      <c r="AB119" t="n">
        <v>11.64</v>
      </c>
      <c r="AC119" t="n">
        <v>0</v>
      </c>
      <c r="AD119" t="n">
        <v>1</v>
      </c>
      <c r="AE119" t="n">
        <v>1</v>
      </c>
      <c r="AF119" t="inlineStr">
        <is>
          <t>)*4</t>
        </is>
      </c>
      <c r="AG119" t="n">
        <v>20.04</v>
      </c>
      <c r="AH119" t="n">
        <v>2</v>
      </c>
      <c r="AI119" t="n">
        <v>78869840</v>
      </c>
      <c r="AJ119" t="n">
        <v>127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ROW(Source!A250)</f>
        <v/>
      </c>
      <c r="B120" t="n">
        <v>78869847</v>
      </c>
      <c r="C120" t="n">
        <v>78869839</v>
      </c>
      <c r="D120" t="n">
        <v>29172703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042900</t>
        </is>
      </c>
      <c r="J120" t="inlineStr">
        <is>
          <t>ТСЭМ Московской обл., 042900, приказ Минстроя России №675/пр от 28.02.2017 № 264/пр</t>
        </is>
      </c>
      <c r="K1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1.5</v>
      </c>
      <c r="Y120" t="n">
        <v>0</v>
      </c>
      <c r="Z120" t="n">
        <v>29.67</v>
      </c>
      <c r="AA120" t="n">
        <v>0</v>
      </c>
      <c r="AB120" t="n">
        <v>0</v>
      </c>
      <c r="AC120" t="n">
        <v>0</v>
      </c>
      <c r="AD120" t="n">
        <v>1</v>
      </c>
      <c r="AE120" t="n">
        <v>0</v>
      </c>
      <c r="AF120" t="inlineStr">
        <is>
          <t>)*4</t>
        </is>
      </c>
      <c r="AG120" t="n">
        <v>6</v>
      </c>
      <c r="AH120" t="n">
        <v>2</v>
      </c>
      <c r="AI120" t="n">
        <v>78869841</v>
      </c>
      <c r="AJ120" t="n">
        <v>128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ROW(Source!A250)</f>
        <v/>
      </c>
      <c r="B121" t="n">
        <v>78869848</v>
      </c>
      <c r="C121" t="n">
        <v>78869839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5e-05</v>
      </c>
      <c r="Y121" t="n">
        <v>15118.99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5e-05</v>
      </c>
      <c r="AH121" t="n">
        <v>2</v>
      </c>
      <c r="AI121" t="n">
        <v>78869842</v>
      </c>
      <c r="AJ121" t="n">
        <v>129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ROW(Source!A250)</f>
        <v/>
      </c>
      <c r="B122" t="n">
        <v>78869849</v>
      </c>
      <c r="C122" t="n">
        <v>78869839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X122" t="n">
        <v>2e-05</v>
      </c>
      <c r="Y122" t="n">
        <v>16950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2e-05</v>
      </c>
      <c r="AH122" t="n">
        <v>2</v>
      </c>
      <c r="AI122" t="n">
        <v>78869843</v>
      </c>
      <c r="AJ122" t="n">
        <v>130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ROW(Source!A250)</f>
        <v/>
      </c>
      <c r="B123" t="n">
        <v>78869850</v>
      </c>
      <c r="C123" t="n">
        <v>78869839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X123" t="n">
        <v>0.02</v>
      </c>
      <c r="Y123" t="n">
        <v>37.29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0.02</v>
      </c>
      <c r="AH123" t="n">
        <v>2</v>
      </c>
      <c r="AI123" t="n">
        <v>78869844</v>
      </c>
      <c r="AJ123" t="n">
        <v>131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ROW(Source!A250)</f>
        <v/>
      </c>
      <c r="B124" t="n">
        <v>78869851</v>
      </c>
      <c r="C124" t="n">
        <v>78869839</v>
      </c>
      <c r="D124" t="n">
        <v>29150040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411-0001</t>
        </is>
      </c>
      <c r="J124" t="inlineStr">
        <is>
          <t>ТССЦ Московской обл., 411-0001, приказ Минстроя России №675/пр от 28.02.2017 № 257/пр</t>
        </is>
      </c>
      <c r="K124" t="inlineStr">
        <is>
          <t>Вода</t>
        </is>
      </c>
      <c r="L124" t="n">
        <v>1339</v>
      </c>
      <c r="N124" t="n">
        <v>1007</v>
      </c>
      <c r="O124" t="inlineStr">
        <is>
          <t>м3</t>
        </is>
      </c>
      <c r="P124" t="inlineStr">
        <is>
          <t>м3</t>
        </is>
      </c>
      <c r="Q124" t="n">
        <v>1</v>
      </c>
      <c r="X124" t="n">
        <v>1</v>
      </c>
      <c r="Y124" t="n">
        <v>2.44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1</v>
      </c>
      <c r="AH124" t="n">
        <v>2</v>
      </c>
      <c r="AI124" t="n">
        <v>78869845</v>
      </c>
      <c r="AJ124" t="n">
        <v>132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ROW(Source!A289)</f>
        <v/>
      </c>
      <c r="B125" t="n">
        <v>78869921</v>
      </c>
      <c r="C125" t="n">
        <v>78869915</v>
      </c>
      <c r="D125" t="n">
        <v>18408291</v>
      </c>
      <c r="E125" t="n">
        <v>1</v>
      </c>
      <c r="F125" t="n">
        <v>1</v>
      </c>
      <c r="G125" t="n">
        <v>1</v>
      </c>
      <c r="H125" t="n">
        <v>1</v>
      </c>
      <c r="I125" t="inlineStr">
        <is>
          <t>1-1025-90</t>
        </is>
      </c>
      <c r="J125" t="inlineStr"/>
      <c r="K125" t="inlineStr">
        <is>
          <t>Рабочий строитель среднего разряда 2,5</t>
        </is>
      </c>
      <c r="L125" t="n">
        <v>1369</v>
      </c>
      <c r="N125" t="n">
        <v>1013</v>
      </c>
      <c r="O125" t="inlineStr">
        <is>
          <t>чел.-ч</t>
        </is>
      </c>
      <c r="P125" t="inlineStr">
        <is>
          <t>чел.-ч</t>
        </is>
      </c>
      <c r="Q125" t="n">
        <v>1</v>
      </c>
      <c r="X125" t="n">
        <v>32.2</v>
      </c>
      <c r="Y125" t="n">
        <v>0</v>
      </c>
      <c r="Z125" t="n">
        <v>0</v>
      </c>
      <c r="AA125" t="n">
        <v>0</v>
      </c>
      <c r="AB125" t="n">
        <v>8.17</v>
      </c>
      <c r="AC125" t="n">
        <v>0</v>
      </c>
      <c r="AD125" t="n">
        <v>1</v>
      </c>
      <c r="AE125" t="n">
        <v>1</v>
      </c>
      <c r="AF125" t="inlineStr"/>
      <c r="AG125" t="n">
        <v>32.2</v>
      </c>
      <c r="AH125" t="n">
        <v>2</v>
      </c>
      <c r="AI125" t="n">
        <v>78869916</v>
      </c>
      <c r="AJ125" t="n">
        <v>133</v>
      </c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ROW(Source!A289)</f>
        <v/>
      </c>
      <c r="B126" t="n">
        <v>78869922</v>
      </c>
      <c r="C126" t="n">
        <v>78869915</v>
      </c>
      <c r="D126" t="n">
        <v>29174913</v>
      </c>
      <c r="E126" t="n">
        <v>1</v>
      </c>
      <c r="F126" t="n">
        <v>1</v>
      </c>
      <c r="G126" t="n">
        <v>1</v>
      </c>
      <c r="H126" t="n">
        <v>2</v>
      </c>
      <c r="I126" t="inlineStr">
        <is>
          <t>400001</t>
        </is>
      </c>
      <c r="J126" t="inlineStr">
        <is>
          <t>ТСЭМ Московской обл., 400001, приказ Минстроя России №675/пр от 28.02.2017 № 264/пр</t>
        </is>
      </c>
      <c r="K126" t="inlineStr">
        <is>
          <t>Автомобили бортовые, грузоподъемность до 5 т</t>
        </is>
      </c>
      <c r="L126" t="n">
        <v>1368</v>
      </c>
      <c r="N126" t="n">
        <v>1011</v>
      </c>
      <c r="O126" t="inlineStr">
        <is>
          <t>маш.-ч</t>
        </is>
      </c>
      <c r="P126" t="inlineStr">
        <is>
          <t>маш.-ч</t>
        </is>
      </c>
      <c r="Q126" t="n">
        <v>1</v>
      </c>
      <c r="X126" t="n">
        <v>0.01</v>
      </c>
      <c r="Y126" t="n">
        <v>0</v>
      </c>
      <c r="Z126" t="n">
        <v>87.17</v>
      </c>
      <c r="AA126" t="n">
        <v>11.6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0.01</v>
      </c>
      <c r="AH126" t="n">
        <v>2</v>
      </c>
      <c r="AI126" t="n">
        <v>78869917</v>
      </c>
      <c r="AJ126" t="n">
        <v>134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ROW(Source!A289)</f>
        <v/>
      </c>
      <c r="B127" t="n">
        <v>78869923</v>
      </c>
      <c r="C127" t="n">
        <v>78869915</v>
      </c>
      <c r="D127" t="n">
        <v>29110139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101-1703</t>
        </is>
      </c>
      <c r="J127" t="inlineStr">
        <is>
          <t>ТССЦ Московской обл., 101-1703, приказ Минстроя России №675/пр от 28.02.2017 № 254/пр</t>
        </is>
      </c>
      <c r="K127" t="inlineStr">
        <is>
          <t>Прокладки резиновые (пластина техническая прессованная)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2</v>
      </c>
      <c r="Y127" t="n">
        <v>23.09</v>
      </c>
      <c r="Z127" t="n">
        <v>0</v>
      </c>
      <c r="AA127" t="n">
        <v>0</v>
      </c>
      <c r="AB127" t="n">
        <v>0</v>
      </c>
      <c r="AC127" t="n">
        <v>0</v>
      </c>
      <c r="AD127" t="n">
        <v>1</v>
      </c>
      <c r="AE127" t="n">
        <v>0</v>
      </c>
      <c r="AF127" t="inlineStr"/>
      <c r="AG127" t="n">
        <v>2</v>
      </c>
      <c r="AH127" t="n">
        <v>2</v>
      </c>
      <c r="AI127" t="n">
        <v>78869918</v>
      </c>
      <c r="AJ127" t="n">
        <v>135</v>
      </c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ROW(Source!A289)</f>
        <v/>
      </c>
      <c r="B128" t="n">
        <v>78869924</v>
      </c>
      <c r="C128" t="n">
        <v>78869915</v>
      </c>
      <c r="D128" t="n">
        <v>29114240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101-2576</t>
        </is>
      </c>
      <c r="J128" t="inlineStr">
        <is>
          <t>ТССЦ Московской обл., 101-2576, приказ Минстроя России №675/пр от 28.02.2017 № 254/пр</t>
        </is>
      </c>
      <c r="K128" t="inlineStr">
        <is>
          <t>Болты с гайками и шайбами для санитарно-технических работ диаметром 16 мм</t>
        </is>
      </c>
      <c r="L128" t="n">
        <v>1348</v>
      </c>
      <c r="N128" t="n">
        <v>1009</v>
      </c>
      <c r="O128" t="inlineStr">
        <is>
          <t>т</t>
        </is>
      </c>
      <c r="P128" t="inlineStr">
        <is>
          <t>т</t>
        </is>
      </c>
      <c r="Q128" t="n">
        <v>1000</v>
      </c>
      <c r="X128" t="n">
        <v>0.005</v>
      </c>
      <c r="Y128" t="n">
        <v>14830</v>
      </c>
      <c r="Z128" t="n">
        <v>0</v>
      </c>
      <c r="AA128" t="n">
        <v>0</v>
      </c>
      <c r="AB128" t="n">
        <v>0</v>
      </c>
      <c r="AC128" t="n">
        <v>0</v>
      </c>
      <c r="AD128" t="n">
        <v>1</v>
      </c>
      <c r="AE128" t="n">
        <v>0</v>
      </c>
      <c r="AF128" t="inlineStr"/>
      <c r="AG128" t="n">
        <v>0.005</v>
      </c>
      <c r="AH128" t="n">
        <v>2</v>
      </c>
      <c r="AI128" t="n">
        <v>78869919</v>
      </c>
      <c r="AJ128" t="n">
        <v>136</v>
      </c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ROW(Source!A289)</f>
        <v/>
      </c>
      <c r="B129" t="n">
        <v>78869925</v>
      </c>
      <c r="C129" t="n">
        <v>78869915</v>
      </c>
      <c r="D129" t="n">
        <v>29150040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411-0001</t>
        </is>
      </c>
      <c r="J129" t="inlineStr">
        <is>
          <t>ТССЦ Московской обл., 411-0001, приказ Минстроя России №675/пр от 28.02.2017 № 257/пр</t>
        </is>
      </c>
      <c r="K129" t="inlineStr">
        <is>
          <t>Вода</t>
        </is>
      </c>
      <c r="L129" t="n">
        <v>1339</v>
      </c>
      <c r="N129" t="n">
        <v>1007</v>
      </c>
      <c r="O129" t="inlineStr">
        <is>
          <t>м3</t>
        </is>
      </c>
      <c r="P129" t="inlineStr">
        <is>
          <t>м3</t>
        </is>
      </c>
      <c r="Q129" t="n">
        <v>1</v>
      </c>
      <c r="X129" t="n">
        <v>7.8</v>
      </c>
      <c r="Y129" t="n">
        <v>2.44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7.8</v>
      </c>
      <c r="AH129" t="n">
        <v>2</v>
      </c>
      <c r="AI129" t="n">
        <v>78869920</v>
      </c>
      <c r="AJ129" t="n">
        <v>137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ROW(Source!A290)</f>
        <v/>
      </c>
      <c r="B130" t="n">
        <v>78869930</v>
      </c>
      <c r="C130" t="n">
        <v>78869926</v>
      </c>
      <c r="D130" t="n">
        <v>18407150</v>
      </c>
      <c r="E130" t="n">
        <v>1</v>
      </c>
      <c r="F130" t="n">
        <v>1</v>
      </c>
      <c r="G130" t="n">
        <v>1</v>
      </c>
      <c r="H130" t="n">
        <v>1</v>
      </c>
      <c r="I130" t="inlineStr">
        <is>
          <t>1-1030-90</t>
        </is>
      </c>
      <c r="J130" t="inlineStr"/>
      <c r="K130" t="inlineStr">
        <is>
          <t>Рабочий строитель среднего разряда 3</t>
        </is>
      </c>
      <c r="L130" t="n">
        <v>1369</v>
      </c>
      <c r="N130" t="n">
        <v>1013</v>
      </c>
      <c r="O130" t="inlineStr">
        <is>
          <t>чел.-ч</t>
        </is>
      </c>
      <c r="P130" t="inlineStr">
        <is>
          <t>чел.-ч</t>
        </is>
      </c>
      <c r="Q130" t="n">
        <v>1</v>
      </c>
      <c r="X130" t="n">
        <v>13.9</v>
      </c>
      <c r="Y130" t="n">
        <v>0</v>
      </c>
      <c r="Z130" t="n">
        <v>0</v>
      </c>
      <c r="AA130" t="n">
        <v>0</v>
      </c>
      <c r="AB130" t="n">
        <v>8.529999999999999</v>
      </c>
      <c r="AC130" t="n">
        <v>0</v>
      </c>
      <c r="AD130" t="n">
        <v>1</v>
      </c>
      <c r="AE130" t="n">
        <v>1</v>
      </c>
      <c r="AF130" t="inlineStr"/>
      <c r="AG130" t="n">
        <v>13.9</v>
      </c>
      <c r="AH130" t="n">
        <v>2</v>
      </c>
      <c r="AI130" t="n">
        <v>78869927</v>
      </c>
      <c r="AJ130" t="n">
        <v>138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ROW(Source!A290)</f>
        <v/>
      </c>
      <c r="B131" t="n">
        <v>78869931</v>
      </c>
      <c r="C131" t="n">
        <v>78869926</v>
      </c>
      <c r="D131" t="n">
        <v>29169821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509-0696</t>
        </is>
      </c>
      <c r="J131" t="inlineStr">
        <is>
          <t>ТССЦ Московской обл., 509-0696, приказ Минстроя России №675/пр от 28.02.2017 № 258/пр</t>
        </is>
      </c>
      <c r="K131" t="inlineStr">
        <is>
          <t>Лампы люминесцентные ртутные низкого давления типа ЛБ, ЛД, ЛДЦ, ЛТВ, ЛБХ 20</t>
        </is>
      </c>
      <c r="L131" t="n">
        <v>1358</v>
      </c>
      <c r="N131" t="n">
        <v>1010</v>
      </c>
      <c r="O131" t="inlineStr">
        <is>
          <t>10 шт.</t>
        </is>
      </c>
      <c r="P131" t="inlineStr">
        <is>
          <t>10 шт.</t>
        </is>
      </c>
      <c r="Q131" t="n">
        <v>10</v>
      </c>
      <c r="X131" t="n">
        <v>10</v>
      </c>
      <c r="Y131" t="n">
        <v>85.2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10</v>
      </c>
      <c r="AH131" t="n">
        <v>2</v>
      </c>
      <c r="AI131" t="n">
        <v>78869928</v>
      </c>
      <c r="AJ131" t="n">
        <v>139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ROW(Source!A292)</f>
        <v/>
      </c>
      <c r="B132" t="n">
        <v>78869942</v>
      </c>
      <c r="C132" t="n">
        <v>78869933</v>
      </c>
      <c r="D132" t="n">
        <v>18409850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1-1035-90</t>
        </is>
      </c>
      <c r="J132" t="inlineStr"/>
      <c r="K132" t="inlineStr">
        <is>
          <t>Рабочий строитель среднего разряда 3,5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81</v>
      </c>
      <c r="Y132" t="n">
        <v>0</v>
      </c>
      <c r="Z132" t="n">
        <v>0</v>
      </c>
      <c r="AA132" t="n">
        <v>0</v>
      </c>
      <c r="AB132" t="n">
        <v>9.07</v>
      </c>
      <c r="AC132" t="n">
        <v>0</v>
      </c>
      <c r="AD132" t="n">
        <v>1</v>
      </c>
      <c r="AE132" t="n">
        <v>1</v>
      </c>
      <c r="AF132" t="inlineStr"/>
      <c r="AG132" t="n">
        <v>81</v>
      </c>
      <c r="AH132" t="n">
        <v>2</v>
      </c>
      <c r="AI132" t="n">
        <v>78869934</v>
      </c>
      <c r="AJ132" t="n">
        <v>141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ROW(Source!A292)</f>
        <v/>
      </c>
      <c r="B133" t="n">
        <v>78869943</v>
      </c>
      <c r="C133" t="n">
        <v>78869933</v>
      </c>
      <c r="D133" t="n">
        <v>29174913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400001</t>
        </is>
      </c>
      <c r="J133" t="inlineStr">
        <is>
          <t>ТСЭМ Московской обл., 400001, приказ Минстроя России №675/пр от 28.02.2017 № 264/пр</t>
        </is>
      </c>
      <c r="K133" t="inlineStr">
        <is>
          <t>Автомобили бортовые, грузоподъемность до 5 т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0.05</v>
      </c>
      <c r="Y133" t="n">
        <v>0</v>
      </c>
      <c r="Z133" t="n">
        <v>87.17</v>
      </c>
      <c r="AA133" t="n">
        <v>11.6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0.05</v>
      </c>
      <c r="AH133" t="n">
        <v>2</v>
      </c>
      <c r="AI133" t="n">
        <v>78869935</v>
      </c>
      <c r="AJ133" t="n">
        <v>142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ROW(Source!A292)</f>
        <v/>
      </c>
      <c r="B134" t="n">
        <v>78869944</v>
      </c>
      <c r="C134" t="n">
        <v>78869933</v>
      </c>
      <c r="D134" t="n">
        <v>29110398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101-0388</t>
        </is>
      </c>
      <c r="J134" t="inlineStr">
        <is>
          <t>ТССЦ Московской обл., 101-0388, приказ Минстроя России №675/пр от 28.02.2017 № 254/пр</t>
        </is>
      </c>
      <c r="K134" t="inlineStr">
        <is>
          <t>Краски масляные земляные марки МА-0115 мумия, сурик железный</t>
        </is>
      </c>
      <c r="L134" t="n">
        <v>1348</v>
      </c>
      <c r="N134" t="n">
        <v>1009</v>
      </c>
      <c r="O134" t="inlineStr">
        <is>
          <t>т</t>
        </is>
      </c>
      <c r="P134" t="inlineStr">
        <is>
          <t>т</t>
        </is>
      </c>
      <c r="Q134" t="n">
        <v>1000</v>
      </c>
      <c r="X134" t="n">
        <v>0.0014</v>
      </c>
      <c r="Y134" t="n">
        <v>15118.99</v>
      </c>
      <c r="Z134" t="n">
        <v>0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0.0014</v>
      </c>
      <c r="AH134" t="n">
        <v>2</v>
      </c>
      <c r="AI134" t="n">
        <v>78869936</v>
      </c>
      <c r="AJ134" t="n">
        <v>143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ROW(Source!A292)</f>
        <v/>
      </c>
      <c r="B135" t="n">
        <v>78869945</v>
      </c>
      <c r="C135" t="n">
        <v>78869933</v>
      </c>
      <c r="D135" t="n">
        <v>29110573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101-0628</t>
        </is>
      </c>
      <c r="J135" t="inlineStr">
        <is>
          <t>ТССЦ Московской обл., 101-0628, приказ Минстроя России №675/пр от 28.02.2017 № 254/пр</t>
        </is>
      </c>
      <c r="K135" t="inlineStr">
        <is>
          <t>Олифа комбинированная, марки К-3</t>
        </is>
      </c>
      <c r="L135" t="n">
        <v>1348</v>
      </c>
      <c r="N135" t="n">
        <v>1009</v>
      </c>
      <c r="O135" t="inlineStr">
        <is>
          <t>т</t>
        </is>
      </c>
      <c r="P135" t="inlineStr">
        <is>
          <t>т</t>
        </is>
      </c>
      <c r="Q135" t="n">
        <v>1000</v>
      </c>
      <c r="X135" t="n">
        <v>0.0007</v>
      </c>
      <c r="Y135" t="n">
        <v>16950</v>
      </c>
      <c r="Z135" t="n">
        <v>0</v>
      </c>
      <c r="AA135" t="n">
        <v>0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0.0007</v>
      </c>
      <c r="AH135" t="n">
        <v>2</v>
      </c>
      <c r="AI135" t="n">
        <v>78869937</v>
      </c>
      <c r="AJ135" t="n">
        <v>144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ROW(Source!A292)</f>
        <v/>
      </c>
      <c r="B136" t="n">
        <v>78869946</v>
      </c>
      <c r="C136" t="n">
        <v>78869933</v>
      </c>
      <c r="D136" t="n">
        <v>29107963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101-1669</t>
        </is>
      </c>
      <c r="J136" t="inlineStr">
        <is>
          <t>ТССЦ Московской обл., 101-1669, приказ Минстроя России №675/пр от 28.02.2017 № 254/пр</t>
        </is>
      </c>
      <c r="K136" t="inlineStr">
        <is>
          <t>Очес льняной</t>
        </is>
      </c>
      <c r="L136" t="n">
        <v>1346</v>
      </c>
      <c r="N136" t="n">
        <v>1009</v>
      </c>
      <c r="O136" t="inlineStr">
        <is>
          <t>кг</t>
        </is>
      </c>
      <c r="P136" t="inlineStr">
        <is>
          <t>кг</t>
        </is>
      </c>
      <c r="Q136" t="n">
        <v>1</v>
      </c>
      <c r="X136" t="n">
        <v>0.7</v>
      </c>
      <c r="Y136" t="n">
        <v>37.29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0.7</v>
      </c>
      <c r="AH136" t="n">
        <v>2</v>
      </c>
      <c r="AI136" t="n">
        <v>78869938</v>
      </c>
      <c r="AJ136" t="n">
        <v>145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ROW(Source!A292)</f>
        <v/>
      </c>
      <c r="B137" t="n">
        <v>78869947</v>
      </c>
      <c r="C137" t="n">
        <v>78869933</v>
      </c>
      <c r="D137" t="n">
        <v>29142465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302-1342</t>
        </is>
      </c>
      <c r="J137" t="inlineStr">
        <is>
          <t>ТССЦ Московской обл., 302-1342, приказ Минстроя России №675/пр от 28.02.2017 № 256/пр</t>
        </is>
      </c>
      <c r="K137" t="inlineStr">
        <is>
          <t>Вентили проходные муфтовые 15кч18п для воды давлением 1,6 МПа (16 кгс/см2), диаметром 20 мм</t>
        </is>
      </c>
      <c r="L137" t="n">
        <v>1354</v>
      </c>
      <c r="N137" t="n">
        <v>1010</v>
      </c>
      <c r="O137" t="inlineStr">
        <is>
          <t>шт.</t>
        </is>
      </c>
      <c r="P137" t="inlineStr">
        <is>
          <t>шт.</t>
        </is>
      </c>
      <c r="Q137" t="n">
        <v>1</v>
      </c>
      <c r="X137" t="n">
        <v>100</v>
      </c>
      <c r="Y137" t="n">
        <v>21.81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100</v>
      </c>
      <c r="AH137" t="n">
        <v>2</v>
      </c>
      <c r="AI137" t="n">
        <v>78869940</v>
      </c>
      <c r="AJ137" t="n">
        <v>147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ROW(Source!A292)</f>
        <v/>
      </c>
      <c r="B138" t="n">
        <v>78869948</v>
      </c>
      <c r="C138" t="n">
        <v>78869933</v>
      </c>
      <c r="D138" t="n">
        <v>29164350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509-9899</t>
        </is>
      </c>
      <c r="J138" t="inlineStr">
        <is>
          <t>ТССЦ Московской обл., 509-9899, приказ Минстроя России №675/пр от 28.02.2017 № 258/пр</t>
        </is>
      </c>
      <c r="K138" t="inlineStr">
        <is>
          <t>Строительный мусор и масса возвратных материалов</t>
        </is>
      </c>
      <c r="L138" t="n">
        <v>1348</v>
      </c>
      <c r="N138" t="n">
        <v>1009</v>
      </c>
      <c r="O138" t="inlineStr">
        <is>
          <t>т</t>
        </is>
      </c>
      <c r="P138" t="inlineStr">
        <is>
          <t>т</t>
        </is>
      </c>
      <c r="Q138" t="n">
        <v>1000</v>
      </c>
      <c r="X138" t="n">
        <v>0.04</v>
      </c>
      <c r="Y138" t="n">
        <v>0</v>
      </c>
      <c r="Z138" t="n">
        <v>0</v>
      </c>
      <c r="AA138" t="n">
        <v>0</v>
      </c>
      <c r="AB138" t="n">
        <v>0</v>
      </c>
      <c r="AC138" t="n">
        <v>0</v>
      </c>
      <c r="AD138" t="n">
        <v>0</v>
      </c>
      <c r="AE138" t="n">
        <v>0</v>
      </c>
      <c r="AF138" t="inlineStr"/>
      <c r="AG138" t="n">
        <v>0.04</v>
      </c>
      <c r="AH138" t="n">
        <v>2</v>
      </c>
      <c r="AI138" t="n">
        <v>78869941</v>
      </c>
      <c r="AJ138" t="n">
        <v>148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ROW(Source!A295)</f>
        <v/>
      </c>
      <c r="B139" t="n">
        <v>78869958</v>
      </c>
      <c r="C139" t="n">
        <v>78869951</v>
      </c>
      <c r="D139" t="n">
        <v>18442827</v>
      </c>
      <c r="E139" t="n">
        <v>1</v>
      </c>
      <c r="F139" t="n">
        <v>1</v>
      </c>
      <c r="G139" t="n">
        <v>1</v>
      </c>
      <c r="H139" t="n">
        <v>1</v>
      </c>
      <c r="I139" t="inlineStr">
        <is>
          <t>1-1053-90</t>
        </is>
      </c>
      <c r="J139" t="inlineStr"/>
      <c r="K139" t="inlineStr">
        <is>
          <t>Рабочий строитель среднего разряда 5,3</t>
        </is>
      </c>
      <c r="L139" t="n">
        <v>1369</v>
      </c>
      <c r="N139" t="n">
        <v>1013</v>
      </c>
      <c r="O139" t="inlineStr">
        <is>
          <t>чел.-ч</t>
        </is>
      </c>
      <c r="P139" t="inlineStr">
        <is>
          <t>чел.-ч</t>
        </is>
      </c>
      <c r="Q139" t="n">
        <v>1</v>
      </c>
      <c r="X139" t="n">
        <v>5.01</v>
      </c>
      <c r="Y139" t="n">
        <v>0</v>
      </c>
      <c r="Z139" t="n">
        <v>0</v>
      </c>
      <c r="AA139" t="n">
        <v>0</v>
      </c>
      <c r="AB139" t="n">
        <v>11.64</v>
      </c>
      <c r="AC139" t="n">
        <v>0</v>
      </c>
      <c r="AD139" t="n">
        <v>1</v>
      </c>
      <c r="AE139" t="n">
        <v>1</v>
      </c>
      <c r="AF139" t="inlineStr">
        <is>
          <t>)*6</t>
        </is>
      </c>
      <c r="AG139" t="n">
        <v>30.06</v>
      </c>
      <c r="AH139" t="n">
        <v>2</v>
      </c>
      <c r="AI139" t="n">
        <v>78869952</v>
      </c>
      <c r="AJ139" t="n">
        <v>149</v>
      </c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ROW(Source!A295)</f>
        <v/>
      </c>
      <c r="B140" t="n">
        <v>78869959</v>
      </c>
      <c r="C140" t="n">
        <v>78869951</v>
      </c>
      <c r="D140" t="n">
        <v>29172703</v>
      </c>
      <c r="E140" t="n">
        <v>1</v>
      </c>
      <c r="F140" t="n">
        <v>1</v>
      </c>
      <c r="G140" t="n">
        <v>1</v>
      </c>
      <c r="H140" t="n">
        <v>2</v>
      </c>
      <c r="I140" t="inlineStr">
        <is>
          <t>042900</t>
        </is>
      </c>
      <c r="J140" t="inlineStr">
        <is>
          <t>ТСЭМ Московской обл., 042900, приказ Минстроя России №675/пр от 28.02.2017 № 264/пр</t>
        </is>
      </c>
      <c r="K1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40" t="n">
        <v>1368</v>
      </c>
      <c r="N140" t="n">
        <v>1011</v>
      </c>
      <c r="O140" t="inlineStr">
        <is>
          <t>маш.-ч</t>
        </is>
      </c>
      <c r="P140" t="inlineStr">
        <is>
          <t>маш.-ч</t>
        </is>
      </c>
      <c r="Q140" t="n">
        <v>1</v>
      </c>
      <c r="X140" t="n">
        <v>1.5</v>
      </c>
      <c r="Y140" t="n">
        <v>0</v>
      </c>
      <c r="Z140" t="n">
        <v>29.67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>
        <is>
          <t>)*6</t>
        </is>
      </c>
      <c r="AG140" t="n">
        <v>9</v>
      </c>
      <c r="AH140" t="n">
        <v>2</v>
      </c>
      <c r="AI140" t="n">
        <v>78869953</v>
      </c>
      <c r="AJ140" t="n">
        <v>150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ROW(Source!A295)</f>
        <v/>
      </c>
      <c r="B141" t="n">
        <v>78869960</v>
      </c>
      <c r="C141" t="n">
        <v>78869951</v>
      </c>
      <c r="D141" t="n">
        <v>29110398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101-0388</t>
        </is>
      </c>
      <c r="J141" t="inlineStr">
        <is>
          <t>ТССЦ Московской обл., 101-0388, приказ Минстроя России №675/пр от 28.02.2017 № 254/пр</t>
        </is>
      </c>
      <c r="K141" t="inlineStr">
        <is>
          <t>Краски масляные земляные марки МА-0115 мумия, сурик железный</t>
        </is>
      </c>
      <c r="L141" t="n">
        <v>1348</v>
      </c>
      <c r="N141" t="n">
        <v>1009</v>
      </c>
      <c r="O141" t="inlineStr">
        <is>
          <t>т</t>
        </is>
      </c>
      <c r="P141" t="inlineStr">
        <is>
          <t>т</t>
        </is>
      </c>
      <c r="Q141" t="n">
        <v>1000</v>
      </c>
      <c r="X141" t="n">
        <v>5e-05</v>
      </c>
      <c r="Y141" t="n">
        <v>15118.99</v>
      </c>
      <c r="Z141" t="n">
        <v>0</v>
      </c>
      <c r="AA141" t="n">
        <v>0</v>
      </c>
      <c r="AB141" t="n">
        <v>0</v>
      </c>
      <c r="AC141" t="n">
        <v>0</v>
      </c>
      <c r="AD141" t="n">
        <v>1</v>
      </c>
      <c r="AE141" t="n">
        <v>0</v>
      </c>
      <c r="AF141" t="inlineStr">
        <is>
          <t>)*6</t>
        </is>
      </c>
      <c r="AG141" t="n">
        <v>0.0003</v>
      </c>
      <c r="AH141" t="n">
        <v>2</v>
      </c>
      <c r="AI141" t="n">
        <v>78869954</v>
      </c>
      <c r="AJ141" t="n">
        <v>151</v>
      </c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ROW(Source!A295)</f>
        <v/>
      </c>
      <c r="B142" t="n">
        <v>78869961</v>
      </c>
      <c r="C142" t="n">
        <v>78869951</v>
      </c>
      <c r="D142" t="n">
        <v>29110573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101-0628</t>
        </is>
      </c>
      <c r="J142" t="inlineStr">
        <is>
          <t>ТССЦ Московской обл., 101-0628, приказ Минстроя России №675/пр от 28.02.2017 № 254/пр</t>
        </is>
      </c>
      <c r="K142" t="inlineStr">
        <is>
          <t>Олифа комбинированная, марки К-3</t>
        </is>
      </c>
      <c r="L142" t="n">
        <v>1348</v>
      </c>
      <c r="N142" t="n">
        <v>1009</v>
      </c>
      <c r="O142" t="inlineStr">
        <is>
          <t>т</t>
        </is>
      </c>
      <c r="P142" t="inlineStr">
        <is>
          <t>т</t>
        </is>
      </c>
      <c r="Q142" t="n">
        <v>1000</v>
      </c>
      <c r="X142" t="n">
        <v>2e-05</v>
      </c>
      <c r="Y142" t="n">
        <v>16950</v>
      </c>
      <c r="Z142" t="n">
        <v>0</v>
      </c>
      <c r="AA142" t="n">
        <v>0</v>
      </c>
      <c r="AB142" t="n">
        <v>0</v>
      </c>
      <c r="AC142" t="n">
        <v>0</v>
      </c>
      <c r="AD142" t="n">
        <v>1</v>
      </c>
      <c r="AE142" t="n">
        <v>0</v>
      </c>
      <c r="AF142" t="inlineStr">
        <is>
          <t>)*6</t>
        </is>
      </c>
      <c r="AG142" t="n">
        <v>0.00012</v>
      </c>
      <c r="AH142" t="n">
        <v>2</v>
      </c>
      <c r="AI142" t="n">
        <v>78869955</v>
      </c>
      <c r="AJ142" t="n">
        <v>152</v>
      </c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ROW(Source!A295)</f>
        <v/>
      </c>
      <c r="B143" t="n">
        <v>78869962</v>
      </c>
      <c r="C143" t="n">
        <v>78869951</v>
      </c>
      <c r="D143" t="n">
        <v>29107963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101-1669</t>
        </is>
      </c>
      <c r="J143" t="inlineStr">
        <is>
          <t>ТССЦ Московской обл., 101-1669, приказ Минстроя России №675/пр от 28.02.2017 № 254/пр</t>
        </is>
      </c>
      <c r="K143" t="inlineStr">
        <is>
          <t>Очес льняной</t>
        </is>
      </c>
      <c r="L143" t="n">
        <v>1346</v>
      </c>
      <c r="N143" t="n">
        <v>1009</v>
      </c>
      <c r="O143" t="inlineStr">
        <is>
          <t>кг</t>
        </is>
      </c>
      <c r="P143" t="inlineStr">
        <is>
          <t>кг</t>
        </is>
      </c>
      <c r="Q143" t="n">
        <v>1</v>
      </c>
      <c r="X143" t="n">
        <v>0.02</v>
      </c>
      <c r="Y143" t="n">
        <v>37.29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>
        <is>
          <t>)*6</t>
        </is>
      </c>
      <c r="AG143" t="n">
        <v>0.12</v>
      </c>
      <c r="AH143" t="n">
        <v>2</v>
      </c>
      <c r="AI143" t="n">
        <v>78869956</v>
      </c>
      <c r="AJ143" t="n">
        <v>153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ROW(Source!A295)</f>
        <v/>
      </c>
      <c r="B144" t="n">
        <v>78869963</v>
      </c>
      <c r="C144" t="n">
        <v>78869951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1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>
        <is>
          <t>)*6</t>
        </is>
      </c>
      <c r="AG144" t="n">
        <v>6</v>
      </c>
      <c r="AH144" t="n">
        <v>2</v>
      </c>
      <c r="AI144" t="n">
        <v>78869957</v>
      </c>
      <c r="AJ144" t="n">
        <v>154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ROW(Source!A334)</f>
        <v/>
      </c>
      <c r="B145" t="n">
        <v>78870033</v>
      </c>
      <c r="C145" t="n">
        <v>78870027</v>
      </c>
      <c r="D145" t="n">
        <v>18408291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1-1025-90</t>
        </is>
      </c>
      <c r="J145" t="inlineStr"/>
      <c r="K145" t="inlineStr">
        <is>
          <t>Рабочий строитель среднего разряда 2,5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32.2</v>
      </c>
      <c r="Y145" t="n">
        <v>0</v>
      </c>
      <c r="Z145" t="n">
        <v>0</v>
      </c>
      <c r="AA145" t="n">
        <v>0</v>
      </c>
      <c r="AB145" t="n">
        <v>8.17</v>
      </c>
      <c r="AC145" t="n">
        <v>0</v>
      </c>
      <c r="AD145" t="n">
        <v>1</v>
      </c>
      <c r="AE145" t="n">
        <v>1</v>
      </c>
      <c r="AF145" t="inlineStr"/>
      <c r="AG145" t="n">
        <v>32.2</v>
      </c>
      <c r="AH145" t="n">
        <v>2</v>
      </c>
      <c r="AI145" t="n">
        <v>78870028</v>
      </c>
      <c r="AJ145" t="n">
        <v>155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ROW(Source!A334)</f>
        <v/>
      </c>
      <c r="B146" t="n">
        <v>78870034</v>
      </c>
      <c r="C146" t="n">
        <v>78870027</v>
      </c>
      <c r="D146" t="n">
        <v>29174913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400001</t>
        </is>
      </c>
      <c r="J146" t="inlineStr">
        <is>
          <t>ТСЭМ Московской обл., 400001, приказ Минстроя России №675/пр от 28.02.2017 № 264/пр</t>
        </is>
      </c>
      <c r="K146" t="inlineStr">
        <is>
          <t>Автомобили бортовые, грузоподъемность до 5 т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0.01</v>
      </c>
      <c r="Y146" t="n">
        <v>0</v>
      </c>
      <c r="Z146" t="n">
        <v>87.17</v>
      </c>
      <c r="AA146" t="n">
        <v>11.6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0.01</v>
      </c>
      <c r="AH146" t="n">
        <v>2</v>
      </c>
      <c r="AI146" t="n">
        <v>78870029</v>
      </c>
      <c r="AJ146" t="n">
        <v>156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ROW(Source!A334)</f>
        <v/>
      </c>
      <c r="B147" t="n">
        <v>78870035</v>
      </c>
      <c r="C147" t="n">
        <v>78870027</v>
      </c>
      <c r="D147" t="n">
        <v>29110139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101-1703</t>
        </is>
      </c>
      <c r="J147" t="inlineStr">
        <is>
          <t>ТССЦ Московской обл., 101-1703, приказ Минстроя России №675/пр от 28.02.2017 № 254/пр</t>
        </is>
      </c>
      <c r="K147" t="inlineStr">
        <is>
          <t>Прокладки резиновые (пластина техническая прессованная)</t>
        </is>
      </c>
      <c r="L147" t="n">
        <v>1346</v>
      </c>
      <c r="N147" t="n">
        <v>1009</v>
      </c>
      <c r="O147" t="inlineStr">
        <is>
          <t>кг</t>
        </is>
      </c>
      <c r="P147" t="inlineStr">
        <is>
          <t>кг</t>
        </is>
      </c>
      <c r="Q147" t="n">
        <v>1</v>
      </c>
      <c r="X147" t="n">
        <v>2</v>
      </c>
      <c r="Y147" t="n">
        <v>23.09</v>
      </c>
      <c r="Z147" t="n">
        <v>0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2</v>
      </c>
      <c r="AH147" t="n">
        <v>2</v>
      </c>
      <c r="AI147" t="n">
        <v>78870030</v>
      </c>
      <c r="AJ147" t="n">
        <v>157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ROW(Source!A334)</f>
        <v/>
      </c>
      <c r="B148" t="n">
        <v>78870036</v>
      </c>
      <c r="C148" t="n">
        <v>78870027</v>
      </c>
      <c r="D148" t="n">
        <v>29114240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101-2576</t>
        </is>
      </c>
      <c r="J148" t="inlineStr">
        <is>
          <t>ТССЦ Московской обл., 101-2576, приказ Минстроя России №675/пр от 28.02.2017 № 254/пр</t>
        </is>
      </c>
      <c r="K148" t="inlineStr">
        <is>
          <t>Болты с гайками и шайбами для санитарно-технических работ диаметром 16 мм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X148" t="n">
        <v>0.005</v>
      </c>
      <c r="Y148" t="n">
        <v>14830</v>
      </c>
      <c r="Z148" t="n">
        <v>0</v>
      </c>
      <c r="AA148" t="n">
        <v>0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0.005</v>
      </c>
      <c r="AH148" t="n">
        <v>2</v>
      </c>
      <c r="AI148" t="n">
        <v>78870031</v>
      </c>
      <c r="AJ148" t="n">
        <v>158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ROW(Source!A334)</f>
        <v/>
      </c>
      <c r="B149" t="n">
        <v>78870037</v>
      </c>
      <c r="C149" t="n">
        <v>78870027</v>
      </c>
      <c r="D149" t="n">
        <v>29150040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411-0001</t>
        </is>
      </c>
      <c r="J149" t="inlineStr">
        <is>
          <t>ТССЦ Московской обл., 411-0001, приказ Минстроя России №675/пр от 28.02.2017 № 257/пр</t>
        </is>
      </c>
      <c r="K149" t="inlineStr">
        <is>
          <t>Вода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7.8</v>
      </c>
      <c r="Y149" t="n">
        <v>2.44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7.8</v>
      </c>
      <c r="AH149" t="n">
        <v>2</v>
      </c>
      <c r="AI149" t="n">
        <v>78870032</v>
      </c>
      <c r="AJ149" t="n">
        <v>159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ROW(Source!A335)</f>
        <v/>
      </c>
      <c r="B150" t="n">
        <v>78870042</v>
      </c>
      <c r="C150" t="n">
        <v>78870038</v>
      </c>
      <c r="D150" t="n">
        <v>18407150</v>
      </c>
      <c r="E150" t="n">
        <v>1</v>
      </c>
      <c r="F150" t="n">
        <v>1</v>
      </c>
      <c r="G150" t="n">
        <v>1</v>
      </c>
      <c r="H150" t="n">
        <v>1</v>
      </c>
      <c r="I150" t="inlineStr">
        <is>
          <t>1-1030-90</t>
        </is>
      </c>
      <c r="J150" t="inlineStr"/>
      <c r="K150" t="inlineStr">
        <is>
          <t>Рабочий строитель среднего разряда 3</t>
        </is>
      </c>
      <c r="L150" t="n">
        <v>1369</v>
      </c>
      <c r="N150" t="n">
        <v>1013</v>
      </c>
      <c r="O150" t="inlineStr">
        <is>
          <t>чел.-ч</t>
        </is>
      </c>
      <c r="P150" t="inlineStr">
        <is>
          <t>чел.-ч</t>
        </is>
      </c>
      <c r="Q150" t="n">
        <v>1</v>
      </c>
      <c r="X150" t="n">
        <v>13.9</v>
      </c>
      <c r="Y150" t="n">
        <v>0</v>
      </c>
      <c r="Z150" t="n">
        <v>0</v>
      </c>
      <c r="AA150" t="n">
        <v>0</v>
      </c>
      <c r="AB150" t="n">
        <v>8.529999999999999</v>
      </c>
      <c r="AC150" t="n">
        <v>0</v>
      </c>
      <c r="AD150" t="n">
        <v>1</v>
      </c>
      <c r="AE150" t="n">
        <v>1</v>
      </c>
      <c r="AF150" t="inlineStr"/>
      <c r="AG150" t="n">
        <v>13.9</v>
      </c>
      <c r="AH150" t="n">
        <v>2</v>
      </c>
      <c r="AI150" t="n">
        <v>78870039</v>
      </c>
      <c r="AJ150" t="n">
        <v>160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ROW(Source!A335)</f>
        <v/>
      </c>
      <c r="B151" t="n">
        <v>78870043</v>
      </c>
      <c r="C151" t="n">
        <v>78870038</v>
      </c>
      <c r="D151" t="n">
        <v>29169821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509-0696</t>
        </is>
      </c>
      <c r="J151" t="inlineStr">
        <is>
          <t>ТССЦ Московской обл., 509-0696, приказ Минстроя России №675/пр от 28.02.2017 № 258/пр</t>
        </is>
      </c>
      <c r="K151" t="inlineStr">
        <is>
          <t>Лампы люминесцентные ртутные низкого давления типа ЛБ, ЛД, ЛДЦ, ЛТВ, ЛБХ 20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X151" t="n">
        <v>10</v>
      </c>
      <c r="Y151" t="n">
        <v>85.2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10</v>
      </c>
      <c r="AH151" t="n">
        <v>2</v>
      </c>
      <c r="AI151" t="n">
        <v>78870040</v>
      </c>
      <c r="AJ151" t="n">
        <v>161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ROW(Source!A337)</f>
        <v/>
      </c>
      <c r="B152" t="n">
        <v>78870054</v>
      </c>
      <c r="C152" t="n">
        <v>78870045</v>
      </c>
      <c r="D152" t="n">
        <v>18409850</v>
      </c>
      <c r="E152" t="n">
        <v>1</v>
      </c>
      <c r="F152" t="n">
        <v>1</v>
      </c>
      <c r="G152" t="n">
        <v>1</v>
      </c>
      <c r="H152" t="n">
        <v>1</v>
      </c>
      <c r="I152" t="inlineStr">
        <is>
          <t>1-1035-90</t>
        </is>
      </c>
      <c r="J152" t="inlineStr"/>
      <c r="K152" t="inlineStr">
        <is>
          <t>Рабочий строитель среднего разряда 3,5</t>
        </is>
      </c>
      <c r="L152" t="n">
        <v>1369</v>
      </c>
      <c r="N152" t="n">
        <v>1013</v>
      </c>
      <c r="O152" t="inlineStr">
        <is>
          <t>чел.-ч</t>
        </is>
      </c>
      <c r="P152" t="inlineStr">
        <is>
          <t>чел.-ч</t>
        </is>
      </c>
      <c r="Q152" t="n">
        <v>1</v>
      </c>
      <c r="X152" t="n">
        <v>81</v>
      </c>
      <c r="Y152" t="n">
        <v>0</v>
      </c>
      <c r="Z152" t="n">
        <v>0</v>
      </c>
      <c r="AA152" t="n">
        <v>0</v>
      </c>
      <c r="AB152" t="n">
        <v>9.07</v>
      </c>
      <c r="AC152" t="n">
        <v>0</v>
      </c>
      <c r="AD152" t="n">
        <v>1</v>
      </c>
      <c r="AE152" t="n">
        <v>1</v>
      </c>
      <c r="AF152" t="inlineStr"/>
      <c r="AG152" t="n">
        <v>81</v>
      </c>
      <c r="AH152" t="n">
        <v>2</v>
      </c>
      <c r="AI152" t="n">
        <v>78870046</v>
      </c>
      <c r="AJ152" t="n">
        <v>163</v>
      </c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ROW(Source!A337)</f>
        <v/>
      </c>
      <c r="B153" t="n">
        <v>78870055</v>
      </c>
      <c r="C153" t="n">
        <v>78870045</v>
      </c>
      <c r="D153" t="n">
        <v>29174913</v>
      </c>
      <c r="E153" t="n">
        <v>1</v>
      </c>
      <c r="F153" t="n">
        <v>1</v>
      </c>
      <c r="G153" t="n">
        <v>1</v>
      </c>
      <c r="H153" t="n">
        <v>2</v>
      </c>
      <c r="I153" t="inlineStr">
        <is>
          <t>400001</t>
        </is>
      </c>
      <c r="J153" t="inlineStr">
        <is>
          <t>ТСЭМ Московской обл., 400001, приказ Минстроя России №675/пр от 28.02.2017 № 264/пр</t>
        </is>
      </c>
      <c r="K153" t="inlineStr">
        <is>
          <t>Автомобили бортовые, грузоподъемность до 5 т</t>
        </is>
      </c>
      <c r="L153" t="n">
        <v>1368</v>
      </c>
      <c r="N153" t="n">
        <v>1011</v>
      </c>
      <c r="O153" t="inlineStr">
        <is>
          <t>маш.-ч</t>
        </is>
      </c>
      <c r="P153" t="inlineStr">
        <is>
          <t>маш.-ч</t>
        </is>
      </c>
      <c r="Q153" t="n">
        <v>1</v>
      </c>
      <c r="X153" t="n">
        <v>0.05</v>
      </c>
      <c r="Y153" t="n">
        <v>0</v>
      </c>
      <c r="Z153" t="n">
        <v>87.17</v>
      </c>
      <c r="AA153" t="n">
        <v>11.6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0.05</v>
      </c>
      <c r="AH153" t="n">
        <v>2</v>
      </c>
      <c r="AI153" t="n">
        <v>78870047</v>
      </c>
      <c r="AJ153" t="n">
        <v>164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ROW(Source!A337)</f>
        <v/>
      </c>
      <c r="B154" t="n">
        <v>78870056</v>
      </c>
      <c r="C154" t="n">
        <v>78870045</v>
      </c>
      <c r="D154" t="n">
        <v>29110398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101-0388</t>
        </is>
      </c>
      <c r="J154" t="inlineStr">
        <is>
          <t>ТССЦ Московской обл., 101-0388, приказ Минстроя России №675/пр от 28.02.2017 № 254/пр</t>
        </is>
      </c>
      <c r="K154" t="inlineStr">
        <is>
          <t>Краски масляные земляные марки МА-0115 мумия, сурик железный</t>
        </is>
      </c>
      <c r="L154" t="n">
        <v>1348</v>
      </c>
      <c r="N154" t="n">
        <v>1009</v>
      </c>
      <c r="O154" t="inlineStr">
        <is>
          <t>т</t>
        </is>
      </c>
      <c r="P154" t="inlineStr">
        <is>
          <t>т</t>
        </is>
      </c>
      <c r="Q154" t="n">
        <v>1000</v>
      </c>
      <c r="X154" t="n">
        <v>0.0014</v>
      </c>
      <c r="Y154" t="n">
        <v>15118.99</v>
      </c>
      <c r="Z154" t="n">
        <v>0</v>
      </c>
      <c r="AA154" t="n">
        <v>0</v>
      </c>
      <c r="AB154" t="n">
        <v>0</v>
      </c>
      <c r="AC154" t="n">
        <v>0</v>
      </c>
      <c r="AD154" t="n">
        <v>1</v>
      </c>
      <c r="AE154" t="n">
        <v>0</v>
      </c>
      <c r="AF154" t="inlineStr"/>
      <c r="AG154" t="n">
        <v>0.0014</v>
      </c>
      <c r="AH154" t="n">
        <v>2</v>
      </c>
      <c r="AI154" t="n">
        <v>78870048</v>
      </c>
      <c r="AJ154" t="n">
        <v>165</v>
      </c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ROW(Source!A337)</f>
        <v/>
      </c>
      <c r="B155" t="n">
        <v>78870057</v>
      </c>
      <c r="C155" t="n">
        <v>78870045</v>
      </c>
      <c r="D155" t="n">
        <v>29110573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101-0628</t>
        </is>
      </c>
      <c r="J155" t="inlineStr">
        <is>
          <t>ТССЦ Московской обл., 101-0628, приказ Минстроя России №675/пр от 28.02.2017 № 254/пр</t>
        </is>
      </c>
      <c r="K155" t="inlineStr">
        <is>
          <t>Олифа комбинированная, марки К-3</t>
        </is>
      </c>
      <c r="L155" t="n">
        <v>1348</v>
      </c>
      <c r="N155" t="n">
        <v>1009</v>
      </c>
      <c r="O155" t="inlineStr">
        <is>
          <t>т</t>
        </is>
      </c>
      <c r="P155" t="inlineStr">
        <is>
          <t>т</t>
        </is>
      </c>
      <c r="Q155" t="n">
        <v>1000</v>
      </c>
      <c r="X155" t="n">
        <v>0.0007</v>
      </c>
      <c r="Y155" t="n">
        <v>16950</v>
      </c>
      <c r="Z155" t="n">
        <v>0</v>
      </c>
      <c r="AA155" t="n">
        <v>0</v>
      </c>
      <c r="AB155" t="n">
        <v>0</v>
      </c>
      <c r="AC155" t="n">
        <v>0</v>
      </c>
      <c r="AD155" t="n">
        <v>1</v>
      </c>
      <c r="AE155" t="n">
        <v>0</v>
      </c>
      <c r="AF155" t="inlineStr"/>
      <c r="AG155" t="n">
        <v>0.0007</v>
      </c>
      <c r="AH155" t="n">
        <v>2</v>
      </c>
      <c r="AI155" t="n">
        <v>78870049</v>
      </c>
      <c r="AJ155" t="n">
        <v>166</v>
      </c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ROW(Source!A337)</f>
        <v/>
      </c>
      <c r="B156" t="n">
        <v>78870058</v>
      </c>
      <c r="C156" t="n">
        <v>78870045</v>
      </c>
      <c r="D156" t="n">
        <v>29107963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101-1669</t>
        </is>
      </c>
      <c r="J156" t="inlineStr">
        <is>
          <t>ТССЦ Московской обл., 101-1669, приказ Минстроя России №675/пр от 28.02.2017 № 254/пр</t>
        </is>
      </c>
      <c r="K156" t="inlineStr">
        <is>
          <t>Очес льняной</t>
        </is>
      </c>
      <c r="L156" t="n">
        <v>1346</v>
      </c>
      <c r="N156" t="n">
        <v>1009</v>
      </c>
      <c r="O156" t="inlineStr">
        <is>
          <t>кг</t>
        </is>
      </c>
      <c r="P156" t="inlineStr">
        <is>
          <t>кг</t>
        </is>
      </c>
      <c r="Q156" t="n">
        <v>1</v>
      </c>
      <c r="X156" t="n">
        <v>0.7</v>
      </c>
      <c r="Y156" t="n">
        <v>37.29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0.7</v>
      </c>
      <c r="AH156" t="n">
        <v>2</v>
      </c>
      <c r="AI156" t="n">
        <v>78870050</v>
      </c>
      <c r="AJ156" t="n">
        <v>167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ROW(Source!A337)</f>
        <v/>
      </c>
      <c r="B157" t="n">
        <v>78870059</v>
      </c>
      <c r="C157" t="n">
        <v>78870045</v>
      </c>
      <c r="D157" t="n">
        <v>29142465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302-1342</t>
        </is>
      </c>
      <c r="J157" t="inlineStr">
        <is>
          <t>ТССЦ Московской обл., 302-1342, приказ Минстроя России №675/пр от 28.02.2017 № 256/пр</t>
        </is>
      </c>
      <c r="K157" t="inlineStr">
        <is>
          <t>Вентили проходные муфтовые 15кч18п для воды давлением 1,6 МПа (16 кгс/см2), диаметром 20 мм</t>
        </is>
      </c>
      <c r="L157" t="n">
        <v>1354</v>
      </c>
      <c r="N157" t="n">
        <v>1010</v>
      </c>
      <c r="O157" t="inlineStr">
        <is>
          <t>шт.</t>
        </is>
      </c>
      <c r="P157" t="inlineStr">
        <is>
          <t>шт.</t>
        </is>
      </c>
      <c r="Q157" t="n">
        <v>1</v>
      </c>
      <c r="X157" t="n">
        <v>100</v>
      </c>
      <c r="Y157" t="n">
        <v>21.81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100</v>
      </c>
      <c r="AH157" t="n">
        <v>2</v>
      </c>
      <c r="AI157" t="n">
        <v>78870052</v>
      </c>
      <c r="AJ157" t="n">
        <v>169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ROW(Source!A337)</f>
        <v/>
      </c>
      <c r="B158" t="n">
        <v>78870060</v>
      </c>
      <c r="C158" t="n">
        <v>78870045</v>
      </c>
      <c r="D158" t="n">
        <v>29164350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509-9899</t>
        </is>
      </c>
      <c r="J158" t="inlineStr">
        <is>
          <t>ТССЦ Московской обл., 509-9899, приказ Минстроя России №675/пр от 28.02.2017 № 258/пр</t>
        </is>
      </c>
      <c r="K158" t="inlineStr">
        <is>
          <t>Строительный мусор и масса возвратных материалов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X158" t="n">
        <v>0.04</v>
      </c>
      <c r="Y158" t="n">
        <v>0</v>
      </c>
      <c r="Z158" t="n">
        <v>0</v>
      </c>
      <c r="AA158" t="n">
        <v>0</v>
      </c>
      <c r="AB158" t="n">
        <v>0</v>
      </c>
      <c r="AC158" t="n">
        <v>0</v>
      </c>
      <c r="AD158" t="n">
        <v>0</v>
      </c>
      <c r="AE158" t="n">
        <v>0</v>
      </c>
      <c r="AF158" t="inlineStr"/>
      <c r="AG158" t="n">
        <v>0.04</v>
      </c>
      <c r="AH158" t="n">
        <v>2</v>
      </c>
      <c r="AI158" t="n">
        <v>78870053</v>
      </c>
      <c r="AJ158" t="n">
        <v>170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ROW(Source!A340)</f>
        <v/>
      </c>
      <c r="B159" t="n">
        <v>78870070</v>
      </c>
      <c r="C159" t="n">
        <v>78870063</v>
      </c>
      <c r="D159" t="n">
        <v>18442827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1-1053-90</t>
        </is>
      </c>
      <c r="J159" t="inlineStr"/>
      <c r="K159" t="inlineStr">
        <is>
          <t>Рабочий строитель среднего разряда 5,3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X159" t="n">
        <v>5.01</v>
      </c>
      <c r="Y159" t="n">
        <v>0</v>
      </c>
      <c r="Z159" t="n">
        <v>0</v>
      </c>
      <c r="AA159" t="n">
        <v>0</v>
      </c>
      <c r="AB159" t="n">
        <v>11.64</v>
      </c>
      <c r="AC159" t="n">
        <v>0</v>
      </c>
      <c r="AD159" t="n">
        <v>1</v>
      </c>
      <c r="AE159" t="n">
        <v>1</v>
      </c>
      <c r="AF159" t="inlineStr">
        <is>
          <t>)*4</t>
        </is>
      </c>
      <c r="AG159" t="n">
        <v>20.04</v>
      </c>
      <c r="AH159" t="n">
        <v>2</v>
      </c>
      <c r="AI159" t="n">
        <v>78870064</v>
      </c>
      <c r="AJ159" t="n">
        <v>171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ROW(Source!A340)</f>
        <v/>
      </c>
      <c r="B160" t="n">
        <v>78870071</v>
      </c>
      <c r="C160" t="n">
        <v>78870063</v>
      </c>
      <c r="D160" t="n">
        <v>29172703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042900</t>
        </is>
      </c>
      <c r="J160" t="inlineStr">
        <is>
          <t>ТСЭМ Московской обл., 042900, приказ Минстроя России №675/пр от 28.02.2017 № 264/пр</t>
        </is>
      </c>
      <c r="K1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X160" t="n">
        <v>1.5</v>
      </c>
      <c r="Y160" t="n">
        <v>0</v>
      </c>
      <c r="Z160" t="n">
        <v>29.67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>
        <is>
          <t>)*4</t>
        </is>
      </c>
      <c r="AG160" t="n">
        <v>6</v>
      </c>
      <c r="AH160" t="n">
        <v>2</v>
      </c>
      <c r="AI160" t="n">
        <v>78870065</v>
      </c>
      <c r="AJ160" t="n">
        <v>172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ROW(Source!A340)</f>
        <v/>
      </c>
      <c r="B161" t="n">
        <v>78870072</v>
      </c>
      <c r="C161" t="n">
        <v>78870063</v>
      </c>
      <c r="D161" t="n">
        <v>29110398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101-0388</t>
        </is>
      </c>
      <c r="J161" t="inlineStr">
        <is>
          <t>ТССЦ Московской обл., 101-0388, приказ Минстроя России №675/пр от 28.02.2017 № 254/пр</t>
        </is>
      </c>
      <c r="K161" t="inlineStr">
        <is>
          <t>Краски масляные земляные марки МА-0115 мумия, сурик железный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5e-05</v>
      </c>
      <c r="Y161" t="n">
        <v>15118.99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>
        <is>
          <t>)*4</t>
        </is>
      </c>
      <c r="AG161" t="n">
        <v>0.0002</v>
      </c>
      <c r="AH161" t="n">
        <v>2</v>
      </c>
      <c r="AI161" t="n">
        <v>78870066</v>
      </c>
      <c r="AJ161" t="n">
        <v>173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ROW(Source!A340)</f>
        <v/>
      </c>
      <c r="B162" t="n">
        <v>78870073</v>
      </c>
      <c r="C162" t="n">
        <v>78870063</v>
      </c>
      <c r="D162" t="n">
        <v>29110573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101-0628</t>
        </is>
      </c>
      <c r="J162" t="inlineStr">
        <is>
          <t>ТССЦ Московской обл., 101-0628, приказ Минстроя России №675/пр от 28.02.2017 № 254/пр</t>
        </is>
      </c>
      <c r="K162" t="inlineStr">
        <is>
          <t>Олифа комбинированная, марки К-3</t>
        </is>
      </c>
      <c r="L162" t="n">
        <v>1348</v>
      </c>
      <c r="N162" t="n">
        <v>1009</v>
      </c>
      <c r="O162" t="inlineStr">
        <is>
          <t>т</t>
        </is>
      </c>
      <c r="P162" t="inlineStr">
        <is>
          <t>т</t>
        </is>
      </c>
      <c r="Q162" t="n">
        <v>1000</v>
      </c>
      <c r="X162" t="n">
        <v>2e-05</v>
      </c>
      <c r="Y162" t="n">
        <v>16950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>
        <is>
          <t>)*4</t>
        </is>
      </c>
      <c r="AG162" t="n">
        <v>8.000000000000001e-05</v>
      </c>
      <c r="AH162" t="n">
        <v>2</v>
      </c>
      <c r="AI162" t="n">
        <v>78870067</v>
      </c>
      <c r="AJ162" t="n">
        <v>174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ROW(Source!A340)</f>
        <v/>
      </c>
      <c r="B163" t="n">
        <v>78870074</v>
      </c>
      <c r="C163" t="n">
        <v>78870063</v>
      </c>
      <c r="D163" t="n">
        <v>29107963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101-1669</t>
        </is>
      </c>
      <c r="J163" t="inlineStr">
        <is>
          <t>ТССЦ Московской обл., 101-1669, приказ Минстроя России №675/пр от 28.02.2017 № 254/пр</t>
        </is>
      </c>
      <c r="K163" t="inlineStr">
        <is>
          <t>Очес льняной</t>
        </is>
      </c>
      <c r="L163" t="n">
        <v>1346</v>
      </c>
      <c r="N163" t="n">
        <v>1009</v>
      </c>
      <c r="O163" t="inlineStr">
        <is>
          <t>кг</t>
        </is>
      </c>
      <c r="P163" t="inlineStr">
        <is>
          <t>кг</t>
        </is>
      </c>
      <c r="Q163" t="n">
        <v>1</v>
      </c>
      <c r="X163" t="n">
        <v>0.02</v>
      </c>
      <c r="Y163" t="n">
        <v>37.29</v>
      </c>
      <c r="Z163" t="n">
        <v>0</v>
      </c>
      <c r="AA163" t="n">
        <v>0</v>
      </c>
      <c r="AB163" t="n">
        <v>0</v>
      </c>
      <c r="AC163" t="n">
        <v>0</v>
      </c>
      <c r="AD163" t="n">
        <v>1</v>
      </c>
      <c r="AE163" t="n">
        <v>0</v>
      </c>
      <c r="AF163" t="inlineStr">
        <is>
          <t>)*4</t>
        </is>
      </c>
      <c r="AG163" t="n">
        <v>0.08</v>
      </c>
      <c r="AH163" t="n">
        <v>2</v>
      </c>
      <c r="AI163" t="n">
        <v>78870068</v>
      </c>
      <c r="AJ163" t="n">
        <v>175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ROW(Source!A340)</f>
        <v/>
      </c>
      <c r="B164" t="n">
        <v>78870075</v>
      </c>
      <c r="C164" t="n">
        <v>78870063</v>
      </c>
      <c r="D164" t="n">
        <v>29150040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411-0001</t>
        </is>
      </c>
      <c r="J164" t="inlineStr">
        <is>
          <t>ТССЦ Московской обл., 411-0001, приказ Минстроя России №675/пр от 28.02.2017 № 257/пр</t>
        </is>
      </c>
      <c r="K164" t="inlineStr">
        <is>
          <t>Вода</t>
        </is>
      </c>
      <c r="L164" t="n">
        <v>1339</v>
      </c>
      <c r="N164" t="n">
        <v>1007</v>
      </c>
      <c r="O164" t="inlineStr">
        <is>
          <t>м3</t>
        </is>
      </c>
      <c r="P164" t="inlineStr">
        <is>
          <t>м3</t>
        </is>
      </c>
      <c r="Q164" t="n">
        <v>1</v>
      </c>
      <c r="X164" t="n">
        <v>1</v>
      </c>
      <c r="Y164" t="n">
        <v>2.44</v>
      </c>
      <c r="Z164" t="n">
        <v>0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>
        <is>
          <t>)*4</t>
        </is>
      </c>
      <c r="AG164" t="n">
        <v>4</v>
      </c>
      <c r="AH164" t="n">
        <v>2</v>
      </c>
      <c r="AI164" t="n">
        <v>78870069</v>
      </c>
      <c r="AJ164" t="n">
        <v>176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ROW(Source!A379)</f>
        <v/>
      </c>
      <c r="B165" t="n">
        <v>78870139</v>
      </c>
      <c r="C165" t="n">
        <v>78870133</v>
      </c>
      <c r="D165" t="n">
        <v>18408291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1-1025-90</t>
        </is>
      </c>
      <c r="J165" t="inlineStr"/>
      <c r="K165" t="inlineStr">
        <is>
          <t>Рабочий строитель среднего разряда 2,5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X165" t="n">
        <v>32.2</v>
      </c>
      <c r="Y165" t="n">
        <v>0</v>
      </c>
      <c r="Z165" t="n">
        <v>0</v>
      </c>
      <c r="AA165" t="n">
        <v>0</v>
      </c>
      <c r="AB165" t="n">
        <v>8.17</v>
      </c>
      <c r="AC165" t="n">
        <v>0</v>
      </c>
      <c r="AD165" t="n">
        <v>1</v>
      </c>
      <c r="AE165" t="n">
        <v>1</v>
      </c>
      <c r="AF165" t="inlineStr"/>
      <c r="AG165" t="n">
        <v>32.2</v>
      </c>
      <c r="AH165" t="n">
        <v>2</v>
      </c>
      <c r="AI165" t="n">
        <v>78870134</v>
      </c>
      <c r="AJ165" t="n">
        <v>177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ROW(Source!A379)</f>
        <v/>
      </c>
      <c r="B166" t="n">
        <v>78870140</v>
      </c>
      <c r="C166" t="n">
        <v>78870133</v>
      </c>
      <c r="D166" t="n">
        <v>29174913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400001</t>
        </is>
      </c>
      <c r="J166" t="inlineStr">
        <is>
          <t>ТСЭМ Московской обл., 400001, приказ Минстроя России №675/пр от 28.02.2017 № 264/пр</t>
        </is>
      </c>
      <c r="K166" t="inlineStr">
        <is>
          <t>Автомобили бортовые, грузоподъемность до 5 т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0.01</v>
      </c>
      <c r="Y166" t="n">
        <v>0</v>
      </c>
      <c r="Z166" t="n">
        <v>87.17</v>
      </c>
      <c r="AA166" t="n">
        <v>11.6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0.01</v>
      </c>
      <c r="AH166" t="n">
        <v>2</v>
      </c>
      <c r="AI166" t="n">
        <v>78870135</v>
      </c>
      <c r="AJ166" t="n">
        <v>178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ROW(Source!A379)</f>
        <v/>
      </c>
      <c r="B167" t="n">
        <v>78870141</v>
      </c>
      <c r="C167" t="n">
        <v>78870133</v>
      </c>
      <c r="D167" t="n">
        <v>29110139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101-1703</t>
        </is>
      </c>
      <c r="J167" t="inlineStr">
        <is>
          <t>ТССЦ Московской обл., 101-1703, приказ Минстроя России №675/пр от 28.02.2017 № 254/пр</t>
        </is>
      </c>
      <c r="K167" t="inlineStr">
        <is>
          <t>Прокладки резиновые (пластина техническая прессованная)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X167" t="n">
        <v>2</v>
      </c>
      <c r="Y167" t="n">
        <v>23.09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2</v>
      </c>
      <c r="AH167" t="n">
        <v>2</v>
      </c>
      <c r="AI167" t="n">
        <v>78870136</v>
      </c>
      <c r="AJ167" t="n">
        <v>179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ROW(Source!A379)</f>
        <v/>
      </c>
      <c r="B168" t="n">
        <v>78870142</v>
      </c>
      <c r="C168" t="n">
        <v>78870133</v>
      </c>
      <c r="D168" t="n">
        <v>29114240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101-2576</t>
        </is>
      </c>
      <c r="J168" t="inlineStr">
        <is>
          <t>ТССЦ Московской обл., 101-2576, приказ Минстроя России №675/пр от 28.02.2017 № 254/пр</t>
        </is>
      </c>
      <c r="K168" t="inlineStr">
        <is>
          <t>Болты с гайками и шайбами для санитарно-технических работ диаметром 16 мм</t>
        </is>
      </c>
      <c r="L168" t="n">
        <v>1348</v>
      </c>
      <c r="N168" t="n">
        <v>1009</v>
      </c>
      <c r="O168" t="inlineStr">
        <is>
          <t>т</t>
        </is>
      </c>
      <c r="P168" t="inlineStr">
        <is>
          <t>т</t>
        </is>
      </c>
      <c r="Q168" t="n">
        <v>1000</v>
      </c>
      <c r="X168" t="n">
        <v>0.005</v>
      </c>
      <c r="Y168" t="n">
        <v>14830</v>
      </c>
      <c r="Z168" t="n">
        <v>0</v>
      </c>
      <c r="AA168" t="n">
        <v>0</v>
      </c>
      <c r="AB168" t="n">
        <v>0</v>
      </c>
      <c r="AC168" t="n">
        <v>0</v>
      </c>
      <c r="AD168" t="n">
        <v>1</v>
      </c>
      <c r="AE168" t="n">
        <v>0</v>
      </c>
      <c r="AF168" t="inlineStr"/>
      <c r="AG168" t="n">
        <v>0.005</v>
      </c>
      <c r="AH168" t="n">
        <v>2</v>
      </c>
      <c r="AI168" t="n">
        <v>78870137</v>
      </c>
      <c r="AJ168" t="n">
        <v>180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ROW(Source!A379)</f>
        <v/>
      </c>
      <c r="B169" t="n">
        <v>78870143</v>
      </c>
      <c r="C169" t="n">
        <v>78870133</v>
      </c>
      <c r="D169" t="n">
        <v>29150040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411-0001</t>
        </is>
      </c>
      <c r="J169" t="inlineStr">
        <is>
          <t>ТССЦ Московской обл., 411-0001, приказ Минстроя России №675/пр от 28.02.2017 № 257/пр</t>
        </is>
      </c>
      <c r="K169" t="inlineStr">
        <is>
          <t>Вода</t>
        </is>
      </c>
      <c r="L169" t="n">
        <v>1339</v>
      </c>
      <c r="N169" t="n">
        <v>1007</v>
      </c>
      <c r="O169" t="inlineStr">
        <is>
          <t>м3</t>
        </is>
      </c>
      <c r="P169" t="inlineStr">
        <is>
          <t>м3</t>
        </is>
      </c>
      <c r="Q169" t="n">
        <v>1</v>
      </c>
      <c r="X169" t="n">
        <v>7.8</v>
      </c>
      <c r="Y169" t="n">
        <v>2.44</v>
      </c>
      <c r="Z169" t="n">
        <v>0</v>
      </c>
      <c r="AA169" t="n">
        <v>0</v>
      </c>
      <c r="AB169" t="n">
        <v>0</v>
      </c>
      <c r="AC169" t="n">
        <v>0</v>
      </c>
      <c r="AD169" t="n">
        <v>1</v>
      </c>
      <c r="AE169" t="n">
        <v>0</v>
      </c>
      <c r="AF169" t="inlineStr"/>
      <c r="AG169" t="n">
        <v>7.8</v>
      </c>
      <c r="AH169" t="n">
        <v>2</v>
      </c>
      <c r="AI169" t="n">
        <v>78870138</v>
      </c>
      <c r="AJ169" t="n">
        <v>181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ROW(Source!A380)</f>
        <v/>
      </c>
      <c r="B170" t="n">
        <v>78870148</v>
      </c>
      <c r="C170" t="n">
        <v>78870144</v>
      </c>
      <c r="D170" t="n">
        <v>18407150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1-1030-90</t>
        </is>
      </c>
      <c r="J170" t="inlineStr"/>
      <c r="K170" t="inlineStr">
        <is>
          <t>Рабочий строитель среднего разряда 3</t>
        </is>
      </c>
      <c r="L170" t="n">
        <v>1369</v>
      </c>
      <c r="N170" t="n">
        <v>1013</v>
      </c>
      <c r="O170" t="inlineStr">
        <is>
          <t>чел.-ч</t>
        </is>
      </c>
      <c r="P170" t="inlineStr">
        <is>
          <t>чел.-ч</t>
        </is>
      </c>
      <c r="Q170" t="n">
        <v>1</v>
      </c>
      <c r="X170" t="n">
        <v>13.9</v>
      </c>
      <c r="Y170" t="n">
        <v>0</v>
      </c>
      <c r="Z170" t="n">
        <v>0</v>
      </c>
      <c r="AA170" t="n">
        <v>0</v>
      </c>
      <c r="AB170" t="n">
        <v>8.529999999999999</v>
      </c>
      <c r="AC170" t="n">
        <v>0</v>
      </c>
      <c r="AD170" t="n">
        <v>1</v>
      </c>
      <c r="AE170" t="n">
        <v>1</v>
      </c>
      <c r="AF170" t="inlineStr"/>
      <c r="AG170" t="n">
        <v>13.9</v>
      </c>
      <c r="AH170" t="n">
        <v>2</v>
      </c>
      <c r="AI170" t="n">
        <v>78870145</v>
      </c>
      <c r="AJ170" t="n">
        <v>182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ROW(Source!A380)</f>
        <v/>
      </c>
      <c r="B171" t="n">
        <v>78870149</v>
      </c>
      <c r="C171" t="n">
        <v>78870144</v>
      </c>
      <c r="D171" t="n">
        <v>29169821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509-0696</t>
        </is>
      </c>
      <c r="J171" t="inlineStr">
        <is>
          <t>ТССЦ Московской обл., 509-0696, приказ Минстроя России №675/пр от 28.02.2017 № 258/пр</t>
        </is>
      </c>
      <c r="K171" t="inlineStr">
        <is>
          <t>Лампы люминесцентные ртутные низкого давления типа ЛБ, ЛД, ЛДЦ, ЛТВ, ЛБХ 20</t>
        </is>
      </c>
      <c r="L171" t="n">
        <v>1358</v>
      </c>
      <c r="N171" t="n">
        <v>1010</v>
      </c>
      <c r="O171" t="inlineStr">
        <is>
          <t>10 шт.</t>
        </is>
      </c>
      <c r="P171" t="inlineStr">
        <is>
          <t>10 шт.</t>
        </is>
      </c>
      <c r="Q171" t="n">
        <v>10</v>
      </c>
      <c r="X171" t="n">
        <v>10</v>
      </c>
      <c r="Y171" t="n">
        <v>85.2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</v>
      </c>
      <c r="AH171" t="n">
        <v>2</v>
      </c>
      <c r="AI171" t="n">
        <v>78870146</v>
      </c>
      <c r="AJ171" t="n">
        <v>183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ROW(Source!A382)</f>
        <v/>
      </c>
      <c r="B172" t="n">
        <v>78870160</v>
      </c>
      <c r="C172" t="n">
        <v>78870151</v>
      </c>
      <c r="D172" t="n">
        <v>18409850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1-1035-90</t>
        </is>
      </c>
      <c r="J172" t="inlineStr"/>
      <c r="K172" t="inlineStr">
        <is>
          <t>Рабочий строитель среднего разряда 3,5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81</v>
      </c>
      <c r="Y172" t="n">
        <v>0</v>
      </c>
      <c r="Z172" t="n">
        <v>0</v>
      </c>
      <c r="AA172" t="n">
        <v>0</v>
      </c>
      <c r="AB172" t="n">
        <v>9.07</v>
      </c>
      <c r="AC172" t="n">
        <v>0</v>
      </c>
      <c r="AD172" t="n">
        <v>1</v>
      </c>
      <c r="AE172" t="n">
        <v>1</v>
      </c>
      <c r="AF172" t="inlineStr"/>
      <c r="AG172" t="n">
        <v>81</v>
      </c>
      <c r="AH172" t="n">
        <v>2</v>
      </c>
      <c r="AI172" t="n">
        <v>78870152</v>
      </c>
      <c r="AJ172" t="n">
        <v>185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ROW(Source!A382)</f>
        <v/>
      </c>
      <c r="B173" t="n">
        <v>78870161</v>
      </c>
      <c r="C173" t="n">
        <v>78870151</v>
      </c>
      <c r="D173" t="n">
        <v>29174913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400001</t>
        </is>
      </c>
      <c r="J173" t="inlineStr">
        <is>
          <t>ТСЭМ Московской обл., 400001, приказ Минстроя России №675/пр от 28.02.2017 № 264/пр</t>
        </is>
      </c>
      <c r="K173" t="inlineStr">
        <is>
          <t>Автомобили бортовые, грузоподъемность до 5 т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X173" t="n">
        <v>0.05</v>
      </c>
      <c r="Y173" t="n">
        <v>0</v>
      </c>
      <c r="Z173" t="n">
        <v>87.17</v>
      </c>
      <c r="AA173" t="n">
        <v>11.6</v>
      </c>
      <c r="AB173" t="n">
        <v>0</v>
      </c>
      <c r="AC173" t="n">
        <v>0</v>
      </c>
      <c r="AD173" t="n">
        <v>1</v>
      </c>
      <c r="AE173" t="n">
        <v>0</v>
      </c>
      <c r="AF173" t="inlineStr"/>
      <c r="AG173" t="n">
        <v>0.05</v>
      </c>
      <c r="AH173" t="n">
        <v>2</v>
      </c>
      <c r="AI173" t="n">
        <v>78870153</v>
      </c>
      <c r="AJ173" t="n">
        <v>186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ROW(Source!A382)</f>
        <v/>
      </c>
      <c r="B174" t="n">
        <v>78870162</v>
      </c>
      <c r="C174" t="n">
        <v>78870151</v>
      </c>
      <c r="D174" t="n">
        <v>29110398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101-0388</t>
        </is>
      </c>
      <c r="J174" t="inlineStr">
        <is>
          <t>ТССЦ Московской обл., 101-0388, приказ Минстроя России №675/пр от 28.02.2017 № 254/пр</t>
        </is>
      </c>
      <c r="K174" t="inlineStr">
        <is>
          <t>Краски масляные земляные марки МА-0115 мумия, сурик железный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X174" t="n">
        <v>0.0014</v>
      </c>
      <c r="Y174" t="n">
        <v>15118.99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0</v>
      </c>
      <c r="AF174" t="inlineStr"/>
      <c r="AG174" t="n">
        <v>0.0014</v>
      </c>
      <c r="AH174" t="n">
        <v>2</v>
      </c>
      <c r="AI174" t="n">
        <v>78870154</v>
      </c>
      <c r="AJ174" t="n">
        <v>187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ROW(Source!A382)</f>
        <v/>
      </c>
      <c r="B175" t="n">
        <v>78870163</v>
      </c>
      <c r="C175" t="n">
        <v>78870151</v>
      </c>
      <c r="D175" t="n">
        <v>29110573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101-0628</t>
        </is>
      </c>
      <c r="J175" t="inlineStr">
        <is>
          <t>ТССЦ Московской обл., 101-0628, приказ Минстроя России №675/пр от 28.02.2017 № 254/пр</t>
        </is>
      </c>
      <c r="K175" t="inlineStr">
        <is>
          <t>Олифа комбинированная, марки К-3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X175" t="n">
        <v>0.0007</v>
      </c>
      <c r="Y175" t="n">
        <v>16950</v>
      </c>
      <c r="Z175" t="n">
        <v>0</v>
      </c>
      <c r="AA175" t="n">
        <v>0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0.0007</v>
      </c>
      <c r="AH175" t="n">
        <v>2</v>
      </c>
      <c r="AI175" t="n">
        <v>78870155</v>
      </c>
      <c r="AJ175" t="n">
        <v>188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ROW(Source!A382)</f>
        <v/>
      </c>
      <c r="B176" t="n">
        <v>78870164</v>
      </c>
      <c r="C176" t="n">
        <v>78870151</v>
      </c>
      <c r="D176" t="n">
        <v>29107963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101-1669</t>
        </is>
      </c>
      <c r="J176" t="inlineStr">
        <is>
          <t>ТССЦ Московской обл., 101-1669, приказ Минстроя России №675/пр от 28.02.2017 № 254/пр</t>
        </is>
      </c>
      <c r="K176" t="inlineStr">
        <is>
          <t>Очес льняной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X176" t="n">
        <v>0.7</v>
      </c>
      <c r="Y176" t="n">
        <v>37.29</v>
      </c>
      <c r="Z176" t="n">
        <v>0</v>
      </c>
      <c r="AA176" t="n">
        <v>0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0.7</v>
      </c>
      <c r="AH176" t="n">
        <v>2</v>
      </c>
      <c r="AI176" t="n">
        <v>78870156</v>
      </c>
      <c r="AJ176" t="n">
        <v>189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ROW(Source!A382)</f>
        <v/>
      </c>
      <c r="B177" t="n">
        <v>78870165</v>
      </c>
      <c r="C177" t="n">
        <v>78870151</v>
      </c>
      <c r="D177" t="n">
        <v>29142465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302-1342</t>
        </is>
      </c>
      <c r="J177" t="inlineStr">
        <is>
          <t>ТССЦ Московской обл., 302-1342, приказ Минстроя России №675/пр от 28.02.2017 № 256/пр</t>
        </is>
      </c>
      <c r="K177" t="inlineStr">
        <is>
          <t>Вентили проходные муфтовые 15кч18п для воды давлением 1,6 МПа (16 кгс/см2), диаметром 20 мм</t>
        </is>
      </c>
      <c r="L177" t="n">
        <v>1354</v>
      </c>
      <c r="N177" t="n">
        <v>1010</v>
      </c>
      <c r="O177" t="inlineStr">
        <is>
          <t>шт.</t>
        </is>
      </c>
      <c r="P177" t="inlineStr">
        <is>
          <t>шт.</t>
        </is>
      </c>
      <c r="Q177" t="n">
        <v>1</v>
      </c>
      <c r="X177" t="n">
        <v>100</v>
      </c>
      <c r="Y177" t="n">
        <v>21.81</v>
      </c>
      <c r="Z177" t="n">
        <v>0</v>
      </c>
      <c r="AA177" t="n">
        <v>0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100</v>
      </c>
      <c r="AH177" t="n">
        <v>2</v>
      </c>
      <c r="AI177" t="n">
        <v>78870158</v>
      </c>
      <c r="AJ177" t="n">
        <v>191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ROW(Source!A382)</f>
        <v/>
      </c>
      <c r="B178" t="n">
        <v>78870166</v>
      </c>
      <c r="C178" t="n">
        <v>78870151</v>
      </c>
      <c r="D178" t="n">
        <v>29164350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509-9899</t>
        </is>
      </c>
      <c r="J178" t="inlineStr">
        <is>
          <t>ТССЦ Московской обл., 509-9899, приказ Минстроя России №675/пр от 28.02.2017 № 258/пр</t>
        </is>
      </c>
      <c r="K178" t="inlineStr">
        <is>
          <t>Строительный мусор и масса возвратных материалов</t>
        </is>
      </c>
      <c r="L178" t="n">
        <v>1348</v>
      </c>
      <c r="N178" t="n">
        <v>1009</v>
      </c>
      <c r="O178" t="inlineStr">
        <is>
          <t>т</t>
        </is>
      </c>
      <c r="P178" t="inlineStr">
        <is>
          <t>т</t>
        </is>
      </c>
      <c r="Q178" t="n">
        <v>1000</v>
      </c>
      <c r="X178" t="n">
        <v>0.04</v>
      </c>
      <c r="Y178" t="n">
        <v>0</v>
      </c>
      <c r="Z178" t="n">
        <v>0</v>
      </c>
      <c r="AA178" t="n">
        <v>0</v>
      </c>
      <c r="AB178" t="n">
        <v>0</v>
      </c>
      <c r="AC178" t="n">
        <v>0</v>
      </c>
      <c r="AD178" t="n">
        <v>0</v>
      </c>
      <c r="AE178" t="n">
        <v>0</v>
      </c>
      <c r="AF178" t="inlineStr"/>
      <c r="AG178" t="n">
        <v>0.04</v>
      </c>
      <c r="AH178" t="n">
        <v>2</v>
      </c>
      <c r="AI178" t="n">
        <v>78870159</v>
      </c>
      <c r="AJ178" t="n">
        <v>192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ROW(Source!A385)</f>
        <v/>
      </c>
      <c r="B179" t="n">
        <v>78870176</v>
      </c>
      <c r="C179" t="n">
        <v>78870169</v>
      </c>
      <c r="D179" t="n">
        <v>18442827</v>
      </c>
      <c r="E179" t="n">
        <v>1</v>
      </c>
      <c r="F179" t="n">
        <v>1</v>
      </c>
      <c r="G179" t="n">
        <v>1</v>
      </c>
      <c r="H179" t="n">
        <v>1</v>
      </c>
      <c r="I179" t="inlineStr">
        <is>
          <t>1-1053-90</t>
        </is>
      </c>
      <c r="J179" t="inlineStr"/>
      <c r="K179" t="inlineStr">
        <is>
          <t>Рабочий строитель среднего разряда 5,3</t>
        </is>
      </c>
      <c r="L179" t="n">
        <v>1369</v>
      </c>
      <c r="N179" t="n">
        <v>1013</v>
      </c>
      <c r="O179" t="inlineStr">
        <is>
          <t>чел.-ч</t>
        </is>
      </c>
      <c r="P179" t="inlineStr">
        <is>
          <t>чел.-ч</t>
        </is>
      </c>
      <c r="Q179" t="n">
        <v>1</v>
      </c>
      <c r="X179" t="n">
        <v>5.01</v>
      </c>
      <c r="Y179" t="n">
        <v>0</v>
      </c>
      <c r="Z179" t="n">
        <v>0</v>
      </c>
      <c r="AA179" t="n">
        <v>0</v>
      </c>
      <c r="AB179" t="n">
        <v>11.64</v>
      </c>
      <c r="AC179" t="n">
        <v>0</v>
      </c>
      <c r="AD179" t="n">
        <v>1</v>
      </c>
      <c r="AE179" t="n">
        <v>1</v>
      </c>
      <c r="AF179" t="inlineStr">
        <is>
          <t>)*5</t>
        </is>
      </c>
      <c r="AG179" t="n">
        <v>25.05</v>
      </c>
      <c r="AH179" t="n">
        <v>2</v>
      </c>
      <c r="AI179" t="n">
        <v>78870170</v>
      </c>
      <c r="AJ179" t="n">
        <v>193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ROW(Source!A385)</f>
        <v/>
      </c>
      <c r="B180" t="n">
        <v>78870177</v>
      </c>
      <c r="C180" t="n">
        <v>78870169</v>
      </c>
      <c r="D180" t="n">
        <v>29172703</v>
      </c>
      <c r="E180" t="n">
        <v>1</v>
      </c>
      <c r="F180" t="n">
        <v>1</v>
      </c>
      <c r="G180" t="n">
        <v>1</v>
      </c>
      <c r="H180" t="n">
        <v>2</v>
      </c>
      <c r="I180" t="inlineStr">
        <is>
          <t>042900</t>
        </is>
      </c>
      <c r="J180" t="inlineStr">
        <is>
          <t>ТСЭМ Московской обл., 042900, приказ Минстроя России №675/пр от 28.02.2017 № 264/пр</t>
        </is>
      </c>
      <c r="K1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0" t="n">
        <v>1368</v>
      </c>
      <c r="N180" t="n">
        <v>1011</v>
      </c>
      <c r="O180" t="inlineStr">
        <is>
          <t>маш.-ч</t>
        </is>
      </c>
      <c r="P180" t="inlineStr">
        <is>
          <t>маш.-ч</t>
        </is>
      </c>
      <c r="Q180" t="n">
        <v>1</v>
      </c>
      <c r="X180" t="n">
        <v>1.5</v>
      </c>
      <c r="Y180" t="n">
        <v>0</v>
      </c>
      <c r="Z180" t="n">
        <v>29.67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>
        <is>
          <t>)*5</t>
        </is>
      </c>
      <c r="AG180" t="n">
        <v>7.5</v>
      </c>
      <c r="AH180" t="n">
        <v>2</v>
      </c>
      <c r="AI180" t="n">
        <v>78870171</v>
      </c>
      <c r="AJ180" t="n">
        <v>194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ROW(Source!A385)</f>
        <v/>
      </c>
      <c r="B181" t="n">
        <v>78870178</v>
      </c>
      <c r="C181" t="n">
        <v>78870169</v>
      </c>
      <c r="D181" t="n">
        <v>29110398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101-0388</t>
        </is>
      </c>
      <c r="J181" t="inlineStr">
        <is>
          <t>ТССЦ Московской обл., 101-0388, приказ Минстроя России №675/пр от 28.02.2017 № 254/пр</t>
        </is>
      </c>
      <c r="K181" t="inlineStr">
        <is>
          <t>Краски масляные земляные марки МА-0115 мумия, сурик железный</t>
        </is>
      </c>
      <c r="L181" t="n">
        <v>1348</v>
      </c>
      <c r="N181" t="n">
        <v>1009</v>
      </c>
      <c r="O181" t="inlineStr">
        <is>
          <t>т</t>
        </is>
      </c>
      <c r="P181" t="inlineStr">
        <is>
          <t>т</t>
        </is>
      </c>
      <c r="Q181" t="n">
        <v>1000</v>
      </c>
      <c r="X181" t="n">
        <v>5e-05</v>
      </c>
      <c r="Y181" t="n">
        <v>15118.99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>
        <is>
          <t>)*5</t>
        </is>
      </c>
      <c r="AG181" t="n">
        <v>0.00025</v>
      </c>
      <c r="AH181" t="n">
        <v>2</v>
      </c>
      <c r="AI181" t="n">
        <v>78870172</v>
      </c>
      <c r="AJ181" t="n">
        <v>195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ROW(Source!A385)</f>
        <v/>
      </c>
      <c r="B182" t="n">
        <v>78870179</v>
      </c>
      <c r="C182" t="n">
        <v>78870169</v>
      </c>
      <c r="D182" t="n">
        <v>29110573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101-0628</t>
        </is>
      </c>
      <c r="J182" t="inlineStr">
        <is>
          <t>ТССЦ Московской обл., 101-0628, приказ Минстроя России №675/пр от 28.02.2017 № 254/пр</t>
        </is>
      </c>
      <c r="K182" t="inlineStr">
        <is>
          <t>Олифа комбинированная, марки К-3</t>
        </is>
      </c>
      <c r="L182" t="n">
        <v>1348</v>
      </c>
      <c r="N182" t="n">
        <v>1009</v>
      </c>
      <c r="O182" t="inlineStr">
        <is>
          <t>т</t>
        </is>
      </c>
      <c r="P182" t="inlineStr">
        <is>
          <t>т</t>
        </is>
      </c>
      <c r="Q182" t="n">
        <v>1000</v>
      </c>
      <c r="X182" t="n">
        <v>2e-05</v>
      </c>
      <c r="Y182" t="n">
        <v>16950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>
        <is>
          <t>)*5</t>
        </is>
      </c>
      <c r="AG182" t="n">
        <v>0.0001</v>
      </c>
      <c r="AH182" t="n">
        <v>2</v>
      </c>
      <c r="AI182" t="n">
        <v>78870173</v>
      </c>
      <c r="AJ182" t="n">
        <v>196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ROW(Source!A385)</f>
        <v/>
      </c>
      <c r="B183" t="n">
        <v>78870180</v>
      </c>
      <c r="C183" t="n">
        <v>78870169</v>
      </c>
      <c r="D183" t="n">
        <v>29107963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101-1669</t>
        </is>
      </c>
      <c r="J183" t="inlineStr">
        <is>
          <t>ТССЦ Московской обл., 101-1669, приказ Минстроя России №675/пр от 28.02.2017 № 254/пр</t>
        </is>
      </c>
      <c r="K183" t="inlineStr">
        <is>
          <t>Очес льняной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X183" t="n">
        <v>0.02</v>
      </c>
      <c r="Y183" t="n">
        <v>37.29</v>
      </c>
      <c r="Z183" t="n">
        <v>0</v>
      </c>
      <c r="AA183" t="n">
        <v>0</v>
      </c>
      <c r="AB183" t="n">
        <v>0</v>
      </c>
      <c r="AC183" t="n">
        <v>0</v>
      </c>
      <c r="AD183" t="n">
        <v>1</v>
      </c>
      <c r="AE183" t="n">
        <v>0</v>
      </c>
      <c r="AF183" t="inlineStr">
        <is>
          <t>)*5</t>
        </is>
      </c>
      <c r="AG183" t="n">
        <v>0.1</v>
      </c>
      <c r="AH183" t="n">
        <v>2</v>
      </c>
      <c r="AI183" t="n">
        <v>78870174</v>
      </c>
      <c r="AJ183" t="n">
        <v>197</v>
      </c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ROW(Source!A385)</f>
        <v/>
      </c>
      <c r="B184" t="n">
        <v>78870181</v>
      </c>
      <c r="C184" t="n">
        <v>78870169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X184" t="n">
        <v>1</v>
      </c>
      <c r="Y184" t="n">
        <v>2.44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>
        <is>
          <t>)*5</t>
        </is>
      </c>
      <c r="AG184" t="n">
        <v>5</v>
      </c>
      <c r="AH184" t="n">
        <v>2</v>
      </c>
      <c r="AI184" t="n">
        <v>78870175</v>
      </c>
      <c r="AJ184" t="n">
        <v>198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ROW(Source!A424)</f>
        <v/>
      </c>
      <c r="B185" t="n">
        <v>78870249</v>
      </c>
      <c r="C185" t="n">
        <v>78870243</v>
      </c>
      <c r="D185" t="n">
        <v>18408291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1-1025-90</t>
        </is>
      </c>
      <c r="J185" t="inlineStr"/>
      <c r="K185" t="inlineStr">
        <is>
          <t>Рабочий строитель среднего разряда 2,5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X185" t="n">
        <v>32.2</v>
      </c>
      <c r="Y185" t="n">
        <v>0</v>
      </c>
      <c r="Z185" t="n">
        <v>0</v>
      </c>
      <c r="AA185" t="n">
        <v>0</v>
      </c>
      <c r="AB185" t="n">
        <v>8.17</v>
      </c>
      <c r="AC185" t="n">
        <v>0</v>
      </c>
      <c r="AD185" t="n">
        <v>1</v>
      </c>
      <c r="AE185" t="n">
        <v>1</v>
      </c>
      <c r="AF185" t="inlineStr"/>
      <c r="AG185" t="n">
        <v>32.2</v>
      </c>
      <c r="AH185" t="n">
        <v>2</v>
      </c>
      <c r="AI185" t="n">
        <v>78870244</v>
      </c>
      <c r="AJ185" t="n">
        <v>199</v>
      </c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ROW(Source!A424)</f>
        <v/>
      </c>
      <c r="B186" t="n">
        <v>78870250</v>
      </c>
      <c r="C186" t="n">
        <v>78870243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X186" t="n">
        <v>0.01</v>
      </c>
      <c r="Y186" t="n">
        <v>0</v>
      </c>
      <c r="Z186" t="n">
        <v>87.17</v>
      </c>
      <c r="AA186" t="n">
        <v>11.6</v>
      </c>
      <c r="AB186" t="n">
        <v>0</v>
      </c>
      <c r="AC186" t="n">
        <v>0</v>
      </c>
      <c r="AD186" t="n">
        <v>1</v>
      </c>
      <c r="AE186" t="n">
        <v>0</v>
      </c>
      <c r="AF186" t="inlineStr"/>
      <c r="AG186" t="n">
        <v>0.01</v>
      </c>
      <c r="AH186" t="n">
        <v>2</v>
      </c>
      <c r="AI186" t="n">
        <v>78870245</v>
      </c>
      <c r="AJ186" t="n">
        <v>200</v>
      </c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ROW(Source!A424)</f>
        <v/>
      </c>
      <c r="B187" t="n">
        <v>78870251</v>
      </c>
      <c r="C187" t="n">
        <v>78870243</v>
      </c>
      <c r="D187" t="n">
        <v>29110139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101-1703</t>
        </is>
      </c>
      <c r="J187" t="inlineStr">
        <is>
          <t>ТССЦ Московской обл., 101-1703, приказ Минстроя России №675/пр от 28.02.2017 № 254/пр</t>
        </is>
      </c>
      <c r="K187" t="inlineStr">
        <is>
          <t>Прокладки резиновые (пластина техническая прессованная)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2</v>
      </c>
      <c r="Y187" t="n">
        <v>23.09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2</v>
      </c>
      <c r="AH187" t="n">
        <v>2</v>
      </c>
      <c r="AI187" t="n">
        <v>78870246</v>
      </c>
      <c r="AJ187" t="n">
        <v>201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ROW(Source!A424)</f>
        <v/>
      </c>
      <c r="B188" t="n">
        <v>78870252</v>
      </c>
      <c r="C188" t="n">
        <v>78870243</v>
      </c>
      <c r="D188" t="n">
        <v>29114240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101-2576</t>
        </is>
      </c>
      <c r="J188" t="inlineStr">
        <is>
          <t>ТССЦ Московской обл., 101-2576, приказ Минстроя России №675/пр от 28.02.2017 № 254/пр</t>
        </is>
      </c>
      <c r="K188" t="inlineStr">
        <is>
          <t>Болты с гайками и шайбами для санитарно-технических работ диаметром 16 мм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X188" t="n">
        <v>0.005</v>
      </c>
      <c r="Y188" t="n">
        <v>14830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0.005</v>
      </c>
      <c r="AH188" t="n">
        <v>2</v>
      </c>
      <c r="AI188" t="n">
        <v>78870247</v>
      </c>
      <c r="AJ188" t="n">
        <v>202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ROW(Source!A424)</f>
        <v/>
      </c>
      <c r="B189" t="n">
        <v>78870253</v>
      </c>
      <c r="C189" t="n">
        <v>78870243</v>
      </c>
      <c r="D189" t="n">
        <v>29150040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411-0001</t>
        </is>
      </c>
      <c r="J189" t="inlineStr">
        <is>
          <t>ТССЦ Московской обл., 411-0001, приказ Минстроя России №675/пр от 28.02.2017 № 257/пр</t>
        </is>
      </c>
      <c r="K189" t="inlineStr">
        <is>
          <t>Вода</t>
        </is>
      </c>
      <c r="L189" t="n">
        <v>1339</v>
      </c>
      <c r="N189" t="n">
        <v>1007</v>
      </c>
      <c r="O189" t="inlineStr">
        <is>
          <t>м3</t>
        </is>
      </c>
      <c r="P189" t="inlineStr">
        <is>
          <t>м3</t>
        </is>
      </c>
      <c r="Q189" t="n">
        <v>1</v>
      </c>
      <c r="X189" t="n">
        <v>7.8</v>
      </c>
      <c r="Y189" t="n">
        <v>2.44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7.8</v>
      </c>
      <c r="AH189" t="n">
        <v>2</v>
      </c>
      <c r="AI189" t="n">
        <v>78870248</v>
      </c>
      <c r="AJ189" t="n">
        <v>203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ROW(Source!A425)</f>
        <v/>
      </c>
      <c r="B190" t="n">
        <v>78870258</v>
      </c>
      <c r="C190" t="n">
        <v>78870254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13.9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13.9</v>
      </c>
      <c r="AH190" t="n">
        <v>2</v>
      </c>
      <c r="AI190" t="n">
        <v>78870255</v>
      </c>
      <c r="AJ190" t="n">
        <v>204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ROW(Source!A425)</f>
        <v/>
      </c>
      <c r="B191" t="n">
        <v>78870259</v>
      </c>
      <c r="C191" t="n">
        <v>78870254</v>
      </c>
      <c r="D191" t="n">
        <v>29169821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509-0696</t>
        </is>
      </c>
      <c r="J191" t="inlineStr">
        <is>
          <t>ТССЦ Московской обл., 509-0696, приказ Минстроя России №675/пр от 28.02.2017 № 258/пр</t>
        </is>
      </c>
      <c r="K191" t="inlineStr">
        <is>
          <t>Лампы люминесцентные ртутные низкого давления типа ЛБ, ЛД, ЛДЦ, ЛТВ, ЛБХ 20</t>
        </is>
      </c>
      <c r="L191" t="n">
        <v>1358</v>
      </c>
      <c r="N191" t="n">
        <v>1010</v>
      </c>
      <c r="O191" t="inlineStr">
        <is>
          <t>10 шт.</t>
        </is>
      </c>
      <c r="P191" t="inlineStr">
        <is>
          <t>10 шт.</t>
        </is>
      </c>
      <c r="Q191" t="n">
        <v>10</v>
      </c>
      <c r="X191" t="n">
        <v>10</v>
      </c>
      <c r="Y191" t="n">
        <v>85.2</v>
      </c>
      <c r="Z191" t="n">
        <v>0</v>
      </c>
      <c r="AA191" t="n">
        <v>0</v>
      </c>
      <c r="AB191" t="n">
        <v>0</v>
      </c>
      <c r="AC191" t="n">
        <v>0</v>
      </c>
      <c r="AD191" t="n">
        <v>1</v>
      </c>
      <c r="AE191" t="n">
        <v>0</v>
      </c>
      <c r="AF191" t="inlineStr"/>
      <c r="AG191" t="n">
        <v>10</v>
      </c>
      <c r="AH191" t="n">
        <v>2</v>
      </c>
      <c r="AI191" t="n">
        <v>78870256</v>
      </c>
      <c r="AJ191" t="n">
        <v>205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ROW(Source!A427)</f>
        <v/>
      </c>
      <c r="B192" t="n">
        <v>78870286</v>
      </c>
      <c r="C192" t="n">
        <v>78870279</v>
      </c>
      <c r="D192" t="n">
        <v>18442827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1-1053-90</t>
        </is>
      </c>
      <c r="J192" t="inlineStr"/>
      <c r="K192" t="inlineStr">
        <is>
          <t>Рабочий строитель среднего разряда 5,3</t>
        </is>
      </c>
      <c r="L192" t="n">
        <v>1369</v>
      </c>
      <c r="N192" t="n">
        <v>1013</v>
      </c>
      <c r="O192" t="inlineStr">
        <is>
          <t>чел.-ч</t>
        </is>
      </c>
      <c r="P192" t="inlineStr">
        <is>
          <t>чел.-ч</t>
        </is>
      </c>
      <c r="Q192" t="n">
        <v>1</v>
      </c>
      <c r="X192" t="n">
        <v>5.01</v>
      </c>
      <c r="Y192" t="n">
        <v>0</v>
      </c>
      <c r="Z192" t="n">
        <v>0</v>
      </c>
      <c r="AA192" t="n">
        <v>0</v>
      </c>
      <c r="AB192" t="n">
        <v>11.64</v>
      </c>
      <c r="AC192" t="n">
        <v>0</v>
      </c>
      <c r="AD192" t="n">
        <v>1</v>
      </c>
      <c r="AE192" t="n">
        <v>1</v>
      </c>
      <c r="AF192" t="inlineStr">
        <is>
          <t>)*2</t>
        </is>
      </c>
      <c r="AG192" t="n">
        <v>10.02</v>
      </c>
      <c r="AH192" t="n">
        <v>2</v>
      </c>
      <c r="AI192" t="n">
        <v>78870280</v>
      </c>
      <c r="AJ192" t="n">
        <v>207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ROW(Source!A427)</f>
        <v/>
      </c>
      <c r="B193" t="n">
        <v>78870287</v>
      </c>
      <c r="C193" t="n">
        <v>78870279</v>
      </c>
      <c r="D193" t="n">
        <v>29172703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042900</t>
        </is>
      </c>
      <c r="J193" t="inlineStr">
        <is>
          <t>ТСЭМ Московской обл., 042900, приказ Минстроя России №675/пр от 28.02.2017 № 264/пр</t>
        </is>
      </c>
      <c r="K19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1.5</v>
      </c>
      <c r="Y193" t="n">
        <v>0</v>
      </c>
      <c r="Z193" t="n">
        <v>29.67</v>
      </c>
      <c r="AA193" t="n">
        <v>0</v>
      </c>
      <c r="AB193" t="n">
        <v>0</v>
      </c>
      <c r="AC193" t="n">
        <v>0</v>
      </c>
      <c r="AD193" t="n">
        <v>1</v>
      </c>
      <c r="AE193" t="n">
        <v>0</v>
      </c>
      <c r="AF193" t="inlineStr">
        <is>
          <t>)*2</t>
        </is>
      </c>
      <c r="AG193" t="n">
        <v>3</v>
      </c>
      <c r="AH193" t="n">
        <v>2</v>
      </c>
      <c r="AI193" t="n">
        <v>78870281</v>
      </c>
      <c r="AJ193" t="n">
        <v>208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ROW(Source!A427)</f>
        <v/>
      </c>
      <c r="B194" t="n">
        <v>78870288</v>
      </c>
      <c r="C194" t="n">
        <v>78870279</v>
      </c>
      <c r="D194" t="n">
        <v>29110398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101-0388</t>
        </is>
      </c>
      <c r="J194" t="inlineStr">
        <is>
          <t>ТССЦ Московской обл., 101-0388, приказ Минстроя России №675/пр от 28.02.2017 № 254/пр</t>
        </is>
      </c>
      <c r="K194" t="inlineStr">
        <is>
          <t>Краски масляные земляные марки МА-0115 мумия, сурик железный</t>
        </is>
      </c>
      <c r="L194" t="n">
        <v>1348</v>
      </c>
      <c r="N194" t="n">
        <v>1009</v>
      </c>
      <c r="O194" t="inlineStr">
        <is>
          <t>т</t>
        </is>
      </c>
      <c r="P194" t="inlineStr">
        <is>
          <t>т</t>
        </is>
      </c>
      <c r="Q194" t="n">
        <v>1000</v>
      </c>
      <c r="X194" t="n">
        <v>5e-05</v>
      </c>
      <c r="Y194" t="n">
        <v>15118.99</v>
      </c>
      <c r="Z194" t="n">
        <v>0</v>
      </c>
      <c r="AA194" t="n">
        <v>0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5e-05</v>
      </c>
      <c r="AH194" t="n">
        <v>2</v>
      </c>
      <c r="AI194" t="n">
        <v>78870282</v>
      </c>
      <c r="AJ194" t="n">
        <v>209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ROW(Source!A427)</f>
        <v/>
      </c>
      <c r="B195" t="n">
        <v>78870289</v>
      </c>
      <c r="C195" t="n">
        <v>78870279</v>
      </c>
      <c r="D195" t="n">
        <v>29110573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101-0628</t>
        </is>
      </c>
      <c r="J195" t="inlineStr">
        <is>
          <t>ТССЦ Московской обл., 101-0628, приказ Минстроя России №675/пр от 28.02.2017 № 254/пр</t>
        </is>
      </c>
      <c r="K195" t="inlineStr">
        <is>
          <t>Олифа комбинированная, марки К-3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X195" t="n">
        <v>2e-05</v>
      </c>
      <c r="Y195" t="n">
        <v>16950</v>
      </c>
      <c r="Z195" t="n">
        <v>0</v>
      </c>
      <c r="AA195" t="n">
        <v>0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2e-05</v>
      </c>
      <c r="AH195" t="n">
        <v>2</v>
      </c>
      <c r="AI195" t="n">
        <v>78870283</v>
      </c>
      <c r="AJ195" t="n">
        <v>210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ROW(Source!A427)</f>
        <v/>
      </c>
      <c r="B196" t="n">
        <v>78870290</v>
      </c>
      <c r="C196" t="n">
        <v>78870279</v>
      </c>
      <c r="D196" t="n">
        <v>29107963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101-1669</t>
        </is>
      </c>
      <c r="J196" t="inlineStr">
        <is>
          <t>ТССЦ Московской обл., 101-1669, приказ Минстроя России №675/пр от 28.02.2017 № 254/пр</t>
        </is>
      </c>
      <c r="K196" t="inlineStr">
        <is>
          <t>Очес льняной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X196" t="n">
        <v>0.02</v>
      </c>
      <c r="Y196" t="n">
        <v>37.29</v>
      </c>
      <c r="Z196" t="n">
        <v>0</v>
      </c>
      <c r="AA196" t="n">
        <v>0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0.02</v>
      </c>
      <c r="AH196" t="n">
        <v>2</v>
      </c>
      <c r="AI196" t="n">
        <v>78870284</v>
      </c>
      <c r="AJ196" t="n">
        <v>211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ROW(Source!A427)</f>
        <v/>
      </c>
      <c r="B197" t="n">
        <v>78870291</v>
      </c>
      <c r="C197" t="n">
        <v>78870279</v>
      </c>
      <c r="D197" t="n">
        <v>29150040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411-0001</t>
        </is>
      </c>
      <c r="J197" t="inlineStr">
        <is>
          <t>ТССЦ Московской обл., 411-0001, приказ Минстроя России №675/пр от 28.02.2017 № 257/пр</t>
        </is>
      </c>
      <c r="K197" t="inlineStr">
        <is>
          <t>Вода</t>
        </is>
      </c>
      <c r="L197" t="n">
        <v>1339</v>
      </c>
      <c r="N197" t="n">
        <v>1007</v>
      </c>
      <c r="O197" t="inlineStr">
        <is>
          <t>м3</t>
        </is>
      </c>
      <c r="P197" t="inlineStr">
        <is>
          <t>м3</t>
        </is>
      </c>
      <c r="Q197" t="n">
        <v>1</v>
      </c>
      <c r="X197" t="n">
        <v>1</v>
      </c>
      <c r="Y197" t="n">
        <v>2.44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1</v>
      </c>
      <c r="AH197" t="n">
        <v>2</v>
      </c>
      <c r="AI197" t="n">
        <v>78870285</v>
      </c>
      <c r="AJ197" t="n">
        <v>212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ROW(Source!A428)</f>
        <v/>
      </c>
      <c r="B198" t="n">
        <v>78870308</v>
      </c>
      <c r="C198" t="n">
        <v>78870307</v>
      </c>
      <c r="D198" t="n">
        <v>18409850</v>
      </c>
      <c r="E198" t="n">
        <v>1</v>
      </c>
      <c r="F198" t="n">
        <v>1</v>
      </c>
      <c r="G198" t="n">
        <v>1</v>
      </c>
      <c r="H198" t="n">
        <v>1</v>
      </c>
      <c r="I198" t="inlineStr">
        <is>
          <t>1-1035-90</t>
        </is>
      </c>
      <c r="J198" t="inlineStr"/>
      <c r="K198" t="inlineStr">
        <is>
          <t>Рабочий строитель среднего разряда 3,5</t>
        </is>
      </c>
      <c r="L198" t="n">
        <v>1369</v>
      </c>
      <c r="N198" t="n">
        <v>1013</v>
      </c>
      <c r="O198" t="inlineStr">
        <is>
          <t>чел.-ч</t>
        </is>
      </c>
      <c r="P198" t="inlineStr">
        <is>
          <t>чел.-ч</t>
        </is>
      </c>
      <c r="Q198" t="n">
        <v>1</v>
      </c>
      <c r="X198" t="n">
        <v>9.6</v>
      </c>
      <c r="Y198" t="n">
        <v>0</v>
      </c>
      <c r="Z198" t="n">
        <v>0</v>
      </c>
      <c r="AA198" t="n">
        <v>0</v>
      </c>
      <c r="AB198" t="n">
        <v>9.07</v>
      </c>
      <c r="AC198" t="n">
        <v>0</v>
      </c>
      <c r="AD198" t="n">
        <v>1</v>
      </c>
      <c r="AE198" t="n">
        <v>1</v>
      </c>
      <c r="AF198" t="inlineStr"/>
      <c r="AG198" t="n">
        <v>9.6</v>
      </c>
      <c r="AH198" t="n">
        <v>2</v>
      </c>
      <c r="AI198" t="n">
        <v>78870308</v>
      </c>
      <c r="AJ198" t="n">
        <v>213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ROW(Source!A428)</f>
        <v/>
      </c>
      <c r="B199" t="n">
        <v>78870309</v>
      </c>
      <c r="C199" t="n">
        <v>78870307</v>
      </c>
      <c r="D199" t="n">
        <v>121548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2</t>
        </is>
      </c>
      <c r="J199" t="inlineStr"/>
      <c r="K199" t="inlineStr">
        <is>
          <t>Затраты труда машинистов</t>
        </is>
      </c>
      <c r="L199" t="n">
        <v>608254</v>
      </c>
      <c r="N199" t="n">
        <v>1013</v>
      </c>
      <c r="O199" t="inlineStr">
        <is>
          <t>чел.час</t>
        </is>
      </c>
      <c r="P199" t="inlineStr">
        <is>
          <t>чел.час</t>
        </is>
      </c>
      <c r="Q199" t="n">
        <v>1</v>
      </c>
      <c r="X199" t="n">
        <v>5.21</v>
      </c>
      <c r="Y199" t="n">
        <v>0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2</v>
      </c>
      <c r="AF199" t="inlineStr"/>
      <c r="AG199" t="n">
        <v>5.21</v>
      </c>
      <c r="AH199" t="n">
        <v>2</v>
      </c>
      <c r="AI199" t="n">
        <v>78870309</v>
      </c>
      <c r="AJ199" t="n">
        <v>214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ROW(Source!A428)</f>
        <v/>
      </c>
      <c r="B200" t="n">
        <v>78870310</v>
      </c>
      <c r="C200" t="n">
        <v>78870307</v>
      </c>
      <c r="D200" t="n">
        <v>29172379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021141</t>
        </is>
      </c>
      <c r="J200" t="inlineStr">
        <is>
          <t>ТСЭМ Московской обл., 021141, приказ Минстроя России №675/пр от 28.02.2017 № 264/пр</t>
        </is>
      </c>
      <c r="K200" t="inlineStr">
        <is>
          <t>Краны на автомобильном ходу при работе на других видах строительства 10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X200" t="n">
        <v>0.01</v>
      </c>
      <c r="Y200" t="n">
        <v>0</v>
      </c>
      <c r="Z200" t="n">
        <v>112</v>
      </c>
      <c r="AA200" t="n">
        <v>13.5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0.01</v>
      </c>
      <c r="AH200" t="n">
        <v>2</v>
      </c>
      <c r="AI200" t="n">
        <v>78870310</v>
      </c>
      <c r="AJ200" t="n">
        <v>215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ROW(Source!A428)</f>
        <v/>
      </c>
      <c r="B201" t="n">
        <v>78870311</v>
      </c>
      <c r="C201" t="n">
        <v>78870307</v>
      </c>
      <c r="D201" t="n">
        <v>29172951</v>
      </c>
      <c r="E201" t="n">
        <v>1</v>
      </c>
      <c r="F201" t="n">
        <v>1</v>
      </c>
      <c r="G201" t="n">
        <v>1</v>
      </c>
      <c r="H201" t="n">
        <v>2</v>
      </c>
      <c r="I201" t="inlineStr">
        <is>
          <t>081600</t>
        </is>
      </c>
      <c r="J201" t="inlineStr">
        <is>
          <t>ТСЭМ Московской обл., 081600, приказ Минстроя России №675/пр от 28.02.2017 № 264/пр</t>
        </is>
      </c>
      <c r="K201" t="inlineStr">
        <is>
          <t>Агрегаты для сварки полиэтиленовых труб</t>
        </is>
      </c>
      <c r="L201" t="n">
        <v>1368</v>
      </c>
      <c r="N201" t="n">
        <v>1011</v>
      </c>
      <c r="O201" t="inlineStr">
        <is>
          <t>маш.-ч</t>
        </is>
      </c>
      <c r="P201" t="inlineStr">
        <is>
          <t>маш.-ч</t>
        </is>
      </c>
      <c r="Q201" t="n">
        <v>1</v>
      </c>
      <c r="X201" t="n">
        <v>5.2</v>
      </c>
      <c r="Y201" t="n">
        <v>0</v>
      </c>
      <c r="Z201" t="n">
        <v>100.1</v>
      </c>
      <c r="AA201" t="n">
        <v>13.5</v>
      </c>
      <c r="AB201" t="n">
        <v>0</v>
      </c>
      <c r="AC201" t="n">
        <v>0</v>
      </c>
      <c r="AD201" t="n">
        <v>1</v>
      </c>
      <c r="AE201" t="n">
        <v>0</v>
      </c>
      <c r="AF201" t="inlineStr"/>
      <c r="AG201" t="n">
        <v>5.2</v>
      </c>
      <c r="AH201" t="n">
        <v>2</v>
      </c>
      <c r="AI201" t="n">
        <v>78870311</v>
      </c>
      <c r="AJ201" t="n">
        <v>216</v>
      </c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ROW(Source!A428)</f>
        <v/>
      </c>
      <c r="B202" t="n">
        <v>78870312</v>
      </c>
      <c r="C202" t="n">
        <v>78870307</v>
      </c>
      <c r="D202" t="n">
        <v>29174913</v>
      </c>
      <c r="E202" t="n">
        <v>1</v>
      </c>
      <c r="F202" t="n">
        <v>1</v>
      </c>
      <c r="G202" t="n">
        <v>1</v>
      </c>
      <c r="H202" t="n">
        <v>2</v>
      </c>
      <c r="I202" t="inlineStr">
        <is>
          <t>400001</t>
        </is>
      </c>
      <c r="J202" t="inlineStr">
        <is>
          <t>ТСЭМ Московской обл., 400001, приказ Минстроя России №675/пр от 28.02.2017 № 264/пр</t>
        </is>
      </c>
      <c r="K202" t="inlineStr">
        <is>
          <t>Автомобили бортовые, грузоподъемность до 5 т</t>
        </is>
      </c>
      <c r="L202" t="n">
        <v>1368</v>
      </c>
      <c r="N202" t="n">
        <v>1011</v>
      </c>
      <c r="O202" t="inlineStr">
        <is>
          <t>маш.-ч</t>
        </is>
      </c>
      <c r="P202" t="inlineStr">
        <is>
          <t>маш.-ч</t>
        </is>
      </c>
      <c r="Q202" t="n">
        <v>1</v>
      </c>
      <c r="X202" t="n">
        <v>0.02</v>
      </c>
      <c r="Y202" t="n">
        <v>0</v>
      </c>
      <c r="Z202" t="n">
        <v>87.17</v>
      </c>
      <c r="AA202" t="n">
        <v>11.6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0.02</v>
      </c>
      <c r="AH202" t="n">
        <v>2</v>
      </c>
      <c r="AI202" t="n">
        <v>78870312</v>
      </c>
      <c r="AJ202" t="n">
        <v>217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ROW(Source!A428)</f>
        <v/>
      </c>
      <c r="B203" t="n">
        <v>78870313</v>
      </c>
      <c r="C203" t="n">
        <v>78870307</v>
      </c>
      <c r="D203" t="n">
        <v>29144133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302-1650</t>
        </is>
      </c>
      <c r="J203" t="inlineStr">
        <is>
          <t>ТССЦ Московской обл., 302-1650, приказ Минстроя России №675/пр от 28.02.2017 № 256/пр</t>
        </is>
      </c>
      <c r="K203" t="inlineStr">
        <is>
          <t>Крестовина К90-90х90</t>
        </is>
      </c>
      <c r="L203" t="n">
        <v>1358</v>
      </c>
      <c r="N203" t="n">
        <v>1010</v>
      </c>
      <c r="O203" t="inlineStr">
        <is>
          <t>10 шт.</t>
        </is>
      </c>
      <c r="P203" t="inlineStr">
        <is>
          <t>10 шт.</t>
        </is>
      </c>
      <c r="Q203" t="n">
        <v>10</v>
      </c>
      <c r="X203" t="n">
        <v>1</v>
      </c>
      <c r="Y203" t="n">
        <v>92.8</v>
      </c>
      <c r="Z203" t="n">
        <v>0</v>
      </c>
      <c r="AA203" t="n">
        <v>0</v>
      </c>
      <c r="AB203" t="n">
        <v>0</v>
      </c>
      <c r="AC203" t="n">
        <v>0</v>
      </c>
      <c r="AD203" t="n">
        <v>1</v>
      </c>
      <c r="AE203" t="n">
        <v>0</v>
      </c>
      <c r="AF203" t="inlineStr"/>
      <c r="AG203" t="n">
        <v>1</v>
      </c>
      <c r="AH203" t="n">
        <v>2</v>
      </c>
      <c r="AI203" t="n">
        <v>78870313</v>
      </c>
      <c r="AJ203" t="n">
        <v>219</v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ROW(Source!A469)</f>
        <v/>
      </c>
      <c r="B204" t="n">
        <v>78870414</v>
      </c>
      <c r="C204" t="n">
        <v>78870405</v>
      </c>
      <c r="D204" t="n">
        <v>18409850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1-1035-90</t>
        </is>
      </c>
      <c r="J204" t="inlineStr"/>
      <c r="K204" t="inlineStr">
        <is>
          <t>Рабочий строитель среднего разряда 3,5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X204" t="n">
        <v>81</v>
      </c>
      <c r="Y204" t="n">
        <v>0</v>
      </c>
      <c r="Z204" t="n">
        <v>0</v>
      </c>
      <c r="AA204" t="n">
        <v>0</v>
      </c>
      <c r="AB204" t="n">
        <v>9.07</v>
      </c>
      <c r="AC204" t="n">
        <v>0</v>
      </c>
      <c r="AD204" t="n">
        <v>1</v>
      </c>
      <c r="AE204" t="n">
        <v>1</v>
      </c>
      <c r="AF204" t="inlineStr"/>
      <c r="AG204" t="n">
        <v>81</v>
      </c>
      <c r="AH204" t="n">
        <v>2</v>
      </c>
      <c r="AI204" t="n">
        <v>78870406</v>
      </c>
      <c r="AJ204" t="n">
        <v>220</v>
      </c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ROW(Source!A469)</f>
        <v/>
      </c>
      <c r="B205" t="n">
        <v>78870415</v>
      </c>
      <c r="C205" t="n">
        <v>78870405</v>
      </c>
      <c r="D205" t="n">
        <v>29174913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400001</t>
        </is>
      </c>
      <c r="J205" t="inlineStr">
        <is>
          <t>ТСЭМ Московской обл., 400001, приказ Минстроя России №675/пр от 28.02.2017 № 264/пр</t>
        </is>
      </c>
      <c r="K205" t="inlineStr">
        <is>
          <t>Автомобили бортовые, грузоподъемность до 5 т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X205" t="n">
        <v>0.05</v>
      </c>
      <c r="Y205" t="n">
        <v>0</v>
      </c>
      <c r="Z205" t="n">
        <v>87.17</v>
      </c>
      <c r="AA205" t="n">
        <v>11.6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0.05</v>
      </c>
      <c r="AH205" t="n">
        <v>2</v>
      </c>
      <c r="AI205" t="n">
        <v>78870407</v>
      </c>
      <c r="AJ205" t="n">
        <v>221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ROW(Source!A469)</f>
        <v/>
      </c>
      <c r="B206" t="n">
        <v>78870416</v>
      </c>
      <c r="C206" t="n">
        <v>78870405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X206" t="n">
        <v>0.0014</v>
      </c>
      <c r="Y206" t="n">
        <v>15118.99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0.0014</v>
      </c>
      <c r="AH206" t="n">
        <v>2</v>
      </c>
      <c r="AI206" t="n">
        <v>78870408</v>
      </c>
      <c r="AJ206" t="n">
        <v>222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ROW(Source!A469)</f>
        <v/>
      </c>
      <c r="B207" t="n">
        <v>78870417</v>
      </c>
      <c r="C207" t="n">
        <v>78870405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X207" t="n">
        <v>0.0007</v>
      </c>
      <c r="Y207" t="n">
        <v>16950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0.0007</v>
      </c>
      <c r="AH207" t="n">
        <v>2</v>
      </c>
      <c r="AI207" t="n">
        <v>78870409</v>
      </c>
      <c r="AJ207" t="n">
        <v>223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ROW(Source!A469)</f>
        <v/>
      </c>
      <c r="B208" t="n">
        <v>78870418</v>
      </c>
      <c r="C208" t="n">
        <v>78870405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X208" t="n">
        <v>0.7</v>
      </c>
      <c r="Y208" t="n">
        <v>37.29</v>
      </c>
      <c r="Z208" t="n">
        <v>0</v>
      </c>
      <c r="AA208" t="n">
        <v>0</v>
      </c>
      <c r="AB208" t="n">
        <v>0</v>
      </c>
      <c r="AC208" t="n">
        <v>0</v>
      </c>
      <c r="AD208" t="n">
        <v>1</v>
      </c>
      <c r="AE208" t="n">
        <v>0</v>
      </c>
      <c r="AF208" t="inlineStr"/>
      <c r="AG208" t="n">
        <v>0.7</v>
      </c>
      <c r="AH208" t="n">
        <v>2</v>
      </c>
      <c r="AI208" t="n">
        <v>78870410</v>
      </c>
      <c r="AJ208" t="n">
        <v>224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ROW(Source!A469)</f>
        <v/>
      </c>
      <c r="B209" t="n">
        <v>78870419</v>
      </c>
      <c r="C209" t="n">
        <v>78870405</v>
      </c>
      <c r="D209" t="n">
        <v>29142465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302-1342</t>
        </is>
      </c>
      <c r="J209" t="inlineStr">
        <is>
          <t>ТССЦ Московской обл., 302-1342, приказ Минстроя России №675/пр от 28.02.2017 № 256/пр</t>
        </is>
      </c>
      <c r="K209" t="inlineStr">
        <is>
          <t>Вентили проходные муфтовые 15кч18п для воды давлением 1,6 МПа (16 кгс/см2), диаметром 20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X209" t="n">
        <v>100</v>
      </c>
      <c r="Y209" t="n">
        <v>21.81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0</v>
      </c>
      <c r="AF209" t="inlineStr"/>
      <c r="AG209" t="n">
        <v>100</v>
      </c>
      <c r="AH209" t="n">
        <v>2</v>
      </c>
      <c r="AI209" t="n">
        <v>78870412</v>
      </c>
      <c r="AJ209" t="n">
        <v>226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ROW(Source!A469)</f>
        <v/>
      </c>
      <c r="B210" t="n">
        <v>78870420</v>
      </c>
      <c r="C210" t="n">
        <v>78870405</v>
      </c>
      <c r="D210" t="n">
        <v>29164350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509-9899</t>
        </is>
      </c>
      <c r="J210" t="inlineStr">
        <is>
          <t>ТССЦ Московской обл., 509-9899, приказ Минстроя России №675/пр от 28.02.2017 № 258/пр</t>
        </is>
      </c>
      <c r="K210" t="inlineStr">
        <is>
          <t>Строительный мусор и масса возвратных материалов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X210" t="n">
        <v>0.04</v>
      </c>
      <c r="Y210" t="n">
        <v>0</v>
      </c>
      <c r="Z210" t="n">
        <v>0</v>
      </c>
      <c r="AA210" t="n">
        <v>0</v>
      </c>
      <c r="AB210" t="n">
        <v>0</v>
      </c>
      <c r="AC210" t="n">
        <v>0</v>
      </c>
      <c r="AD210" t="n">
        <v>0</v>
      </c>
      <c r="AE210" t="n">
        <v>0</v>
      </c>
      <c r="AF210" t="inlineStr"/>
      <c r="AG210" t="n">
        <v>0.04</v>
      </c>
      <c r="AH210" t="n">
        <v>2</v>
      </c>
      <c r="AI210" t="n">
        <v>78870413</v>
      </c>
      <c r="AJ210" t="n">
        <v>227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ROW(Source!A472)</f>
        <v/>
      </c>
      <c r="B211" t="n">
        <v>78870430</v>
      </c>
      <c r="C211" t="n">
        <v>78870423</v>
      </c>
      <c r="D211" t="n">
        <v>18442827</v>
      </c>
      <c r="E211" t="n">
        <v>1</v>
      </c>
      <c r="F211" t="n">
        <v>1</v>
      </c>
      <c r="G211" t="n">
        <v>1</v>
      </c>
      <c r="H211" t="n">
        <v>1</v>
      </c>
      <c r="I211" t="inlineStr">
        <is>
          <t>1-1053-90</t>
        </is>
      </c>
      <c r="J211" t="inlineStr"/>
      <c r="K211" t="inlineStr">
        <is>
          <t>Рабочий строитель среднего разряда 5,3</t>
        </is>
      </c>
      <c r="L211" t="n">
        <v>1369</v>
      </c>
      <c r="N211" t="n">
        <v>1013</v>
      </c>
      <c r="O211" t="inlineStr">
        <is>
          <t>чел.-ч</t>
        </is>
      </c>
      <c r="P211" t="inlineStr">
        <is>
          <t>чел.-ч</t>
        </is>
      </c>
      <c r="Q211" t="n">
        <v>1</v>
      </c>
      <c r="X211" t="n">
        <v>5.01</v>
      </c>
      <c r="Y211" t="n">
        <v>0</v>
      </c>
      <c r="Z211" t="n">
        <v>0</v>
      </c>
      <c r="AA211" t="n">
        <v>0</v>
      </c>
      <c r="AB211" t="n">
        <v>11.64</v>
      </c>
      <c r="AC211" t="n">
        <v>0</v>
      </c>
      <c r="AD211" t="n">
        <v>1</v>
      </c>
      <c r="AE211" t="n">
        <v>1</v>
      </c>
      <c r="AF211" t="inlineStr">
        <is>
          <t>)*8</t>
        </is>
      </c>
      <c r="AG211" t="n">
        <v>40.08</v>
      </c>
      <c r="AH211" t="n">
        <v>2</v>
      </c>
      <c r="AI211" t="n">
        <v>78870424</v>
      </c>
      <c r="AJ211" t="n">
        <v>228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ROW(Source!A472)</f>
        <v/>
      </c>
      <c r="B212" t="n">
        <v>78870431</v>
      </c>
      <c r="C212" t="n">
        <v>78870423</v>
      </c>
      <c r="D212" t="n">
        <v>29172703</v>
      </c>
      <c r="E212" t="n">
        <v>1</v>
      </c>
      <c r="F212" t="n">
        <v>1</v>
      </c>
      <c r="G212" t="n">
        <v>1</v>
      </c>
      <c r="H212" t="n">
        <v>2</v>
      </c>
      <c r="I212" t="inlineStr">
        <is>
          <t>042900</t>
        </is>
      </c>
      <c r="J212" t="inlineStr">
        <is>
          <t>ТСЭМ Московской обл., 042900, приказ Минстроя России №675/пр от 28.02.2017 № 264/пр</t>
        </is>
      </c>
      <c r="K2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12" t="n">
        <v>1368</v>
      </c>
      <c r="N212" t="n">
        <v>1011</v>
      </c>
      <c r="O212" t="inlineStr">
        <is>
          <t>маш.-ч</t>
        </is>
      </c>
      <c r="P212" t="inlineStr">
        <is>
          <t>маш.-ч</t>
        </is>
      </c>
      <c r="Q212" t="n">
        <v>1</v>
      </c>
      <c r="X212" t="n">
        <v>1.5</v>
      </c>
      <c r="Y212" t="n">
        <v>0</v>
      </c>
      <c r="Z212" t="n">
        <v>29.67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>
        <is>
          <t>)*8</t>
        </is>
      </c>
      <c r="AG212" t="n">
        <v>12</v>
      </c>
      <c r="AH212" t="n">
        <v>2</v>
      </c>
      <c r="AI212" t="n">
        <v>78870425</v>
      </c>
      <c r="AJ212" t="n">
        <v>229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ROW(Source!A472)</f>
        <v/>
      </c>
      <c r="B213" t="n">
        <v>78870432</v>
      </c>
      <c r="C213" t="n">
        <v>78870423</v>
      </c>
      <c r="D213" t="n">
        <v>29110398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101-0388</t>
        </is>
      </c>
      <c r="J213" t="inlineStr">
        <is>
          <t>ТССЦ Московской обл., 101-0388, приказ Минстроя России №675/пр от 28.02.2017 № 254/пр</t>
        </is>
      </c>
      <c r="K213" t="inlineStr">
        <is>
          <t>Краски масляные земляные марки МА-0115 мумия, сурик железный</t>
        </is>
      </c>
      <c r="L213" t="n">
        <v>1348</v>
      </c>
      <c r="N213" t="n">
        <v>1009</v>
      </c>
      <c r="O213" t="inlineStr">
        <is>
          <t>т</t>
        </is>
      </c>
      <c r="P213" t="inlineStr">
        <is>
          <t>т</t>
        </is>
      </c>
      <c r="Q213" t="n">
        <v>1000</v>
      </c>
      <c r="X213" t="n">
        <v>5e-05</v>
      </c>
      <c r="Y213" t="n">
        <v>15118.99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>
        <is>
          <t>)*8</t>
        </is>
      </c>
      <c r="AG213" t="n">
        <v>0.0004</v>
      </c>
      <c r="AH213" t="n">
        <v>2</v>
      </c>
      <c r="AI213" t="n">
        <v>78870426</v>
      </c>
      <c r="AJ213" t="n">
        <v>230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ROW(Source!A472)</f>
        <v/>
      </c>
      <c r="B214" t="n">
        <v>78870433</v>
      </c>
      <c r="C214" t="n">
        <v>78870423</v>
      </c>
      <c r="D214" t="n">
        <v>29110573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101-0628</t>
        </is>
      </c>
      <c r="J214" t="inlineStr">
        <is>
          <t>ТССЦ Московской обл., 101-0628, приказ Минстроя России №675/пр от 28.02.2017 № 254/пр</t>
        </is>
      </c>
      <c r="K214" t="inlineStr">
        <is>
          <t>Олифа комбинированная, марки К-3</t>
        </is>
      </c>
      <c r="L214" t="n">
        <v>1348</v>
      </c>
      <c r="N214" t="n">
        <v>1009</v>
      </c>
      <c r="O214" t="inlineStr">
        <is>
          <t>т</t>
        </is>
      </c>
      <c r="P214" t="inlineStr">
        <is>
          <t>т</t>
        </is>
      </c>
      <c r="Q214" t="n">
        <v>1000</v>
      </c>
      <c r="X214" t="n">
        <v>2e-05</v>
      </c>
      <c r="Y214" t="n">
        <v>16950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>
        <is>
          <t>)*8</t>
        </is>
      </c>
      <c r="AG214" t="n">
        <v>0.00016</v>
      </c>
      <c r="AH214" t="n">
        <v>2</v>
      </c>
      <c r="AI214" t="n">
        <v>78870427</v>
      </c>
      <c r="AJ214" t="n">
        <v>231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ROW(Source!A472)</f>
        <v/>
      </c>
      <c r="B215" t="n">
        <v>78870434</v>
      </c>
      <c r="C215" t="n">
        <v>78870423</v>
      </c>
      <c r="D215" t="n">
        <v>29107963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101-1669</t>
        </is>
      </c>
      <c r="J215" t="inlineStr">
        <is>
          <t>ТССЦ Московской обл., 101-1669, приказ Минстроя России №675/пр от 28.02.2017 № 254/пр</t>
        </is>
      </c>
      <c r="K215" t="inlineStr">
        <is>
          <t>Очес льняной</t>
        </is>
      </c>
      <c r="L215" t="n">
        <v>1346</v>
      </c>
      <c r="N215" t="n">
        <v>1009</v>
      </c>
      <c r="O215" t="inlineStr">
        <is>
          <t>кг</t>
        </is>
      </c>
      <c r="P215" t="inlineStr">
        <is>
          <t>кг</t>
        </is>
      </c>
      <c r="Q215" t="n">
        <v>1</v>
      </c>
      <c r="X215" t="n">
        <v>0.02</v>
      </c>
      <c r="Y215" t="n">
        <v>37.29</v>
      </c>
      <c r="Z215" t="n">
        <v>0</v>
      </c>
      <c r="AA215" t="n">
        <v>0</v>
      </c>
      <c r="AB215" t="n">
        <v>0</v>
      </c>
      <c r="AC215" t="n">
        <v>0</v>
      </c>
      <c r="AD215" t="n">
        <v>1</v>
      </c>
      <c r="AE215" t="n">
        <v>0</v>
      </c>
      <c r="AF215" t="inlineStr">
        <is>
          <t>)*8</t>
        </is>
      </c>
      <c r="AG215" t="n">
        <v>0.16</v>
      </c>
      <c r="AH215" t="n">
        <v>2</v>
      </c>
      <c r="AI215" t="n">
        <v>78870428</v>
      </c>
      <c r="AJ215" t="n">
        <v>232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ROW(Source!A472)</f>
        <v/>
      </c>
      <c r="B216" t="n">
        <v>78870435</v>
      </c>
      <c r="C216" t="n">
        <v>78870423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X216" t="n">
        <v>1</v>
      </c>
      <c r="Y216" t="n">
        <v>2.44</v>
      </c>
      <c r="Z216" t="n">
        <v>0</v>
      </c>
      <c r="AA216" t="n">
        <v>0</v>
      </c>
      <c r="AB216" t="n">
        <v>0</v>
      </c>
      <c r="AC216" t="n">
        <v>0</v>
      </c>
      <c r="AD216" t="n">
        <v>1</v>
      </c>
      <c r="AE216" t="n">
        <v>0</v>
      </c>
      <c r="AF216" t="inlineStr">
        <is>
          <t>)*8</t>
        </is>
      </c>
      <c r="AG216" t="n">
        <v>8</v>
      </c>
      <c r="AH216" t="n">
        <v>2</v>
      </c>
      <c r="AI216" t="n">
        <v>78870429</v>
      </c>
      <c r="AJ216" t="n">
        <v>233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ROW(Source!A473)</f>
        <v/>
      </c>
      <c r="B217" t="n">
        <v>78870442</v>
      </c>
      <c r="C217" t="n">
        <v>78870436</v>
      </c>
      <c r="D217" t="n">
        <v>18408291</v>
      </c>
      <c r="E217" t="n">
        <v>1</v>
      </c>
      <c r="F217" t="n">
        <v>1</v>
      </c>
      <c r="G217" t="n">
        <v>1</v>
      </c>
      <c r="H217" t="n">
        <v>1</v>
      </c>
      <c r="I217" t="inlineStr">
        <is>
          <t>1-1025-90</t>
        </is>
      </c>
      <c r="J217" t="inlineStr"/>
      <c r="K217" t="inlineStr">
        <is>
          <t>Рабочий строитель среднего разряда 2,5</t>
        </is>
      </c>
      <c r="L217" t="n">
        <v>1369</v>
      </c>
      <c r="N217" t="n">
        <v>1013</v>
      </c>
      <c r="O217" t="inlineStr">
        <is>
          <t>чел.-ч</t>
        </is>
      </c>
      <c r="P217" t="inlineStr">
        <is>
          <t>чел.-ч</t>
        </is>
      </c>
      <c r="Q217" t="n">
        <v>1</v>
      </c>
      <c r="X217" t="n">
        <v>32.2</v>
      </c>
      <c r="Y217" t="n">
        <v>0</v>
      </c>
      <c r="Z217" t="n">
        <v>0</v>
      </c>
      <c r="AA217" t="n">
        <v>0</v>
      </c>
      <c r="AB217" t="n">
        <v>8.17</v>
      </c>
      <c r="AC217" t="n">
        <v>0</v>
      </c>
      <c r="AD217" t="n">
        <v>1</v>
      </c>
      <c r="AE217" t="n">
        <v>1</v>
      </c>
      <c r="AF217" t="inlineStr"/>
      <c r="AG217" t="n">
        <v>32.2</v>
      </c>
      <c r="AH217" t="n">
        <v>2</v>
      </c>
      <c r="AI217" t="n">
        <v>78870437</v>
      </c>
      <c r="AJ217" t="n">
        <v>234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ROW(Source!A473)</f>
        <v/>
      </c>
      <c r="B218" t="n">
        <v>78870443</v>
      </c>
      <c r="C218" t="n">
        <v>78870436</v>
      </c>
      <c r="D218" t="n">
        <v>29174913</v>
      </c>
      <c r="E218" t="n">
        <v>1</v>
      </c>
      <c r="F218" t="n">
        <v>1</v>
      </c>
      <c r="G218" t="n">
        <v>1</v>
      </c>
      <c r="H218" t="n">
        <v>2</v>
      </c>
      <c r="I218" t="inlineStr">
        <is>
          <t>400001</t>
        </is>
      </c>
      <c r="J218" t="inlineStr">
        <is>
          <t>ТСЭМ Московской обл., 400001, приказ Минстроя России №675/пр от 28.02.2017 № 264/пр</t>
        </is>
      </c>
      <c r="K218" t="inlineStr">
        <is>
          <t>Автомобили бортовые, грузоподъемность до 5 т</t>
        </is>
      </c>
      <c r="L218" t="n">
        <v>1368</v>
      </c>
      <c r="N218" t="n">
        <v>1011</v>
      </c>
      <c r="O218" t="inlineStr">
        <is>
          <t>маш.-ч</t>
        </is>
      </c>
      <c r="P218" t="inlineStr">
        <is>
          <t>маш.-ч</t>
        </is>
      </c>
      <c r="Q218" t="n">
        <v>1</v>
      </c>
      <c r="X218" t="n">
        <v>0.01</v>
      </c>
      <c r="Y218" t="n">
        <v>0</v>
      </c>
      <c r="Z218" t="n">
        <v>87.17</v>
      </c>
      <c r="AA218" t="n">
        <v>11.6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0.01</v>
      </c>
      <c r="AH218" t="n">
        <v>2</v>
      </c>
      <c r="AI218" t="n">
        <v>78870438</v>
      </c>
      <c r="AJ218" t="n">
        <v>235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ROW(Source!A473)</f>
        <v/>
      </c>
      <c r="B219" t="n">
        <v>78870444</v>
      </c>
      <c r="C219" t="n">
        <v>78870436</v>
      </c>
      <c r="D219" t="n">
        <v>29110139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101-1703</t>
        </is>
      </c>
      <c r="J219" t="inlineStr">
        <is>
          <t>ТССЦ Московской обл., 101-1703, приказ Минстроя России №675/пр от 28.02.2017 № 254/пр</t>
        </is>
      </c>
      <c r="K219" t="inlineStr">
        <is>
          <t>Прокладки резиновые (пластина техническая прессованная)</t>
        </is>
      </c>
      <c r="L219" t="n">
        <v>1346</v>
      </c>
      <c r="N219" t="n">
        <v>1009</v>
      </c>
      <c r="O219" t="inlineStr">
        <is>
          <t>кг</t>
        </is>
      </c>
      <c r="P219" t="inlineStr">
        <is>
          <t>кг</t>
        </is>
      </c>
      <c r="Q219" t="n">
        <v>1</v>
      </c>
      <c r="X219" t="n">
        <v>2</v>
      </c>
      <c r="Y219" t="n">
        <v>23.09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2</v>
      </c>
      <c r="AH219" t="n">
        <v>2</v>
      </c>
      <c r="AI219" t="n">
        <v>78870439</v>
      </c>
      <c r="AJ219" t="n">
        <v>236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ROW(Source!A473)</f>
        <v/>
      </c>
      <c r="B220" t="n">
        <v>78870445</v>
      </c>
      <c r="C220" t="n">
        <v>78870436</v>
      </c>
      <c r="D220" t="n">
        <v>29114240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101-2576</t>
        </is>
      </c>
      <c r="J220" t="inlineStr">
        <is>
          <t>ТССЦ Московской обл., 101-2576, приказ Минстроя России №675/пр от 28.02.2017 № 254/пр</t>
        </is>
      </c>
      <c r="K220" t="inlineStr">
        <is>
          <t>Болты с гайками и шайбами для санитарно-технических работ диаметром 16 мм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X220" t="n">
        <v>0.005</v>
      </c>
      <c r="Y220" t="n">
        <v>14830</v>
      </c>
      <c r="Z220" t="n">
        <v>0</v>
      </c>
      <c r="AA220" t="n">
        <v>0</v>
      </c>
      <c r="AB220" t="n">
        <v>0</v>
      </c>
      <c r="AC220" t="n">
        <v>0</v>
      </c>
      <c r="AD220" t="n">
        <v>1</v>
      </c>
      <c r="AE220" t="n">
        <v>0</v>
      </c>
      <c r="AF220" t="inlineStr"/>
      <c r="AG220" t="n">
        <v>0.005</v>
      </c>
      <c r="AH220" t="n">
        <v>2</v>
      </c>
      <c r="AI220" t="n">
        <v>78870440</v>
      </c>
      <c r="AJ220" t="n">
        <v>237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ROW(Source!A473)</f>
        <v/>
      </c>
      <c r="B221" t="n">
        <v>78870446</v>
      </c>
      <c r="C221" t="n">
        <v>78870436</v>
      </c>
      <c r="D221" t="n">
        <v>29150040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411-0001</t>
        </is>
      </c>
      <c r="J221" t="inlineStr">
        <is>
          <t>ТССЦ Московской обл., 411-0001, приказ Минстроя России №675/пр от 28.02.2017 № 257/пр</t>
        </is>
      </c>
      <c r="K221" t="inlineStr">
        <is>
          <t>Вода</t>
        </is>
      </c>
      <c r="L221" t="n">
        <v>1339</v>
      </c>
      <c r="N221" t="n">
        <v>1007</v>
      </c>
      <c r="O221" t="inlineStr">
        <is>
          <t>м3</t>
        </is>
      </c>
      <c r="P221" t="inlineStr">
        <is>
          <t>м3</t>
        </is>
      </c>
      <c r="Q221" t="n">
        <v>1</v>
      </c>
      <c r="X221" t="n">
        <v>7.8</v>
      </c>
      <c r="Y221" t="n">
        <v>2.44</v>
      </c>
      <c r="Z221" t="n">
        <v>0</v>
      </c>
      <c r="AA221" t="n">
        <v>0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7.8</v>
      </c>
      <c r="AH221" t="n">
        <v>2</v>
      </c>
      <c r="AI221" t="n">
        <v>78870441</v>
      </c>
      <c r="AJ221" t="n">
        <v>238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ROW(Source!A474)</f>
        <v/>
      </c>
      <c r="B222" t="n">
        <v>78870451</v>
      </c>
      <c r="C222" t="n">
        <v>78870447</v>
      </c>
      <c r="D222" t="n">
        <v>18407150</v>
      </c>
      <c r="E222" t="n">
        <v>1</v>
      </c>
      <c r="F222" t="n">
        <v>1</v>
      </c>
      <c r="G222" t="n">
        <v>1</v>
      </c>
      <c r="H222" t="n">
        <v>1</v>
      </c>
      <c r="I222" t="inlineStr">
        <is>
          <t>1-1030-90</t>
        </is>
      </c>
      <c r="J222" t="inlineStr"/>
      <c r="K222" t="inlineStr">
        <is>
          <t>Рабочий строитель среднего разряда 3</t>
        </is>
      </c>
      <c r="L222" t="n">
        <v>1369</v>
      </c>
      <c r="N222" t="n">
        <v>1013</v>
      </c>
      <c r="O222" t="inlineStr">
        <is>
          <t>чел.-ч</t>
        </is>
      </c>
      <c r="P222" t="inlineStr">
        <is>
          <t>чел.-ч</t>
        </is>
      </c>
      <c r="Q222" t="n">
        <v>1</v>
      </c>
      <c r="X222" t="n">
        <v>13.9</v>
      </c>
      <c r="Y222" t="n">
        <v>0</v>
      </c>
      <c r="Z222" t="n">
        <v>0</v>
      </c>
      <c r="AA222" t="n">
        <v>0</v>
      </c>
      <c r="AB222" t="n">
        <v>8.529999999999999</v>
      </c>
      <c r="AC222" t="n">
        <v>0</v>
      </c>
      <c r="AD222" t="n">
        <v>1</v>
      </c>
      <c r="AE222" t="n">
        <v>1</v>
      </c>
      <c r="AF222" t="inlineStr"/>
      <c r="AG222" t="n">
        <v>13.9</v>
      </c>
      <c r="AH222" t="n">
        <v>2</v>
      </c>
      <c r="AI222" t="n">
        <v>78870448</v>
      </c>
      <c r="AJ222" t="n">
        <v>239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ROW(Source!A474)</f>
        <v/>
      </c>
      <c r="B223" t="n">
        <v>78870452</v>
      </c>
      <c r="C223" t="n">
        <v>78870447</v>
      </c>
      <c r="D223" t="n">
        <v>29169821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509-0696</t>
        </is>
      </c>
      <c r="J223" t="inlineStr">
        <is>
          <t>ТССЦ Московской обл., 509-0696, приказ Минстроя России №675/пр от 28.02.2017 № 258/пр</t>
        </is>
      </c>
      <c r="K223" t="inlineStr">
        <is>
          <t>Лампы люминесцентные ртутные низкого давления типа ЛБ, ЛД, ЛДЦ, ЛТВ, ЛБХ 20</t>
        </is>
      </c>
      <c r="L223" t="n">
        <v>1358</v>
      </c>
      <c r="N223" t="n">
        <v>1010</v>
      </c>
      <c r="O223" t="inlineStr">
        <is>
          <t>10 шт.</t>
        </is>
      </c>
      <c r="P223" t="inlineStr">
        <is>
          <t>10 шт.</t>
        </is>
      </c>
      <c r="Q223" t="n">
        <v>10</v>
      </c>
      <c r="X223" t="n">
        <v>10</v>
      </c>
      <c r="Y223" t="n">
        <v>85.2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10</v>
      </c>
      <c r="AH223" t="n">
        <v>2</v>
      </c>
      <c r="AI223" t="n">
        <v>78870449</v>
      </c>
      <c r="AJ223" t="n">
        <v>240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ROW(Source!A476)</f>
        <v/>
      </c>
      <c r="B224" t="n">
        <v>78870572</v>
      </c>
      <c r="C224" t="n">
        <v>78870562</v>
      </c>
      <c r="D224" t="n">
        <v>29361034</v>
      </c>
      <c r="E224" t="n">
        <v>1</v>
      </c>
      <c r="F224" t="n">
        <v>1</v>
      </c>
      <c r="G224" t="n">
        <v>1</v>
      </c>
      <c r="H224" t="n">
        <v>1</v>
      </c>
      <c r="I224" t="inlineStr">
        <is>
          <t>1-2038-90</t>
        </is>
      </c>
      <c r="J224" t="inlineStr"/>
      <c r="K224" t="inlineStr">
        <is>
          <t>Рабочий монтажник среднего разряда 3,8</t>
        </is>
      </c>
      <c r="L224" t="n">
        <v>1369</v>
      </c>
      <c r="N224" t="n">
        <v>1013</v>
      </c>
      <c r="O224" t="inlineStr">
        <is>
          <t>чел.-ч</t>
        </is>
      </c>
      <c r="P224" t="inlineStr">
        <is>
          <t>чел.-ч</t>
        </is>
      </c>
      <c r="Q224" t="n">
        <v>1</v>
      </c>
      <c r="X224" t="n">
        <v>16.5</v>
      </c>
      <c r="Y224" t="n">
        <v>0</v>
      </c>
      <c r="Z224" t="n">
        <v>0</v>
      </c>
      <c r="AA224" t="n">
        <v>0</v>
      </c>
      <c r="AB224" t="n">
        <v>9.4</v>
      </c>
      <c r="AC224" t="n">
        <v>0</v>
      </c>
      <c r="AD224" t="n">
        <v>1</v>
      </c>
      <c r="AE224" t="n">
        <v>1</v>
      </c>
      <c r="AF224" t="inlineStr"/>
      <c r="AG224" t="n">
        <v>16.5</v>
      </c>
      <c r="AH224" t="n">
        <v>2</v>
      </c>
      <c r="AI224" t="n">
        <v>78870563</v>
      </c>
      <c r="AJ224" t="n">
        <v>242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ROW(Source!A476)</f>
        <v/>
      </c>
      <c r="B225" t="n">
        <v>78870573</v>
      </c>
      <c r="C225" t="n">
        <v>78870562</v>
      </c>
      <c r="D225" t="n">
        <v>121548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2</t>
        </is>
      </c>
      <c r="J225" t="inlineStr"/>
      <c r="K225" t="inlineStr">
        <is>
          <t>Затраты труда машинистов</t>
        </is>
      </c>
      <c r="L225" t="n">
        <v>608254</v>
      </c>
      <c r="N225" t="n">
        <v>1013</v>
      </c>
      <c r="O225" t="inlineStr">
        <is>
          <t>чел.час</t>
        </is>
      </c>
      <c r="P225" t="inlineStr">
        <is>
          <t>чел.час</t>
        </is>
      </c>
      <c r="Q225" t="n">
        <v>1</v>
      </c>
      <c r="X225" t="n">
        <v>0.02</v>
      </c>
      <c r="Y225" t="n">
        <v>0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2</v>
      </c>
      <c r="AF225" t="inlineStr"/>
      <c r="AG225" t="n">
        <v>0.02</v>
      </c>
      <c r="AH225" t="n">
        <v>2</v>
      </c>
      <c r="AI225" t="n">
        <v>78870564</v>
      </c>
      <c r="AJ225" t="n">
        <v>243</v>
      </c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ROW(Source!A476)</f>
        <v/>
      </c>
      <c r="B226" t="n">
        <v>78870574</v>
      </c>
      <c r="C226" t="n">
        <v>78870562</v>
      </c>
      <c r="D226" t="n">
        <v>29172362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021102</t>
        </is>
      </c>
      <c r="J226" t="inlineStr">
        <is>
          <t>ТСЭМ Московской обл., 021102, приказ Минстроя России №675/пр от 28.02.2017 № 264/пр</t>
        </is>
      </c>
      <c r="K226" t="inlineStr">
        <is>
          <t>Краны на автомобильном ходу при работе на монтаже технологического оборудования 10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X226" t="n">
        <v>0.02</v>
      </c>
      <c r="Y226" t="n">
        <v>0</v>
      </c>
      <c r="Z226" t="n">
        <v>134.65</v>
      </c>
      <c r="AA226" t="n">
        <v>13.5</v>
      </c>
      <c r="AB226" t="n">
        <v>0</v>
      </c>
      <c r="AC226" t="n">
        <v>0</v>
      </c>
      <c r="AD226" t="n">
        <v>1</v>
      </c>
      <c r="AE226" t="n">
        <v>0</v>
      </c>
      <c r="AF226" t="inlineStr"/>
      <c r="AG226" t="n">
        <v>0.02</v>
      </c>
      <c r="AH226" t="n">
        <v>2</v>
      </c>
      <c r="AI226" t="n">
        <v>78870565</v>
      </c>
      <c r="AJ226" t="n">
        <v>244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ROW(Source!A476)</f>
        <v/>
      </c>
      <c r="B227" t="n">
        <v>78870575</v>
      </c>
      <c r="C227" t="n">
        <v>78870562</v>
      </c>
      <c r="D227" t="n">
        <v>29174913</v>
      </c>
      <c r="E227" t="n">
        <v>1</v>
      </c>
      <c r="F227" t="n">
        <v>1</v>
      </c>
      <c r="G227" t="n">
        <v>1</v>
      </c>
      <c r="H227" t="n">
        <v>2</v>
      </c>
      <c r="I227" t="inlineStr">
        <is>
          <t>400001</t>
        </is>
      </c>
      <c r="J227" t="inlineStr">
        <is>
          <t>ТСЭМ Московской обл., 400001, приказ Минстроя России №675/пр от 28.02.2017 № 264/пр</t>
        </is>
      </c>
      <c r="K227" t="inlineStr">
        <is>
          <t>Автомобили бортовые, грузоподъемность до 5 т</t>
        </is>
      </c>
      <c r="L227" t="n">
        <v>1368</v>
      </c>
      <c r="N227" t="n">
        <v>1011</v>
      </c>
      <c r="O227" t="inlineStr">
        <is>
          <t>маш.-ч</t>
        </is>
      </c>
      <c r="P227" t="inlineStr">
        <is>
          <t>маш.-ч</t>
        </is>
      </c>
      <c r="Q227" t="n">
        <v>1</v>
      </c>
      <c r="X227" t="n">
        <v>0.02</v>
      </c>
      <c r="Y227" t="n">
        <v>0</v>
      </c>
      <c r="Z227" t="n">
        <v>87.17</v>
      </c>
      <c r="AA227" t="n">
        <v>11.6</v>
      </c>
      <c r="AB227" t="n">
        <v>0</v>
      </c>
      <c r="AC227" t="n">
        <v>0</v>
      </c>
      <c r="AD227" t="n">
        <v>1</v>
      </c>
      <c r="AE227" t="n">
        <v>0</v>
      </c>
      <c r="AF227" t="inlineStr"/>
      <c r="AG227" t="n">
        <v>0.02</v>
      </c>
      <c r="AH227" t="n">
        <v>2</v>
      </c>
      <c r="AI227" t="n">
        <v>78870566</v>
      </c>
      <c r="AJ227" t="n">
        <v>245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ROW(Source!A476)</f>
        <v/>
      </c>
      <c r="B228" t="n">
        <v>78870576</v>
      </c>
      <c r="C228" t="n">
        <v>78870562</v>
      </c>
      <c r="D228" t="n">
        <v>29110426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101-2143</t>
        </is>
      </c>
      <c r="J228" t="inlineStr">
        <is>
          <t>ТССЦ Московской обл., 101-2143, приказ Минстроя России №675/пр от 28.02.2017 № 254/пр</t>
        </is>
      </c>
      <c r="K228" t="inlineStr">
        <is>
          <t>Краска</t>
        </is>
      </c>
      <c r="L228" t="n">
        <v>1346</v>
      </c>
      <c r="N228" t="n">
        <v>1009</v>
      </c>
      <c r="O228" t="inlineStr">
        <is>
          <t>кг</t>
        </is>
      </c>
      <c r="P228" t="inlineStr">
        <is>
          <t>кг</t>
        </is>
      </c>
      <c r="Q228" t="n">
        <v>1</v>
      </c>
      <c r="X228" t="n">
        <v>0.3</v>
      </c>
      <c r="Y228" t="n">
        <v>28.67</v>
      </c>
      <c r="Z228" t="n">
        <v>0</v>
      </c>
      <c r="AA228" t="n">
        <v>0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0.3</v>
      </c>
      <c r="AH228" t="n">
        <v>2</v>
      </c>
      <c r="AI228" t="n">
        <v>78870567</v>
      </c>
      <c r="AJ228" t="n">
        <v>246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ROW(Source!A476)</f>
        <v/>
      </c>
      <c r="B229" t="n">
        <v>78870577</v>
      </c>
      <c r="C229" t="n">
        <v>78870562</v>
      </c>
      <c r="D229" t="n">
        <v>29149204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405-0219</t>
        </is>
      </c>
      <c r="J229" t="inlineStr">
        <is>
          <t>ТССЦ Московской обл., 405-0219, приказ Минстроя России №675/пр от 28.02.2017 № 257/пр</t>
        </is>
      </c>
      <c r="K229" t="inlineStr">
        <is>
          <t>Гипсовые вяжущие, марка Г3</t>
        </is>
      </c>
      <c r="L229" t="n">
        <v>1348</v>
      </c>
      <c r="N229" t="n">
        <v>1009</v>
      </c>
      <c r="O229" t="inlineStr">
        <is>
          <t>т</t>
        </is>
      </c>
      <c r="P229" t="inlineStr">
        <is>
          <t>т</t>
        </is>
      </c>
      <c r="Q229" t="n">
        <v>1000</v>
      </c>
      <c r="X229" t="n">
        <v>0.01</v>
      </c>
      <c r="Y229" t="n">
        <v>729.98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0.01</v>
      </c>
      <c r="AH229" t="n">
        <v>2</v>
      </c>
      <c r="AI229" t="n">
        <v>78870568</v>
      </c>
      <c r="AJ229" t="n">
        <v>247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ROW(Source!A476)</f>
        <v/>
      </c>
      <c r="B230" t="n">
        <v>78870578</v>
      </c>
      <c r="C230" t="n">
        <v>78870562</v>
      </c>
      <c r="D230" t="n">
        <v>29159012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507-0700</t>
        </is>
      </c>
      <c r="J230" t="inlineStr">
        <is>
          <t>ТССЦ Московской обл., 507-0700, приказ Минстроя России №675/пр от 28.02.2017 № 258/пр</t>
        </is>
      </c>
      <c r="K230" t="inlineStr">
        <is>
          <t>Трубка поливинилхлоридная ХВТ</t>
        </is>
      </c>
      <c r="L230" t="n">
        <v>1346</v>
      </c>
      <c r="N230" t="n">
        <v>1009</v>
      </c>
      <c r="O230" t="inlineStr">
        <is>
          <t>кг</t>
        </is>
      </c>
      <c r="P230" t="inlineStr">
        <is>
          <t>кг</t>
        </is>
      </c>
      <c r="Q230" t="n">
        <v>1</v>
      </c>
      <c r="X230" t="n">
        <v>0.53</v>
      </c>
      <c r="Y230" t="n">
        <v>41.82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0.53</v>
      </c>
      <c r="AH230" t="n">
        <v>2</v>
      </c>
      <c r="AI230" t="n">
        <v>78870570</v>
      </c>
      <c r="AJ230" t="n">
        <v>249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ROW(Source!A476)</f>
        <v/>
      </c>
      <c r="B231" t="n">
        <v>78870579</v>
      </c>
      <c r="C231" t="n">
        <v>78870562</v>
      </c>
      <c r="D231" t="n">
        <v>29171808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999-9950</t>
        </is>
      </c>
      <c r="J231" t="inlineStr">
        <is>
          <t>ТССЦ Московской обл., 999-9950, приказ Минстроя России №675/пр от 21.09.2015 г.</t>
        </is>
      </c>
      <c r="K231" t="inlineStr">
        <is>
          <t>Вспомогательные ненормируемые материалы (2% от ОЗП)</t>
        </is>
      </c>
      <c r="L231" t="n">
        <v>1374</v>
      </c>
      <c r="N231" t="n">
        <v>1013</v>
      </c>
      <c r="O231" t="inlineStr">
        <is>
          <t>РУБ</t>
        </is>
      </c>
      <c r="P231" t="inlineStr">
        <is>
          <t>РУБ</t>
        </is>
      </c>
      <c r="Q231" t="n">
        <v>1</v>
      </c>
      <c r="X231" t="n">
        <v>3.1</v>
      </c>
      <c r="Y231" t="n">
        <v>1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3.1</v>
      </c>
      <c r="AH231" t="n">
        <v>2</v>
      </c>
      <c r="AI231" t="n">
        <v>78870571</v>
      </c>
      <c r="AJ231" t="n">
        <v>252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ROW(Source!A518)</f>
        <v/>
      </c>
      <c r="B232" t="n">
        <v>78870657</v>
      </c>
      <c r="C232" t="n">
        <v>78870650</v>
      </c>
      <c r="D232" t="n">
        <v>18442827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1-1053-90</t>
        </is>
      </c>
      <c r="J232" t="inlineStr"/>
      <c r="K232" t="inlineStr">
        <is>
          <t>Рабочий строитель среднего разряда 5,3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5.01</v>
      </c>
      <c r="Y232" t="n">
        <v>0</v>
      </c>
      <c r="Z232" t="n">
        <v>0</v>
      </c>
      <c r="AA232" t="n">
        <v>0</v>
      </c>
      <c r="AB232" t="n">
        <v>11.64</v>
      </c>
      <c r="AC232" t="n">
        <v>0</v>
      </c>
      <c r="AD232" t="n">
        <v>1</v>
      </c>
      <c r="AE232" t="n">
        <v>1</v>
      </c>
      <c r="AF232" t="inlineStr">
        <is>
          <t>)*8</t>
        </is>
      </c>
      <c r="AG232" t="n">
        <v>40.08</v>
      </c>
      <c r="AH232" t="n">
        <v>2</v>
      </c>
      <c r="AI232" t="n">
        <v>78870651</v>
      </c>
      <c r="AJ232" t="n">
        <v>253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ROW(Source!A518)</f>
        <v/>
      </c>
      <c r="B233" t="n">
        <v>78870658</v>
      </c>
      <c r="C233" t="n">
        <v>78870650</v>
      </c>
      <c r="D233" t="n">
        <v>29172703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042900</t>
        </is>
      </c>
      <c r="J233" t="inlineStr">
        <is>
          <t>ТСЭМ Московской обл., 042900, приказ Минстроя России №675/пр от 28.02.2017 № 264/пр</t>
        </is>
      </c>
      <c r="K23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1.5</v>
      </c>
      <c r="Y233" t="n">
        <v>0</v>
      </c>
      <c r="Z233" t="n">
        <v>29.67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>
        <is>
          <t>)*8</t>
        </is>
      </c>
      <c r="AG233" t="n">
        <v>12</v>
      </c>
      <c r="AH233" t="n">
        <v>2</v>
      </c>
      <c r="AI233" t="n">
        <v>78870652</v>
      </c>
      <c r="AJ233" t="n">
        <v>254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ROW(Source!A518)</f>
        <v/>
      </c>
      <c r="B234" t="n">
        <v>78870659</v>
      </c>
      <c r="C234" t="n">
        <v>78870650</v>
      </c>
      <c r="D234" t="n">
        <v>29110398</v>
      </c>
      <c r="E234" t="n">
        <v>1</v>
      </c>
      <c r="F234" t="n">
        <v>1</v>
      </c>
      <c r="G234" t="n">
        <v>1</v>
      </c>
      <c r="H234" t="n">
        <v>3</v>
      </c>
      <c r="I234" t="inlineStr">
        <is>
          <t>101-0388</t>
        </is>
      </c>
      <c r="J234" t="inlineStr">
        <is>
          <t>ТССЦ Московской обл., 101-0388, приказ Минстроя России №675/пр от 28.02.2017 № 254/пр</t>
        </is>
      </c>
      <c r="K234" t="inlineStr">
        <is>
          <t>Краски масляные земляные марки МА-0115 мумия, сурик железный</t>
        </is>
      </c>
      <c r="L234" t="n">
        <v>1348</v>
      </c>
      <c r="N234" t="n">
        <v>1009</v>
      </c>
      <c r="O234" t="inlineStr">
        <is>
          <t>т</t>
        </is>
      </c>
      <c r="P234" t="inlineStr">
        <is>
          <t>т</t>
        </is>
      </c>
      <c r="Q234" t="n">
        <v>1000</v>
      </c>
      <c r="X234" t="n">
        <v>5e-05</v>
      </c>
      <c r="Y234" t="n">
        <v>15118.99</v>
      </c>
      <c r="Z234" t="n">
        <v>0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>
        <is>
          <t>)*8</t>
        </is>
      </c>
      <c r="AG234" t="n">
        <v>0.0004</v>
      </c>
      <c r="AH234" t="n">
        <v>2</v>
      </c>
      <c r="AI234" t="n">
        <v>78870653</v>
      </c>
      <c r="AJ234" t="n">
        <v>255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ROW(Source!A518)</f>
        <v/>
      </c>
      <c r="B235" t="n">
        <v>78870660</v>
      </c>
      <c r="C235" t="n">
        <v>78870650</v>
      </c>
      <c r="D235" t="n">
        <v>29110573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101-0628</t>
        </is>
      </c>
      <c r="J235" t="inlineStr">
        <is>
          <t>ТССЦ Московской обл., 101-0628, приказ Минстроя России №675/пр от 28.02.2017 № 254/пр</t>
        </is>
      </c>
      <c r="K235" t="inlineStr">
        <is>
          <t>Олифа комбинированная, марки К-3</t>
        </is>
      </c>
      <c r="L235" t="n">
        <v>1348</v>
      </c>
      <c r="N235" t="n">
        <v>1009</v>
      </c>
      <c r="O235" t="inlineStr">
        <is>
          <t>т</t>
        </is>
      </c>
      <c r="P235" t="inlineStr">
        <is>
          <t>т</t>
        </is>
      </c>
      <c r="Q235" t="n">
        <v>1000</v>
      </c>
      <c r="X235" t="n">
        <v>2e-05</v>
      </c>
      <c r="Y235" t="n">
        <v>16950</v>
      </c>
      <c r="Z235" t="n">
        <v>0</v>
      </c>
      <c r="AA235" t="n">
        <v>0</v>
      </c>
      <c r="AB235" t="n">
        <v>0</v>
      </c>
      <c r="AC235" t="n">
        <v>0</v>
      </c>
      <c r="AD235" t="n">
        <v>1</v>
      </c>
      <c r="AE235" t="n">
        <v>0</v>
      </c>
      <c r="AF235" t="inlineStr">
        <is>
          <t>)*8</t>
        </is>
      </c>
      <c r="AG235" t="n">
        <v>0.00016</v>
      </c>
      <c r="AH235" t="n">
        <v>2</v>
      </c>
      <c r="AI235" t="n">
        <v>78870654</v>
      </c>
      <c r="AJ235" t="n">
        <v>256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ROW(Source!A518)</f>
        <v/>
      </c>
      <c r="B236" t="n">
        <v>78870661</v>
      </c>
      <c r="C236" t="n">
        <v>78870650</v>
      </c>
      <c r="D236" t="n">
        <v>29107963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101-1669</t>
        </is>
      </c>
      <c r="J236" t="inlineStr">
        <is>
          <t>ТССЦ Московской обл., 101-1669, приказ Минстроя России №675/пр от 28.02.2017 № 254/пр</t>
        </is>
      </c>
      <c r="K236" t="inlineStr">
        <is>
          <t>Очес льняной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X236" t="n">
        <v>0.02</v>
      </c>
      <c r="Y236" t="n">
        <v>37.29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>
        <is>
          <t>)*8</t>
        </is>
      </c>
      <c r="AG236" t="n">
        <v>0.16</v>
      </c>
      <c r="AH236" t="n">
        <v>2</v>
      </c>
      <c r="AI236" t="n">
        <v>78870655</v>
      </c>
      <c r="AJ236" t="n">
        <v>257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ROW(Source!A518)</f>
        <v/>
      </c>
      <c r="B237" t="n">
        <v>78870662</v>
      </c>
      <c r="C237" t="n">
        <v>78870650</v>
      </c>
      <c r="D237" t="n">
        <v>29150040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411-0001</t>
        </is>
      </c>
      <c r="J237" t="inlineStr">
        <is>
          <t>ТССЦ Московской обл., 411-0001, приказ Минстроя России №675/пр от 28.02.2017 № 257/пр</t>
        </is>
      </c>
      <c r="K237" t="inlineStr">
        <is>
          <t>Вода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1</v>
      </c>
      <c r="Y237" t="n">
        <v>2.44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>
        <is>
          <t>)*8</t>
        </is>
      </c>
      <c r="AG237" t="n">
        <v>8</v>
      </c>
      <c r="AH237" t="n">
        <v>2</v>
      </c>
      <c r="AI237" t="n">
        <v>78870656</v>
      </c>
      <c r="AJ237" t="n">
        <v>258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ROW(Source!A519)</f>
        <v/>
      </c>
      <c r="B238" t="n">
        <v>78870669</v>
      </c>
      <c r="C238" t="n">
        <v>78870663</v>
      </c>
      <c r="D238" t="n">
        <v>18408291</v>
      </c>
      <c r="E238" t="n">
        <v>1</v>
      </c>
      <c r="F238" t="n">
        <v>1</v>
      </c>
      <c r="G238" t="n">
        <v>1</v>
      </c>
      <c r="H238" t="n">
        <v>1</v>
      </c>
      <c r="I238" t="inlineStr">
        <is>
          <t>1-1025-90</t>
        </is>
      </c>
      <c r="J238" t="inlineStr"/>
      <c r="K238" t="inlineStr">
        <is>
          <t>Рабочий строитель среднего разряда 2,5</t>
        </is>
      </c>
      <c r="L238" t="n">
        <v>1369</v>
      </c>
      <c r="N238" t="n">
        <v>1013</v>
      </c>
      <c r="O238" t="inlineStr">
        <is>
          <t>чел.-ч</t>
        </is>
      </c>
      <c r="P238" t="inlineStr">
        <is>
          <t>чел.-ч</t>
        </is>
      </c>
      <c r="Q238" t="n">
        <v>1</v>
      </c>
      <c r="X238" t="n">
        <v>32.2</v>
      </c>
      <c r="Y238" t="n">
        <v>0</v>
      </c>
      <c r="Z238" t="n">
        <v>0</v>
      </c>
      <c r="AA238" t="n">
        <v>0</v>
      </c>
      <c r="AB238" t="n">
        <v>8.17</v>
      </c>
      <c r="AC238" t="n">
        <v>0</v>
      </c>
      <c r="AD238" t="n">
        <v>1</v>
      </c>
      <c r="AE238" t="n">
        <v>1</v>
      </c>
      <c r="AF238" t="inlineStr"/>
      <c r="AG238" t="n">
        <v>32.2</v>
      </c>
      <c r="AH238" t="n">
        <v>2</v>
      </c>
      <c r="AI238" t="n">
        <v>78870664</v>
      </c>
      <c r="AJ238" t="n">
        <v>259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ROW(Source!A519)</f>
        <v/>
      </c>
      <c r="B239" t="n">
        <v>78870670</v>
      </c>
      <c r="C239" t="n">
        <v>78870663</v>
      </c>
      <c r="D239" t="n">
        <v>29174913</v>
      </c>
      <c r="E239" t="n">
        <v>1</v>
      </c>
      <c r="F239" t="n">
        <v>1</v>
      </c>
      <c r="G239" t="n">
        <v>1</v>
      </c>
      <c r="H239" t="n">
        <v>2</v>
      </c>
      <c r="I239" t="inlineStr">
        <is>
          <t>400001</t>
        </is>
      </c>
      <c r="J239" t="inlineStr">
        <is>
          <t>ТСЭМ Московской обл., 400001, приказ Минстроя России №675/пр от 28.02.2017 № 264/пр</t>
        </is>
      </c>
      <c r="K239" t="inlineStr">
        <is>
          <t>Автомобили бортовые, грузоподъемность до 5 т</t>
        </is>
      </c>
      <c r="L239" t="n">
        <v>1368</v>
      </c>
      <c r="N239" t="n">
        <v>1011</v>
      </c>
      <c r="O239" t="inlineStr">
        <is>
          <t>маш.-ч</t>
        </is>
      </c>
      <c r="P239" t="inlineStr">
        <is>
          <t>маш.-ч</t>
        </is>
      </c>
      <c r="Q239" t="n">
        <v>1</v>
      </c>
      <c r="X239" t="n">
        <v>0.01</v>
      </c>
      <c r="Y239" t="n">
        <v>0</v>
      </c>
      <c r="Z239" t="n">
        <v>87.17</v>
      </c>
      <c r="AA239" t="n">
        <v>11.6</v>
      </c>
      <c r="AB239" t="n">
        <v>0</v>
      </c>
      <c r="AC239" t="n">
        <v>0</v>
      </c>
      <c r="AD239" t="n">
        <v>1</v>
      </c>
      <c r="AE239" t="n">
        <v>0</v>
      </c>
      <c r="AF239" t="inlineStr"/>
      <c r="AG239" t="n">
        <v>0.01</v>
      </c>
      <c r="AH239" t="n">
        <v>2</v>
      </c>
      <c r="AI239" t="n">
        <v>78870665</v>
      </c>
      <c r="AJ239" t="n">
        <v>260</v>
      </c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ROW(Source!A519)</f>
        <v/>
      </c>
      <c r="B240" t="n">
        <v>78870671</v>
      </c>
      <c r="C240" t="n">
        <v>78870663</v>
      </c>
      <c r="D240" t="n">
        <v>29110139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101-1703</t>
        </is>
      </c>
      <c r="J240" t="inlineStr">
        <is>
          <t>ТССЦ Московской обл., 101-1703, приказ Минстроя России №675/пр от 28.02.2017 № 254/пр</t>
        </is>
      </c>
      <c r="K240" t="inlineStr">
        <is>
          <t>Прокладки резиновые (пластина техническая прессованная)</t>
        </is>
      </c>
      <c r="L240" t="n">
        <v>1346</v>
      </c>
      <c r="N240" t="n">
        <v>1009</v>
      </c>
      <c r="O240" t="inlineStr">
        <is>
          <t>кг</t>
        </is>
      </c>
      <c r="P240" t="inlineStr">
        <is>
          <t>кг</t>
        </is>
      </c>
      <c r="Q240" t="n">
        <v>1</v>
      </c>
      <c r="X240" t="n">
        <v>2</v>
      </c>
      <c r="Y240" t="n">
        <v>23.09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2</v>
      </c>
      <c r="AH240" t="n">
        <v>2</v>
      </c>
      <c r="AI240" t="n">
        <v>78870666</v>
      </c>
      <c r="AJ240" t="n">
        <v>261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ROW(Source!A519)</f>
        <v/>
      </c>
      <c r="B241" t="n">
        <v>78870672</v>
      </c>
      <c r="C241" t="n">
        <v>78870663</v>
      </c>
      <c r="D241" t="n">
        <v>29114240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101-2576</t>
        </is>
      </c>
      <c r="J241" t="inlineStr">
        <is>
          <t>ТССЦ Московской обл., 101-2576, приказ Минстроя России №675/пр от 28.02.2017 № 254/пр</t>
        </is>
      </c>
      <c r="K241" t="inlineStr">
        <is>
          <t>Болты с гайками и шайбами для санитарно-технических работ диаметром 16 мм</t>
        </is>
      </c>
      <c r="L241" t="n">
        <v>1348</v>
      </c>
      <c r="N241" t="n">
        <v>1009</v>
      </c>
      <c r="O241" t="inlineStr">
        <is>
          <t>т</t>
        </is>
      </c>
      <c r="P241" t="inlineStr">
        <is>
          <t>т</t>
        </is>
      </c>
      <c r="Q241" t="n">
        <v>1000</v>
      </c>
      <c r="X241" t="n">
        <v>0.005</v>
      </c>
      <c r="Y241" t="n">
        <v>14830</v>
      </c>
      <c r="Z241" t="n">
        <v>0</v>
      </c>
      <c r="AA241" t="n">
        <v>0</v>
      </c>
      <c r="AB241" t="n">
        <v>0</v>
      </c>
      <c r="AC241" t="n">
        <v>0</v>
      </c>
      <c r="AD241" t="n">
        <v>1</v>
      </c>
      <c r="AE241" t="n">
        <v>0</v>
      </c>
      <c r="AF241" t="inlineStr"/>
      <c r="AG241" t="n">
        <v>0.005</v>
      </c>
      <c r="AH241" t="n">
        <v>2</v>
      </c>
      <c r="AI241" t="n">
        <v>78870667</v>
      </c>
      <c r="AJ241" t="n">
        <v>262</v>
      </c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ROW(Source!A519)</f>
        <v/>
      </c>
      <c r="B242" t="n">
        <v>78870673</v>
      </c>
      <c r="C242" t="n">
        <v>78870663</v>
      </c>
      <c r="D242" t="n">
        <v>29150040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411-0001</t>
        </is>
      </c>
      <c r="J242" t="inlineStr">
        <is>
          <t>ТССЦ Московской обл., 411-0001, приказ Минстроя России №675/пр от 28.02.2017 № 257/пр</t>
        </is>
      </c>
      <c r="K242" t="inlineStr">
        <is>
          <t>Вода</t>
        </is>
      </c>
      <c r="L242" t="n">
        <v>1339</v>
      </c>
      <c r="N242" t="n">
        <v>1007</v>
      </c>
      <c r="O242" t="inlineStr">
        <is>
          <t>м3</t>
        </is>
      </c>
      <c r="P242" t="inlineStr">
        <is>
          <t>м3</t>
        </is>
      </c>
      <c r="Q242" t="n">
        <v>1</v>
      </c>
      <c r="X242" t="n">
        <v>7.8</v>
      </c>
      <c r="Y242" t="n">
        <v>2.44</v>
      </c>
      <c r="Z242" t="n">
        <v>0</v>
      </c>
      <c r="AA242" t="n">
        <v>0</v>
      </c>
      <c r="AB242" t="n">
        <v>0</v>
      </c>
      <c r="AC242" t="n">
        <v>0</v>
      </c>
      <c r="AD242" t="n">
        <v>1</v>
      </c>
      <c r="AE242" t="n">
        <v>0</v>
      </c>
      <c r="AF242" t="inlineStr"/>
      <c r="AG242" t="n">
        <v>7.8</v>
      </c>
      <c r="AH242" t="n">
        <v>2</v>
      </c>
      <c r="AI242" t="n">
        <v>78870668</v>
      </c>
      <c r="AJ242" t="n">
        <v>263</v>
      </c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ROW(Source!A558)</f>
        <v/>
      </c>
      <c r="B243" t="n">
        <v>78870743</v>
      </c>
      <c r="C243" t="n">
        <v>78870737</v>
      </c>
      <c r="D243" t="n">
        <v>18408291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1-1025-90</t>
        </is>
      </c>
      <c r="J243" t="inlineStr"/>
      <c r="K243" t="inlineStr">
        <is>
          <t>Рабочий строитель среднего разряда 2,5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32.2</v>
      </c>
      <c r="Y243" t="n">
        <v>0</v>
      </c>
      <c r="Z243" t="n">
        <v>0</v>
      </c>
      <c r="AA243" t="n">
        <v>0</v>
      </c>
      <c r="AB243" t="n">
        <v>8.17</v>
      </c>
      <c r="AC243" t="n">
        <v>0</v>
      </c>
      <c r="AD243" t="n">
        <v>1</v>
      </c>
      <c r="AE243" t="n">
        <v>1</v>
      </c>
      <c r="AF243" t="inlineStr"/>
      <c r="AG243" t="n">
        <v>32.2</v>
      </c>
      <c r="AH243" t="n">
        <v>2</v>
      </c>
      <c r="AI243" t="n">
        <v>78870738</v>
      </c>
      <c r="AJ243" t="n">
        <v>264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ROW(Source!A558)</f>
        <v/>
      </c>
      <c r="B244" t="n">
        <v>78870744</v>
      </c>
      <c r="C244" t="n">
        <v>78870737</v>
      </c>
      <c r="D244" t="n">
        <v>29174913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400001</t>
        </is>
      </c>
      <c r="J244" t="inlineStr">
        <is>
          <t>ТСЭМ Московской обл., 400001, приказ Минстроя России №675/пр от 28.02.2017 № 264/пр</t>
        </is>
      </c>
      <c r="K244" t="inlineStr">
        <is>
          <t>Автомобили бортовые, грузоподъемность до 5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0.01</v>
      </c>
      <c r="Y244" t="n">
        <v>0</v>
      </c>
      <c r="Z244" t="n">
        <v>87.17</v>
      </c>
      <c r="AA244" t="n">
        <v>11.6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0.01</v>
      </c>
      <c r="AH244" t="n">
        <v>2</v>
      </c>
      <c r="AI244" t="n">
        <v>78870739</v>
      </c>
      <c r="AJ244" t="n">
        <v>265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ROW(Source!A558)</f>
        <v/>
      </c>
      <c r="B245" t="n">
        <v>78870745</v>
      </c>
      <c r="C245" t="n">
        <v>78870737</v>
      </c>
      <c r="D245" t="n">
        <v>29110139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101-1703</t>
        </is>
      </c>
      <c r="J245" t="inlineStr">
        <is>
          <t>ТССЦ Московской обл., 101-1703, приказ Минстроя России №675/пр от 28.02.2017 № 254/пр</t>
        </is>
      </c>
      <c r="K245" t="inlineStr">
        <is>
          <t>Прокладки резиновые (пластина техническая прессованная)</t>
        </is>
      </c>
      <c r="L245" t="n">
        <v>1346</v>
      </c>
      <c r="N245" t="n">
        <v>1009</v>
      </c>
      <c r="O245" t="inlineStr">
        <is>
          <t>кг</t>
        </is>
      </c>
      <c r="P245" t="inlineStr">
        <is>
          <t>кг</t>
        </is>
      </c>
      <c r="Q245" t="n">
        <v>1</v>
      </c>
      <c r="X245" t="n">
        <v>2</v>
      </c>
      <c r="Y245" t="n">
        <v>23.09</v>
      </c>
      <c r="Z245" t="n">
        <v>0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2</v>
      </c>
      <c r="AH245" t="n">
        <v>2</v>
      </c>
      <c r="AI245" t="n">
        <v>78870740</v>
      </c>
      <c r="AJ245" t="n">
        <v>266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ROW(Source!A558)</f>
        <v/>
      </c>
      <c r="B246" t="n">
        <v>78870746</v>
      </c>
      <c r="C246" t="n">
        <v>78870737</v>
      </c>
      <c r="D246" t="n">
        <v>29114240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101-2576</t>
        </is>
      </c>
      <c r="J246" t="inlineStr">
        <is>
          <t>ТССЦ Московской обл., 101-2576, приказ Минстроя России №675/пр от 28.02.2017 № 254/пр</t>
        </is>
      </c>
      <c r="K246" t="inlineStr">
        <is>
          <t>Болты с гайками и шайбами для санитарно-технических работ диаметром 16 мм</t>
        </is>
      </c>
      <c r="L246" t="n">
        <v>1348</v>
      </c>
      <c r="N246" t="n">
        <v>1009</v>
      </c>
      <c r="O246" t="inlineStr">
        <is>
          <t>т</t>
        </is>
      </c>
      <c r="P246" t="inlineStr">
        <is>
          <t>т</t>
        </is>
      </c>
      <c r="Q246" t="n">
        <v>1000</v>
      </c>
      <c r="X246" t="n">
        <v>0.005</v>
      </c>
      <c r="Y246" t="n">
        <v>14830</v>
      </c>
      <c r="Z246" t="n">
        <v>0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0.005</v>
      </c>
      <c r="AH246" t="n">
        <v>2</v>
      </c>
      <c r="AI246" t="n">
        <v>78870741</v>
      </c>
      <c r="AJ246" t="n">
        <v>267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ROW(Source!A558)</f>
        <v/>
      </c>
      <c r="B247" t="n">
        <v>78870747</v>
      </c>
      <c r="C247" t="n">
        <v>78870737</v>
      </c>
      <c r="D247" t="n">
        <v>29150040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411-0001</t>
        </is>
      </c>
      <c r="J247" t="inlineStr">
        <is>
          <t>ТССЦ Московской обл., 411-0001, приказ Минстроя России №675/пр от 28.02.2017 № 257/пр</t>
        </is>
      </c>
      <c r="K247" t="inlineStr">
        <is>
          <t>Вода</t>
        </is>
      </c>
      <c r="L247" t="n">
        <v>1339</v>
      </c>
      <c r="N247" t="n">
        <v>1007</v>
      </c>
      <c r="O247" t="inlineStr">
        <is>
          <t>м3</t>
        </is>
      </c>
      <c r="P247" t="inlineStr">
        <is>
          <t>м3</t>
        </is>
      </c>
      <c r="Q247" t="n">
        <v>1</v>
      </c>
      <c r="X247" t="n">
        <v>7.8</v>
      </c>
      <c r="Y247" t="n">
        <v>2.44</v>
      </c>
      <c r="Z247" t="n">
        <v>0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7.8</v>
      </c>
      <c r="AH247" t="n">
        <v>2</v>
      </c>
      <c r="AI247" t="n">
        <v>78870742</v>
      </c>
      <c r="AJ247" t="n">
        <v>268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ROW(Source!A559)</f>
        <v/>
      </c>
      <c r="B248" t="n">
        <v>78870757</v>
      </c>
      <c r="C248" t="n">
        <v>78870748</v>
      </c>
      <c r="D248" t="n">
        <v>18409850</v>
      </c>
      <c r="E248" t="n">
        <v>1</v>
      </c>
      <c r="F248" t="n">
        <v>1</v>
      </c>
      <c r="G248" t="n">
        <v>1</v>
      </c>
      <c r="H248" t="n">
        <v>1</v>
      </c>
      <c r="I248" t="inlineStr">
        <is>
          <t>1-1035-90</t>
        </is>
      </c>
      <c r="J248" t="inlineStr"/>
      <c r="K248" t="inlineStr">
        <is>
          <t>Рабочий строитель среднего разряда 3,5</t>
        </is>
      </c>
      <c r="L248" t="n">
        <v>1369</v>
      </c>
      <c r="N248" t="n">
        <v>1013</v>
      </c>
      <c r="O248" t="inlineStr">
        <is>
          <t>чел.-ч</t>
        </is>
      </c>
      <c r="P248" t="inlineStr">
        <is>
          <t>чел.-ч</t>
        </is>
      </c>
      <c r="Q248" t="n">
        <v>1</v>
      </c>
      <c r="X248" t="n">
        <v>81</v>
      </c>
      <c r="Y248" t="n">
        <v>0</v>
      </c>
      <c r="Z248" t="n">
        <v>0</v>
      </c>
      <c r="AA248" t="n">
        <v>0</v>
      </c>
      <c r="AB248" t="n">
        <v>9.07</v>
      </c>
      <c r="AC248" t="n">
        <v>0</v>
      </c>
      <c r="AD248" t="n">
        <v>1</v>
      </c>
      <c r="AE248" t="n">
        <v>1</v>
      </c>
      <c r="AF248" t="inlineStr"/>
      <c r="AG248" t="n">
        <v>81</v>
      </c>
      <c r="AH248" t="n">
        <v>2</v>
      </c>
      <c r="AI248" t="n">
        <v>78870749</v>
      </c>
      <c r="AJ248" t="n">
        <v>269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ROW(Source!A559)</f>
        <v/>
      </c>
      <c r="B249" t="n">
        <v>78870758</v>
      </c>
      <c r="C249" t="n">
        <v>78870748</v>
      </c>
      <c r="D249" t="n">
        <v>29174913</v>
      </c>
      <c r="E249" t="n">
        <v>1</v>
      </c>
      <c r="F249" t="n">
        <v>1</v>
      </c>
      <c r="G249" t="n">
        <v>1</v>
      </c>
      <c r="H249" t="n">
        <v>2</v>
      </c>
      <c r="I249" t="inlineStr">
        <is>
          <t>400001</t>
        </is>
      </c>
      <c r="J249" t="inlineStr">
        <is>
          <t>ТСЭМ Московской обл., 400001, приказ Минстроя России №675/пр от 28.02.2017 № 264/пр</t>
        </is>
      </c>
      <c r="K249" t="inlineStr">
        <is>
          <t>Автомобили бортовые, грузоподъемность до 5 т</t>
        </is>
      </c>
      <c r="L249" t="n">
        <v>1368</v>
      </c>
      <c r="N249" t="n">
        <v>1011</v>
      </c>
      <c r="O249" t="inlineStr">
        <is>
          <t>маш.-ч</t>
        </is>
      </c>
      <c r="P249" t="inlineStr">
        <is>
          <t>маш.-ч</t>
        </is>
      </c>
      <c r="Q249" t="n">
        <v>1</v>
      </c>
      <c r="X249" t="n">
        <v>0.05</v>
      </c>
      <c r="Y249" t="n">
        <v>0</v>
      </c>
      <c r="Z249" t="n">
        <v>87.17</v>
      </c>
      <c r="AA249" t="n">
        <v>11.6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0.05</v>
      </c>
      <c r="AH249" t="n">
        <v>2</v>
      </c>
      <c r="AI249" t="n">
        <v>78870750</v>
      </c>
      <c r="AJ249" t="n">
        <v>270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ROW(Source!A559)</f>
        <v/>
      </c>
      <c r="B250" t="n">
        <v>78870759</v>
      </c>
      <c r="C250" t="n">
        <v>78870748</v>
      </c>
      <c r="D250" t="n">
        <v>29110398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101-0388</t>
        </is>
      </c>
      <c r="J250" t="inlineStr">
        <is>
          <t>ТССЦ Московской обл., 101-0388, приказ Минстроя России №675/пр от 28.02.2017 № 254/пр</t>
        </is>
      </c>
      <c r="K250" t="inlineStr">
        <is>
          <t>Краски масляные земляные марки МА-0115 мумия, сурик железный</t>
        </is>
      </c>
      <c r="L250" t="n">
        <v>1348</v>
      </c>
      <c r="N250" t="n">
        <v>1009</v>
      </c>
      <c r="O250" t="inlineStr">
        <is>
          <t>т</t>
        </is>
      </c>
      <c r="P250" t="inlineStr">
        <is>
          <t>т</t>
        </is>
      </c>
      <c r="Q250" t="n">
        <v>1000</v>
      </c>
      <c r="X250" t="n">
        <v>0.0014</v>
      </c>
      <c r="Y250" t="n">
        <v>15118.99</v>
      </c>
      <c r="Z250" t="n">
        <v>0</v>
      </c>
      <c r="AA250" t="n">
        <v>0</v>
      </c>
      <c r="AB250" t="n">
        <v>0</v>
      </c>
      <c r="AC250" t="n">
        <v>0</v>
      </c>
      <c r="AD250" t="n">
        <v>1</v>
      </c>
      <c r="AE250" t="n">
        <v>0</v>
      </c>
      <c r="AF250" t="inlineStr"/>
      <c r="AG250" t="n">
        <v>0.0014</v>
      </c>
      <c r="AH250" t="n">
        <v>2</v>
      </c>
      <c r="AI250" t="n">
        <v>78870751</v>
      </c>
      <c r="AJ250" t="n">
        <v>271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ROW(Source!A559)</f>
        <v/>
      </c>
      <c r="B251" t="n">
        <v>78870760</v>
      </c>
      <c r="C251" t="n">
        <v>78870748</v>
      </c>
      <c r="D251" t="n">
        <v>29110573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101-0628</t>
        </is>
      </c>
      <c r="J251" t="inlineStr">
        <is>
          <t>ТССЦ Московской обл., 101-0628, приказ Минстроя России №675/пр от 28.02.2017 № 254/пр</t>
        </is>
      </c>
      <c r="K251" t="inlineStr">
        <is>
          <t>Олифа комбинированная, марки К-3</t>
        </is>
      </c>
      <c r="L251" t="n">
        <v>1348</v>
      </c>
      <c r="N251" t="n">
        <v>1009</v>
      </c>
      <c r="O251" t="inlineStr">
        <is>
          <t>т</t>
        </is>
      </c>
      <c r="P251" t="inlineStr">
        <is>
          <t>т</t>
        </is>
      </c>
      <c r="Q251" t="n">
        <v>1000</v>
      </c>
      <c r="X251" t="n">
        <v>0.0007</v>
      </c>
      <c r="Y251" t="n">
        <v>16950</v>
      </c>
      <c r="Z251" t="n">
        <v>0</v>
      </c>
      <c r="AA251" t="n">
        <v>0</v>
      </c>
      <c r="AB251" t="n">
        <v>0</v>
      </c>
      <c r="AC251" t="n">
        <v>0</v>
      </c>
      <c r="AD251" t="n">
        <v>1</v>
      </c>
      <c r="AE251" t="n">
        <v>0</v>
      </c>
      <c r="AF251" t="inlineStr"/>
      <c r="AG251" t="n">
        <v>0.0007</v>
      </c>
      <c r="AH251" t="n">
        <v>2</v>
      </c>
      <c r="AI251" t="n">
        <v>78870752</v>
      </c>
      <c r="AJ251" t="n">
        <v>272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ROW(Source!A559)</f>
        <v/>
      </c>
      <c r="B252" t="n">
        <v>78870761</v>
      </c>
      <c r="C252" t="n">
        <v>78870748</v>
      </c>
      <c r="D252" t="n">
        <v>29107963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101-1669</t>
        </is>
      </c>
      <c r="J252" t="inlineStr">
        <is>
          <t>ТССЦ Московской обл., 101-1669, приказ Минстроя России №675/пр от 28.02.2017 № 254/пр</t>
        </is>
      </c>
      <c r="K252" t="inlineStr">
        <is>
          <t>Очес льняной</t>
        </is>
      </c>
      <c r="L252" t="n">
        <v>1346</v>
      </c>
      <c r="N252" t="n">
        <v>1009</v>
      </c>
      <c r="O252" t="inlineStr">
        <is>
          <t>кг</t>
        </is>
      </c>
      <c r="P252" t="inlineStr">
        <is>
          <t>кг</t>
        </is>
      </c>
      <c r="Q252" t="n">
        <v>1</v>
      </c>
      <c r="X252" t="n">
        <v>0.7</v>
      </c>
      <c r="Y252" t="n">
        <v>37.29</v>
      </c>
      <c r="Z252" t="n">
        <v>0</v>
      </c>
      <c r="AA252" t="n">
        <v>0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0.7</v>
      </c>
      <c r="AH252" t="n">
        <v>2</v>
      </c>
      <c r="AI252" t="n">
        <v>78870753</v>
      </c>
      <c r="AJ252" t="n">
        <v>273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ROW(Source!A559)</f>
        <v/>
      </c>
      <c r="B253" t="n">
        <v>78870762</v>
      </c>
      <c r="C253" t="n">
        <v>78870748</v>
      </c>
      <c r="D253" t="n">
        <v>29142465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302-1342</t>
        </is>
      </c>
      <c r="J253" t="inlineStr">
        <is>
          <t>ТССЦ Московской обл., 302-1342, приказ Минстроя России №675/пр от 28.02.2017 № 256/пр</t>
        </is>
      </c>
      <c r="K253" t="inlineStr">
        <is>
          <t>Вентили проходные муфтовые 15кч18п для воды давлением 1,6 МПа (16 кгс/см2), диаметром 20 мм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X253" t="n">
        <v>100</v>
      </c>
      <c r="Y253" t="n">
        <v>21.81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100</v>
      </c>
      <c r="AH253" t="n">
        <v>2</v>
      </c>
      <c r="AI253" t="n">
        <v>78870755</v>
      </c>
      <c r="AJ253" t="n">
        <v>275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ROW(Source!A559)</f>
        <v/>
      </c>
      <c r="B254" t="n">
        <v>78870763</v>
      </c>
      <c r="C254" t="n">
        <v>78870748</v>
      </c>
      <c r="D254" t="n">
        <v>29164350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509-9899</t>
        </is>
      </c>
      <c r="J254" t="inlineStr">
        <is>
          <t>ТССЦ Московской обл., 509-9899, приказ Минстроя России №675/пр от 28.02.2017 № 258/пр</t>
        </is>
      </c>
      <c r="K254" t="inlineStr">
        <is>
          <t>Строительный мусор и масса возвратных материалов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0.04</v>
      </c>
      <c r="Y254" t="n">
        <v>0</v>
      </c>
      <c r="Z254" t="n">
        <v>0</v>
      </c>
      <c r="AA254" t="n">
        <v>0</v>
      </c>
      <c r="AB254" t="n">
        <v>0</v>
      </c>
      <c r="AC254" t="n">
        <v>0</v>
      </c>
      <c r="AD254" t="n">
        <v>0</v>
      </c>
      <c r="AE254" t="n">
        <v>0</v>
      </c>
      <c r="AF254" t="inlineStr"/>
      <c r="AG254" t="n">
        <v>0.04</v>
      </c>
      <c r="AH254" t="n">
        <v>2</v>
      </c>
      <c r="AI254" t="n">
        <v>78870756</v>
      </c>
      <c r="AJ254" t="n">
        <v>276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ROW(Source!A562)</f>
        <v/>
      </c>
      <c r="B255" t="n">
        <v>78870773</v>
      </c>
      <c r="C255" t="n">
        <v>78870766</v>
      </c>
      <c r="D255" t="n">
        <v>18442827</v>
      </c>
      <c r="E255" t="n">
        <v>1</v>
      </c>
      <c r="F255" t="n">
        <v>1</v>
      </c>
      <c r="G255" t="n">
        <v>1</v>
      </c>
      <c r="H255" t="n">
        <v>1</v>
      </c>
      <c r="I255" t="inlineStr">
        <is>
          <t>1-1053-90</t>
        </is>
      </c>
      <c r="J255" t="inlineStr"/>
      <c r="K255" t="inlineStr">
        <is>
          <t>Рабочий строитель среднего разряда 5,3</t>
        </is>
      </c>
      <c r="L255" t="n">
        <v>1369</v>
      </c>
      <c r="N255" t="n">
        <v>1013</v>
      </c>
      <c r="O255" t="inlineStr">
        <is>
          <t>чел.-ч</t>
        </is>
      </c>
      <c r="P255" t="inlineStr">
        <is>
          <t>чел.-ч</t>
        </is>
      </c>
      <c r="Q255" t="n">
        <v>1</v>
      </c>
      <c r="X255" t="n">
        <v>5.01</v>
      </c>
      <c r="Y255" t="n">
        <v>0</v>
      </c>
      <c r="Z255" t="n">
        <v>0</v>
      </c>
      <c r="AA255" t="n">
        <v>0</v>
      </c>
      <c r="AB255" t="n">
        <v>11.64</v>
      </c>
      <c r="AC255" t="n">
        <v>0</v>
      </c>
      <c r="AD255" t="n">
        <v>1</v>
      </c>
      <c r="AE255" t="n">
        <v>1</v>
      </c>
      <c r="AF255" t="inlineStr">
        <is>
          <t>)*5</t>
        </is>
      </c>
      <c r="AG255" t="n">
        <v>25.05</v>
      </c>
      <c r="AH255" t="n">
        <v>2</v>
      </c>
      <c r="AI255" t="n">
        <v>78870767</v>
      </c>
      <c r="AJ255" t="n">
        <v>277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ROW(Source!A562)</f>
        <v/>
      </c>
      <c r="B256" t="n">
        <v>78870774</v>
      </c>
      <c r="C256" t="n">
        <v>78870766</v>
      </c>
      <c r="D256" t="n">
        <v>29172703</v>
      </c>
      <c r="E256" t="n">
        <v>1</v>
      </c>
      <c r="F256" t="n">
        <v>1</v>
      </c>
      <c r="G256" t="n">
        <v>1</v>
      </c>
      <c r="H256" t="n">
        <v>2</v>
      </c>
      <c r="I256" t="inlineStr">
        <is>
          <t>042900</t>
        </is>
      </c>
      <c r="J256" t="inlineStr">
        <is>
          <t>ТСЭМ Московской обл., 042900, приказ Минстроя России №675/пр от 28.02.2017 № 264/пр</t>
        </is>
      </c>
      <c r="K2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6" t="n">
        <v>1368</v>
      </c>
      <c r="N256" t="n">
        <v>1011</v>
      </c>
      <c r="O256" t="inlineStr">
        <is>
          <t>маш.-ч</t>
        </is>
      </c>
      <c r="P256" t="inlineStr">
        <is>
          <t>маш.-ч</t>
        </is>
      </c>
      <c r="Q256" t="n">
        <v>1</v>
      </c>
      <c r="X256" t="n">
        <v>1.5</v>
      </c>
      <c r="Y256" t="n">
        <v>0</v>
      </c>
      <c r="Z256" t="n">
        <v>29.67</v>
      </c>
      <c r="AA256" t="n">
        <v>0</v>
      </c>
      <c r="AB256" t="n">
        <v>0</v>
      </c>
      <c r="AC256" t="n">
        <v>0</v>
      </c>
      <c r="AD256" t="n">
        <v>1</v>
      </c>
      <c r="AE256" t="n">
        <v>0</v>
      </c>
      <c r="AF256" t="inlineStr">
        <is>
          <t>)*5</t>
        </is>
      </c>
      <c r="AG256" t="n">
        <v>7.5</v>
      </c>
      <c r="AH256" t="n">
        <v>2</v>
      </c>
      <c r="AI256" t="n">
        <v>78870768</v>
      </c>
      <c r="AJ256" t="n">
        <v>278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ROW(Source!A562)</f>
        <v/>
      </c>
      <c r="B257" t="n">
        <v>78870775</v>
      </c>
      <c r="C257" t="n">
        <v>78870766</v>
      </c>
      <c r="D257" t="n">
        <v>29110398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101-0388</t>
        </is>
      </c>
      <c r="J257" t="inlineStr">
        <is>
          <t>ТССЦ Московской обл., 101-0388, приказ Минстроя России №675/пр от 28.02.2017 № 254/пр</t>
        </is>
      </c>
      <c r="K257" t="inlineStr">
        <is>
          <t>Краски масляные земляные марки МА-0115 мумия, сурик железный</t>
        </is>
      </c>
      <c r="L257" t="n">
        <v>1348</v>
      </c>
      <c r="N257" t="n">
        <v>1009</v>
      </c>
      <c r="O257" t="inlineStr">
        <is>
          <t>т</t>
        </is>
      </c>
      <c r="P257" t="inlineStr">
        <is>
          <t>т</t>
        </is>
      </c>
      <c r="Q257" t="n">
        <v>1000</v>
      </c>
      <c r="X257" t="n">
        <v>5e-05</v>
      </c>
      <c r="Y257" t="n">
        <v>15118.99</v>
      </c>
      <c r="Z257" t="n">
        <v>0</v>
      </c>
      <c r="AA257" t="n">
        <v>0</v>
      </c>
      <c r="AB257" t="n">
        <v>0</v>
      </c>
      <c r="AC257" t="n">
        <v>0</v>
      </c>
      <c r="AD257" t="n">
        <v>1</v>
      </c>
      <c r="AE257" t="n">
        <v>0</v>
      </c>
      <c r="AF257" t="inlineStr">
        <is>
          <t>)*5</t>
        </is>
      </c>
      <c r="AG257" t="n">
        <v>0.00025</v>
      </c>
      <c r="AH257" t="n">
        <v>2</v>
      </c>
      <c r="AI257" t="n">
        <v>78870769</v>
      </c>
      <c r="AJ257" t="n">
        <v>279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ROW(Source!A562)</f>
        <v/>
      </c>
      <c r="B258" t="n">
        <v>78870776</v>
      </c>
      <c r="C258" t="n">
        <v>78870766</v>
      </c>
      <c r="D258" t="n">
        <v>29110573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101-0628</t>
        </is>
      </c>
      <c r="J258" t="inlineStr">
        <is>
          <t>ТССЦ Московской обл., 101-0628, приказ Минстроя России №675/пр от 28.02.2017 № 254/пр</t>
        </is>
      </c>
      <c r="K258" t="inlineStr">
        <is>
          <t>Олифа комбинированная, марки К-3</t>
        </is>
      </c>
      <c r="L258" t="n">
        <v>1348</v>
      </c>
      <c r="N258" t="n">
        <v>1009</v>
      </c>
      <c r="O258" t="inlineStr">
        <is>
          <t>т</t>
        </is>
      </c>
      <c r="P258" t="inlineStr">
        <is>
          <t>т</t>
        </is>
      </c>
      <c r="Q258" t="n">
        <v>1000</v>
      </c>
      <c r="X258" t="n">
        <v>2e-05</v>
      </c>
      <c r="Y258" t="n">
        <v>16950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>
        <is>
          <t>)*5</t>
        </is>
      </c>
      <c r="AG258" t="n">
        <v>0.0001</v>
      </c>
      <c r="AH258" t="n">
        <v>2</v>
      </c>
      <c r="AI258" t="n">
        <v>78870770</v>
      </c>
      <c r="AJ258" t="n">
        <v>280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ROW(Source!A562)</f>
        <v/>
      </c>
      <c r="B259" t="n">
        <v>78870777</v>
      </c>
      <c r="C259" t="n">
        <v>78870766</v>
      </c>
      <c r="D259" t="n">
        <v>29107963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101-1669</t>
        </is>
      </c>
      <c r="J259" t="inlineStr">
        <is>
          <t>ТССЦ Московской обл., 101-1669, приказ Минстроя России №675/пр от 28.02.2017 № 254/пр</t>
        </is>
      </c>
      <c r="K259" t="inlineStr">
        <is>
          <t>Очес льняной</t>
        </is>
      </c>
      <c r="L259" t="n">
        <v>1346</v>
      </c>
      <c r="N259" t="n">
        <v>1009</v>
      </c>
      <c r="O259" t="inlineStr">
        <is>
          <t>кг</t>
        </is>
      </c>
      <c r="P259" t="inlineStr">
        <is>
          <t>кг</t>
        </is>
      </c>
      <c r="Q259" t="n">
        <v>1</v>
      </c>
      <c r="X259" t="n">
        <v>0.02</v>
      </c>
      <c r="Y259" t="n">
        <v>37.29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>
        <is>
          <t>)*5</t>
        </is>
      </c>
      <c r="AG259" t="n">
        <v>0.1</v>
      </c>
      <c r="AH259" t="n">
        <v>2</v>
      </c>
      <c r="AI259" t="n">
        <v>78870771</v>
      </c>
      <c r="AJ259" t="n">
        <v>281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ROW(Source!A562)</f>
        <v/>
      </c>
      <c r="B260" t="n">
        <v>78870778</v>
      </c>
      <c r="C260" t="n">
        <v>78870766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1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>
        <is>
          <t>)*5</t>
        </is>
      </c>
      <c r="AG260" t="n">
        <v>5</v>
      </c>
      <c r="AH260" t="n">
        <v>2</v>
      </c>
      <c r="AI260" t="n">
        <v>78870772</v>
      </c>
      <c r="AJ260" t="n">
        <v>282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ROW(Source!A601)</f>
        <v/>
      </c>
      <c r="B261" t="n">
        <v>78870848</v>
      </c>
      <c r="C261" t="n">
        <v>78870842</v>
      </c>
      <c r="D261" t="n">
        <v>18408291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1-1025-90</t>
        </is>
      </c>
      <c r="J261" t="inlineStr"/>
      <c r="K261" t="inlineStr">
        <is>
          <t>Рабочий строитель среднего разряда 2,5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32.2</v>
      </c>
      <c r="Y261" t="n">
        <v>0</v>
      </c>
      <c r="Z261" t="n">
        <v>0</v>
      </c>
      <c r="AA261" t="n">
        <v>0</v>
      </c>
      <c r="AB261" t="n">
        <v>8.17</v>
      </c>
      <c r="AC261" t="n">
        <v>0</v>
      </c>
      <c r="AD261" t="n">
        <v>1</v>
      </c>
      <c r="AE261" t="n">
        <v>1</v>
      </c>
      <c r="AF261" t="inlineStr"/>
      <c r="AG261" t="n">
        <v>32.2</v>
      </c>
      <c r="AH261" t="n">
        <v>2</v>
      </c>
      <c r="AI261" t="n">
        <v>78870843</v>
      </c>
      <c r="AJ261" t="n">
        <v>283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ROW(Source!A601)</f>
        <v/>
      </c>
      <c r="B262" t="n">
        <v>78870849</v>
      </c>
      <c r="C262" t="n">
        <v>78870842</v>
      </c>
      <c r="D262" t="n">
        <v>29174913</v>
      </c>
      <c r="E262" t="n">
        <v>1</v>
      </c>
      <c r="F262" t="n">
        <v>1</v>
      </c>
      <c r="G262" t="n">
        <v>1</v>
      </c>
      <c r="H262" t="n">
        <v>2</v>
      </c>
      <c r="I262" t="inlineStr">
        <is>
          <t>400001</t>
        </is>
      </c>
      <c r="J262" t="inlineStr">
        <is>
          <t>ТСЭМ Московской обл., 400001, приказ Минстроя России №675/пр от 28.02.2017 № 264/пр</t>
        </is>
      </c>
      <c r="K262" t="inlineStr">
        <is>
          <t>Автомобили бортовые, грузоподъемность до 5 т</t>
        </is>
      </c>
      <c r="L262" t="n">
        <v>1368</v>
      </c>
      <c r="N262" t="n">
        <v>1011</v>
      </c>
      <c r="O262" t="inlineStr">
        <is>
          <t>маш.-ч</t>
        </is>
      </c>
      <c r="P262" t="inlineStr">
        <is>
          <t>маш.-ч</t>
        </is>
      </c>
      <c r="Q262" t="n">
        <v>1</v>
      </c>
      <c r="X262" t="n">
        <v>0.01</v>
      </c>
      <c r="Y262" t="n">
        <v>0</v>
      </c>
      <c r="Z262" t="n">
        <v>87.17</v>
      </c>
      <c r="AA262" t="n">
        <v>11.6</v>
      </c>
      <c r="AB262" t="n">
        <v>0</v>
      </c>
      <c r="AC262" t="n">
        <v>0</v>
      </c>
      <c r="AD262" t="n">
        <v>1</v>
      </c>
      <c r="AE262" t="n">
        <v>0</v>
      </c>
      <c r="AF262" t="inlineStr"/>
      <c r="AG262" t="n">
        <v>0.01</v>
      </c>
      <c r="AH262" t="n">
        <v>2</v>
      </c>
      <c r="AI262" t="n">
        <v>78870844</v>
      </c>
      <c r="AJ262" t="n">
        <v>284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ROW(Source!A601)</f>
        <v/>
      </c>
      <c r="B263" t="n">
        <v>78870850</v>
      </c>
      <c r="C263" t="n">
        <v>78870842</v>
      </c>
      <c r="D263" t="n">
        <v>29110139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101-1703</t>
        </is>
      </c>
      <c r="J263" t="inlineStr">
        <is>
          <t>ТССЦ Московской обл., 101-1703, приказ Минстроя России №675/пр от 28.02.2017 № 254/пр</t>
        </is>
      </c>
      <c r="K263" t="inlineStr">
        <is>
          <t>Прокладки резиновые (пластина техническая прессованная)</t>
        </is>
      </c>
      <c r="L263" t="n">
        <v>1346</v>
      </c>
      <c r="N263" t="n">
        <v>1009</v>
      </c>
      <c r="O263" t="inlineStr">
        <is>
          <t>кг</t>
        </is>
      </c>
      <c r="P263" t="inlineStr">
        <is>
          <t>кг</t>
        </is>
      </c>
      <c r="Q263" t="n">
        <v>1</v>
      </c>
      <c r="X263" t="n">
        <v>2</v>
      </c>
      <c r="Y263" t="n">
        <v>23.09</v>
      </c>
      <c r="Z263" t="n">
        <v>0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2</v>
      </c>
      <c r="AH263" t="n">
        <v>2</v>
      </c>
      <c r="AI263" t="n">
        <v>78870845</v>
      </c>
      <c r="AJ263" t="n">
        <v>285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ROW(Source!A601)</f>
        <v/>
      </c>
      <c r="B264" t="n">
        <v>78870851</v>
      </c>
      <c r="C264" t="n">
        <v>78870842</v>
      </c>
      <c r="D264" t="n">
        <v>29114240</v>
      </c>
      <c r="E264" t="n">
        <v>1</v>
      </c>
      <c r="F264" t="n">
        <v>1</v>
      </c>
      <c r="G264" t="n">
        <v>1</v>
      </c>
      <c r="H264" t="n">
        <v>3</v>
      </c>
      <c r="I264" t="inlineStr">
        <is>
          <t>101-2576</t>
        </is>
      </c>
      <c r="J264" t="inlineStr">
        <is>
          <t>ТССЦ Московской обл., 101-2576, приказ Минстроя России №675/пр от 28.02.2017 № 254/пр</t>
        </is>
      </c>
      <c r="K264" t="inlineStr">
        <is>
          <t>Болты с гайками и шайбами для санитарно-технических работ диаметром 16 мм</t>
        </is>
      </c>
      <c r="L264" t="n">
        <v>1348</v>
      </c>
      <c r="N264" t="n">
        <v>1009</v>
      </c>
      <c r="O264" t="inlineStr">
        <is>
          <t>т</t>
        </is>
      </c>
      <c r="P264" t="inlineStr">
        <is>
          <t>т</t>
        </is>
      </c>
      <c r="Q264" t="n">
        <v>1000</v>
      </c>
      <c r="X264" t="n">
        <v>0.005</v>
      </c>
      <c r="Y264" t="n">
        <v>14830</v>
      </c>
      <c r="Z264" t="n">
        <v>0</v>
      </c>
      <c r="AA264" t="n">
        <v>0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0.005</v>
      </c>
      <c r="AH264" t="n">
        <v>2</v>
      </c>
      <c r="AI264" t="n">
        <v>78870846</v>
      </c>
      <c r="AJ264" t="n">
        <v>286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ROW(Source!A601)</f>
        <v/>
      </c>
      <c r="B265" t="n">
        <v>78870852</v>
      </c>
      <c r="C265" t="n">
        <v>78870842</v>
      </c>
      <c r="D265" t="n">
        <v>29150040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411-0001</t>
        </is>
      </c>
      <c r="J265" t="inlineStr">
        <is>
          <t>ТССЦ Московской обл., 411-0001, приказ Минстроя России №675/пр от 28.02.2017 № 257/пр</t>
        </is>
      </c>
      <c r="K265" t="inlineStr">
        <is>
          <t>Вода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7.8</v>
      </c>
      <c r="Y265" t="n">
        <v>2.44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7.8</v>
      </c>
      <c r="AH265" t="n">
        <v>2</v>
      </c>
      <c r="AI265" t="n">
        <v>78870847</v>
      </c>
      <c r="AJ265" t="n">
        <v>287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ROW(Source!A602)</f>
        <v/>
      </c>
      <c r="B266" t="n">
        <v>78870860</v>
      </c>
      <c r="C266" t="n">
        <v>78870853</v>
      </c>
      <c r="D266" t="n">
        <v>18442827</v>
      </c>
      <c r="E266" t="n">
        <v>1</v>
      </c>
      <c r="F266" t="n">
        <v>1</v>
      </c>
      <c r="G266" t="n">
        <v>1</v>
      </c>
      <c r="H266" t="n">
        <v>1</v>
      </c>
      <c r="I266" t="inlineStr">
        <is>
          <t>1-1053-90</t>
        </is>
      </c>
      <c r="J266" t="inlineStr"/>
      <c r="K266" t="inlineStr">
        <is>
          <t>Рабочий строитель среднего разряда 5,3</t>
        </is>
      </c>
      <c r="L266" t="n">
        <v>1369</v>
      </c>
      <c r="N266" t="n">
        <v>1013</v>
      </c>
      <c r="O266" t="inlineStr">
        <is>
          <t>чел.-ч</t>
        </is>
      </c>
      <c r="P266" t="inlineStr">
        <is>
          <t>чел.-ч</t>
        </is>
      </c>
      <c r="Q266" t="n">
        <v>1</v>
      </c>
      <c r="X266" t="n">
        <v>5.01</v>
      </c>
      <c r="Y266" t="n">
        <v>0</v>
      </c>
      <c r="Z266" t="n">
        <v>0</v>
      </c>
      <c r="AA266" t="n">
        <v>0</v>
      </c>
      <c r="AB266" t="n">
        <v>11.64</v>
      </c>
      <c r="AC266" t="n">
        <v>0</v>
      </c>
      <c r="AD266" t="n">
        <v>1</v>
      </c>
      <c r="AE266" t="n">
        <v>1</v>
      </c>
      <c r="AF266" t="inlineStr">
        <is>
          <t>)*5</t>
        </is>
      </c>
      <c r="AG266" t="n">
        <v>25.05</v>
      </c>
      <c r="AH266" t="n">
        <v>2</v>
      </c>
      <c r="AI266" t="n">
        <v>78870854</v>
      </c>
      <c r="AJ266" t="n">
        <v>288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ROW(Source!A602)</f>
        <v/>
      </c>
      <c r="B267" t="n">
        <v>78870861</v>
      </c>
      <c r="C267" t="n">
        <v>78870853</v>
      </c>
      <c r="D267" t="n">
        <v>29172703</v>
      </c>
      <c r="E267" t="n">
        <v>1</v>
      </c>
      <c r="F267" t="n">
        <v>1</v>
      </c>
      <c r="G267" t="n">
        <v>1</v>
      </c>
      <c r="H267" t="n">
        <v>2</v>
      </c>
      <c r="I267" t="inlineStr">
        <is>
          <t>042900</t>
        </is>
      </c>
      <c r="J267" t="inlineStr">
        <is>
          <t>ТСЭМ Московской обл., 042900, приказ Минстроя России №675/пр от 28.02.2017 № 264/пр</t>
        </is>
      </c>
      <c r="K26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67" t="n">
        <v>1368</v>
      </c>
      <c r="N267" t="n">
        <v>1011</v>
      </c>
      <c r="O267" t="inlineStr">
        <is>
          <t>маш.-ч</t>
        </is>
      </c>
      <c r="P267" t="inlineStr">
        <is>
          <t>маш.-ч</t>
        </is>
      </c>
      <c r="Q267" t="n">
        <v>1</v>
      </c>
      <c r="X267" t="n">
        <v>1.5</v>
      </c>
      <c r="Y267" t="n">
        <v>0</v>
      </c>
      <c r="Z267" t="n">
        <v>29.67</v>
      </c>
      <c r="AA267" t="n">
        <v>0</v>
      </c>
      <c r="AB267" t="n">
        <v>0</v>
      </c>
      <c r="AC267" t="n">
        <v>0</v>
      </c>
      <c r="AD267" t="n">
        <v>1</v>
      </c>
      <c r="AE267" t="n">
        <v>0</v>
      </c>
      <c r="AF267" t="inlineStr">
        <is>
          <t>)*5</t>
        </is>
      </c>
      <c r="AG267" t="n">
        <v>7.5</v>
      </c>
      <c r="AH267" t="n">
        <v>2</v>
      </c>
      <c r="AI267" t="n">
        <v>78870855</v>
      </c>
      <c r="AJ267" t="n">
        <v>289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ROW(Source!A602)</f>
        <v/>
      </c>
      <c r="B268" t="n">
        <v>78870862</v>
      </c>
      <c r="C268" t="n">
        <v>78870853</v>
      </c>
      <c r="D268" t="n">
        <v>29110398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101-0388</t>
        </is>
      </c>
      <c r="J268" t="inlineStr">
        <is>
          <t>ТССЦ Московской обл., 101-0388, приказ Минстроя России №675/пр от 28.02.2017 № 254/пр</t>
        </is>
      </c>
      <c r="K268" t="inlineStr">
        <is>
          <t>Краски масляные земляные марки МА-0115 мумия, сурик железный</t>
        </is>
      </c>
      <c r="L268" t="n">
        <v>1348</v>
      </c>
      <c r="N268" t="n">
        <v>1009</v>
      </c>
      <c r="O268" t="inlineStr">
        <is>
          <t>т</t>
        </is>
      </c>
      <c r="P268" t="inlineStr">
        <is>
          <t>т</t>
        </is>
      </c>
      <c r="Q268" t="n">
        <v>1000</v>
      </c>
      <c r="X268" t="n">
        <v>5e-05</v>
      </c>
      <c r="Y268" t="n">
        <v>15118.99</v>
      </c>
      <c r="Z268" t="n">
        <v>0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>
        <is>
          <t>)*5</t>
        </is>
      </c>
      <c r="AG268" t="n">
        <v>0.00025</v>
      </c>
      <c r="AH268" t="n">
        <v>2</v>
      </c>
      <c r="AI268" t="n">
        <v>78870856</v>
      </c>
      <c r="AJ268" t="n">
        <v>290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ROW(Source!A602)</f>
        <v/>
      </c>
      <c r="B269" t="n">
        <v>78870863</v>
      </c>
      <c r="C269" t="n">
        <v>78870853</v>
      </c>
      <c r="D269" t="n">
        <v>29110573</v>
      </c>
      <c r="E269" t="n">
        <v>1</v>
      </c>
      <c r="F269" t="n">
        <v>1</v>
      </c>
      <c r="G269" t="n">
        <v>1</v>
      </c>
      <c r="H269" t="n">
        <v>3</v>
      </c>
      <c r="I269" t="inlineStr">
        <is>
          <t>101-0628</t>
        </is>
      </c>
      <c r="J269" t="inlineStr">
        <is>
          <t>ТССЦ Московской обл., 101-0628, приказ Минстроя России №675/пр от 28.02.2017 № 254/пр</t>
        </is>
      </c>
      <c r="K269" t="inlineStr">
        <is>
          <t>Олифа комбинированная, марки К-3</t>
        </is>
      </c>
      <c r="L269" t="n">
        <v>1348</v>
      </c>
      <c r="N269" t="n">
        <v>1009</v>
      </c>
      <c r="O269" t="inlineStr">
        <is>
          <t>т</t>
        </is>
      </c>
      <c r="P269" t="inlineStr">
        <is>
          <t>т</t>
        </is>
      </c>
      <c r="Q269" t="n">
        <v>1000</v>
      </c>
      <c r="X269" t="n">
        <v>2e-05</v>
      </c>
      <c r="Y269" t="n">
        <v>16950</v>
      </c>
      <c r="Z269" t="n">
        <v>0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>
        <is>
          <t>)*5</t>
        </is>
      </c>
      <c r="AG269" t="n">
        <v>0.0001</v>
      </c>
      <c r="AH269" t="n">
        <v>2</v>
      </c>
      <c r="AI269" t="n">
        <v>78870857</v>
      </c>
      <c r="AJ269" t="n">
        <v>291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ROW(Source!A602)</f>
        <v/>
      </c>
      <c r="B270" t="n">
        <v>78870864</v>
      </c>
      <c r="C270" t="n">
        <v>78870853</v>
      </c>
      <c r="D270" t="n">
        <v>29107963</v>
      </c>
      <c r="E270" t="n">
        <v>1</v>
      </c>
      <c r="F270" t="n">
        <v>1</v>
      </c>
      <c r="G270" t="n">
        <v>1</v>
      </c>
      <c r="H270" t="n">
        <v>3</v>
      </c>
      <c r="I270" t="inlineStr">
        <is>
          <t>101-1669</t>
        </is>
      </c>
      <c r="J270" t="inlineStr">
        <is>
          <t>ТССЦ Московской обл., 101-1669, приказ Минстроя России №675/пр от 28.02.2017 № 254/пр</t>
        </is>
      </c>
      <c r="K270" t="inlineStr">
        <is>
          <t>Очес льняной</t>
        </is>
      </c>
      <c r="L270" t="n">
        <v>1346</v>
      </c>
      <c r="N270" t="n">
        <v>1009</v>
      </c>
      <c r="O270" t="inlineStr">
        <is>
          <t>кг</t>
        </is>
      </c>
      <c r="P270" t="inlineStr">
        <is>
          <t>кг</t>
        </is>
      </c>
      <c r="Q270" t="n">
        <v>1</v>
      </c>
      <c r="X270" t="n">
        <v>0.02</v>
      </c>
      <c r="Y270" t="n">
        <v>37.29</v>
      </c>
      <c r="Z270" t="n">
        <v>0</v>
      </c>
      <c r="AA270" t="n">
        <v>0</v>
      </c>
      <c r="AB270" t="n">
        <v>0</v>
      </c>
      <c r="AC270" t="n">
        <v>0</v>
      </c>
      <c r="AD270" t="n">
        <v>1</v>
      </c>
      <c r="AE270" t="n">
        <v>0</v>
      </c>
      <c r="AF270" t="inlineStr">
        <is>
          <t>)*5</t>
        </is>
      </c>
      <c r="AG270" t="n">
        <v>0.1</v>
      </c>
      <c r="AH270" t="n">
        <v>2</v>
      </c>
      <c r="AI270" t="n">
        <v>78870858</v>
      </c>
      <c r="AJ270" t="n">
        <v>292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ROW(Source!A602)</f>
        <v/>
      </c>
      <c r="B271" t="n">
        <v>78870865</v>
      </c>
      <c r="C271" t="n">
        <v>78870853</v>
      </c>
      <c r="D271" t="n">
        <v>29150040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411-0001</t>
        </is>
      </c>
      <c r="J271" t="inlineStr">
        <is>
          <t>ТССЦ Московской обл., 411-0001, приказ Минстроя России №675/пр от 28.02.2017 № 257/пр</t>
        </is>
      </c>
      <c r="K271" t="inlineStr">
        <is>
          <t>Вода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1</v>
      </c>
      <c r="Y271" t="n">
        <v>2.44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>
        <is>
          <t>)*5</t>
        </is>
      </c>
      <c r="AG271" t="n">
        <v>5</v>
      </c>
      <c r="AH271" t="n">
        <v>2</v>
      </c>
      <c r="AI271" t="n">
        <v>78870859</v>
      </c>
      <c r="AJ271" t="n">
        <v>293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ROW(Source!A603)</f>
        <v/>
      </c>
      <c r="B272" t="n">
        <v>78870870</v>
      </c>
      <c r="C272" t="n">
        <v>78870866</v>
      </c>
      <c r="D272" t="n">
        <v>18407150</v>
      </c>
      <c r="E272" t="n">
        <v>1</v>
      </c>
      <c r="F272" t="n">
        <v>1</v>
      </c>
      <c r="G272" t="n">
        <v>1</v>
      </c>
      <c r="H272" t="n">
        <v>1</v>
      </c>
      <c r="I272" t="inlineStr">
        <is>
          <t>1-1030-90</t>
        </is>
      </c>
      <c r="J272" t="inlineStr"/>
      <c r="K272" t="inlineStr">
        <is>
          <t>Рабочий строитель среднего разряда 3</t>
        </is>
      </c>
      <c r="L272" t="n">
        <v>1369</v>
      </c>
      <c r="N272" t="n">
        <v>1013</v>
      </c>
      <c r="O272" t="inlineStr">
        <is>
          <t>чел.-ч</t>
        </is>
      </c>
      <c r="P272" t="inlineStr">
        <is>
          <t>чел.-ч</t>
        </is>
      </c>
      <c r="Q272" t="n">
        <v>1</v>
      </c>
      <c r="X272" t="n">
        <v>13.9</v>
      </c>
      <c r="Y272" t="n">
        <v>0</v>
      </c>
      <c r="Z272" t="n">
        <v>0</v>
      </c>
      <c r="AA272" t="n">
        <v>0</v>
      </c>
      <c r="AB272" t="n">
        <v>8.529999999999999</v>
      </c>
      <c r="AC272" t="n">
        <v>0</v>
      </c>
      <c r="AD272" t="n">
        <v>1</v>
      </c>
      <c r="AE272" t="n">
        <v>1</v>
      </c>
      <c r="AF272" t="inlineStr"/>
      <c r="AG272" t="n">
        <v>13.9</v>
      </c>
      <c r="AH272" t="n">
        <v>2</v>
      </c>
      <c r="AI272" t="n">
        <v>78870867</v>
      </c>
      <c r="AJ272" t="n">
        <v>294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ROW(Source!A603)</f>
        <v/>
      </c>
      <c r="B273" t="n">
        <v>78870871</v>
      </c>
      <c r="C273" t="n">
        <v>78870866</v>
      </c>
      <c r="D273" t="n">
        <v>29169821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509-0696</t>
        </is>
      </c>
      <c r="J273" t="inlineStr">
        <is>
          <t>ТССЦ Московской обл., 509-0696, приказ Минстроя России №675/пр от 28.02.2017 № 258/пр</t>
        </is>
      </c>
      <c r="K273" t="inlineStr">
        <is>
          <t>Лампы люминесцентные ртутные низкого давления типа ЛБ, ЛД, ЛДЦ, ЛТВ, ЛБХ 20</t>
        </is>
      </c>
      <c r="L273" t="n">
        <v>1358</v>
      </c>
      <c r="N273" t="n">
        <v>1010</v>
      </c>
      <c r="O273" t="inlineStr">
        <is>
          <t>10 шт.</t>
        </is>
      </c>
      <c r="P273" t="inlineStr">
        <is>
          <t>10 шт.</t>
        </is>
      </c>
      <c r="Q273" t="n">
        <v>10</v>
      </c>
      <c r="X273" t="n">
        <v>10</v>
      </c>
      <c r="Y273" t="n">
        <v>85.2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10</v>
      </c>
      <c r="AH273" t="n">
        <v>2</v>
      </c>
      <c r="AI273" t="n">
        <v>78870868</v>
      </c>
      <c r="AJ273" t="n">
        <v>295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ROW(Source!A605)</f>
        <v/>
      </c>
      <c r="B274" t="n">
        <v>78870875</v>
      </c>
      <c r="C274" t="n">
        <v>78870873</v>
      </c>
      <c r="D274" t="n">
        <v>18407150</v>
      </c>
      <c r="E274" t="n">
        <v>1</v>
      </c>
      <c r="F274" t="n">
        <v>1</v>
      </c>
      <c r="G274" t="n">
        <v>1</v>
      </c>
      <c r="H274" t="n">
        <v>1</v>
      </c>
      <c r="I274" t="inlineStr">
        <is>
          <t>1-1030-90</t>
        </is>
      </c>
      <c r="J274" t="inlineStr"/>
      <c r="K274" t="inlineStr">
        <is>
          <t>Рабочий строитель среднего разряда 3</t>
        </is>
      </c>
      <c r="L274" t="n">
        <v>1369</v>
      </c>
      <c r="N274" t="n">
        <v>1013</v>
      </c>
      <c r="O274" t="inlineStr">
        <is>
          <t>чел.-ч</t>
        </is>
      </c>
      <c r="P274" t="inlineStr">
        <is>
          <t>чел.-ч</t>
        </is>
      </c>
      <c r="Q274" t="n">
        <v>1</v>
      </c>
      <c r="X274" t="n">
        <v>37.8</v>
      </c>
      <c r="Y274" t="n">
        <v>0</v>
      </c>
      <c r="Z274" t="n">
        <v>0</v>
      </c>
      <c r="AA274" t="n">
        <v>0</v>
      </c>
      <c r="AB274" t="n">
        <v>8.529999999999999</v>
      </c>
      <c r="AC274" t="n">
        <v>0</v>
      </c>
      <c r="AD274" t="n">
        <v>1</v>
      </c>
      <c r="AE274" t="n">
        <v>1</v>
      </c>
      <c r="AF274" t="inlineStr"/>
      <c r="AG274" t="n">
        <v>37.8</v>
      </c>
      <c r="AH274" t="n">
        <v>2</v>
      </c>
      <c r="AI274" t="n">
        <v>78870874</v>
      </c>
      <c r="AJ274" t="n">
        <v>297</v>
      </c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ROW(Source!A606)</f>
        <v/>
      </c>
      <c r="B275" t="n">
        <v>78870892</v>
      </c>
      <c r="C275" t="n">
        <v>78870876</v>
      </c>
      <c r="D275" t="n">
        <v>18413627</v>
      </c>
      <c r="E275" t="n">
        <v>1</v>
      </c>
      <c r="F275" t="n">
        <v>1</v>
      </c>
      <c r="G275" t="n">
        <v>1</v>
      </c>
      <c r="H275" t="n">
        <v>1</v>
      </c>
      <c r="I275" t="inlineStr">
        <is>
          <t>1-1042-90</t>
        </is>
      </c>
      <c r="J275" t="inlineStr"/>
      <c r="K275" t="inlineStr">
        <is>
          <t>Рабочий строитель среднего разряда 4,2</t>
        </is>
      </c>
      <c r="L275" t="n">
        <v>1369</v>
      </c>
      <c r="N275" t="n">
        <v>1013</v>
      </c>
      <c r="O275" t="inlineStr">
        <is>
          <t>чел.-ч</t>
        </is>
      </c>
      <c r="P275" t="inlineStr">
        <is>
          <t>чел.-ч</t>
        </is>
      </c>
      <c r="Q275" t="n">
        <v>1</v>
      </c>
      <c r="X275" t="n">
        <v>121.8</v>
      </c>
      <c r="Y275" t="n">
        <v>0</v>
      </c>
      <c r="Z275" t="n">
        <v>0</v>
      </c>
      <c r="AA275" t="n">
        <v>0</v>
      </c>
      <c r="AB275" t="n">
        <v>9.92</v>
      </c>
      <c r="AC275" t="n">
        <v>0</v>
      </c>
      <c r="AD275" t="n">
        <v>1</v>
      </c>
      <c r="AE275" t="n">
        <v>1</v>
      </c>
      <c r="AF275" t="inlineStr"/>
      <c r="AG275" t="n">
        <v>121.8</v>
      </c>
      <c r="AH275" t="n">
        <v>2</v>
      </c>
      <c r="AI275" t="n">
        <v>78870877</v>
      </c>
      <c r="AJ275" t="n">
        <v>298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ROW(Source!A606)</f>
        <v/>
      </c>
      <c r="B276" t="n">
        <v>78870893</v>
      </c>
      <c r="C276" t="n">
        <v>78870876</v>
      </c>
      <c r="D276" t="n">
        <v>121548</v>
      </c>
      <c r="E276" t="n">
        <v>1</v>
      </c>
      <c r="F276" t="n">
        <v>1</v>
      </c>
      <c r="G276" t="n">
        <v>1</v>
      </c>
      <c r="H276" t="n">
        <v>1</v>
      </c>
      <c r="I276" t="inlineStr">
        <is>
          <t>2</t>
        </is>
      </c>
      <c r="J276" t="inlineStr"/>
      <c r="K276" t="inlineStr">
        <is>
          <t>Затраты труда машинистов</t>
        </is>
      </c>
      <c r="L276" t="n">
        <v>608254</v>
      </c>
      <c r="N276" t="n">
        <v>1013</v>
      </c>
      <c r="O276" t="inlineStr">
        <is>
          <t>чел.час</t>
        </is>
      </c>
      <c r="P276" t="inlineStr">
        <is>
          <t>чел.час</t>
        </is>
      </c>
      <c r="Q276" t="n">
        <v>1</v>
      </c>
      <c r="X276" t="n">
        <v>4.72</v>
      </c>
      <c r="Y276" t="n">
        <v>0</v>
      </c>
      <c r="Z276" t="n">
        <v>0</v>
      </c>
      <c r="AA276" t="n">
        <v>0</v>
      </c>
      <c r="AB276" t="n">
        <v>0</v>
      </c>
      <c r="AC276" t="n">
        <v>0</v>
      </c>
      <c r="AD276" t="n">
        <v>1</v>
      </c>
      <c r="AE276" t="n">
        <v>2</v>
      </c>
      <c r="AF276" t="inlineStr"/>
      <c r="AG276" t="n">
        <v>4.72</v>
      </c>
      <c r="AH276" t="n">
        <v>2</v>
      </c>
      <c r="AI276" t="n">
        <v>78870878</v>
      </c>
      <c r="AJ276" t="n">
        <v>299</v>
      </c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ROW(Source!A606)</f>
        <v/>
      </c>
      <c r="B277" t="n">
        <v>78870894</v>
      </c>
      <c r="C277" t="n">
        <v>78870876</v>
      </c>
      <c r="D277" t="n">
        <v>29172268</v>
      </c>
      <c r="E277" t="n">
        <v>1</v>
      </c>
      <c r="F277" t="n">
        <v>1</v>
      </c>
      <c r="G277" t="n">
        <v>1</v>
      </c>
      <c r="H277" t="n">
        <v>2</v>
      </c>
      <c r="I277" t="inlineStr">
        <is>
          <t>020129</t>
        </is>
      </c>
      <c r="J277" t="inlineStr">
        <is>
          <t>ТСЭМ Московской обл., 020129, приказ Минстроя России №675/пр от 28.02.2017 № 264/пр</t>
        </is>
      </c>
      <c r="K277" t="inlineStr">
        <is>
          <t>Краны башенные при работе на других видах строительства 8 т</t>
        </is>
      </c>
      <c r="L277" t="n">
        <v>1368</v>
      </c>
      <c r="N277" t="n">
        <v>1011</v>
      </c>
      <c r="O277" t="inlineStr">
        <is>
          <t>маш.-ч</t>
        </is>
      </c>
      <c r="P277" t="inlineStr">
        <is>
          <t>маш.-ч</t>
        </is>
      </c>
      <c r="Q277" t="n">
        <v>1</v>
      </c>
      <c r="X277" t="n">
        <v>0.05</v>
      </c>
      <c r="Y277" t="n">
        <v>0</v>
      </c>
      <c r="Z277" t="n">
        <v>86.40000000000001</v>
      </c>
      <c r="AA277" t="n">
        <v>13.5</v>
      </c>
      <c r="AB277" t="n">
        <v>0</v>
      </c>
      <c r="AC277" t="n">
        <v>0</v>
      </c>
      <c r="AD277" t="n">
        <v>1</v>
      </c>
      <c r="AE277" t="n">
        <v>0</v>
      </c>
      <c r="AF277" t="inlineStr"/>
      <c r="AG277" t="n">
        <v>0.05</v>
      </c>
      <c r="AH277" t="n">
        <v>2</v>
      </c>
      <c r="AI277" t="n">
        <v>78870879</v>
      </c>
      <c r="AJ277" t="n">
        <v>300</v>
      </c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ROW(Source!A606)</f>
        <v/>
      </c>
      <c r="B278" t="n">
        <v>78870895</v>
      </c>
      <c r="C278" t="n">
        <v>78870876</v>
      </c>
      <c r="D278" t="n">
        <v>29172379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021141</t>
        </is>
      </c>
      <c r="J278" t="inlineStr">
        <is>
          <t>ТСЭМ Московской обл., 021141, приказ Минстроя России №675/пр от 28.02.2017 № 264/пр</t>
        </is>
      </c>
      <c r="K278" t="inlineStr">
        <is>
          <t>Краны на автомобильном ходу при работе на других видах строительства 10 т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X278" t="n">
        <v>0.03</v>
      </c>
      <c r="Y278" t="n">
        <v>0</v>
      </c>
      <c r="Z278" t="n">
        <v>112</v>
      </c>
      <c r="AA278" t="n">
        <v>13.5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0.03</v>
      </c>
      <c r="AH278" t="n">
        <v>2</v>
      </c>
      <c r="AI278" t="n">
        <v>78870880</v>
      </c>
      <c r="AJ278" t="n">
        <v>301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ROW(Source!A606)</f>
        <v/>
      </c>
      <c r="B279" t="n">
        <v>78870896</v>
      </c>
      <c r="C279" t="n">
        <v>78870876</v>
      </c>
      <c r="D279" t="n">
        <v>29172951</v>
      </c>
      <c r="E279" t="n">
        <v>1</v>
      </c>
      <c r="F279" t="n">
        <v>1</v>
      </c>
      <c r="G279" t="n">
        <v>1</v>
      </c>
      <c r="H279" t="n">
        <v>2</v>
      </c>
      <c r="I279" t="inlineStr">
        <is>
          <t>081600</t>
        </is>
      </c>
      <c r="J279" t="inlineStr">
        <is>
          <t>ТСЭМ Московской обл., 081600, приказ Минстроя России №675/пр от 28.02.2017 № 264/пр</t>
        </is>
      </c>
      <c r="K279" t="inlineStr">
        <is>
          <t>Агрегаты для сварки полиэтиленовых труб</t>
        </is>
      </c>
      <c r="L279" t="n">
        <v>1368</v>
      </c>
      <c r="N279" t="n">
        <v>1011</v>
      </c>
      <c r="O279" t="inlineStr">
        <is>
          <t>маш.-ч</t>
        </is>
      </c>
      <c r="P279" t="inlineStr">
        <is>
          <t>маш.-ч</t>
        </is>
      </c>
      <c r="Q279" t="n">
        <v>1</v>
      </c>
      <c r="X279" t="n">
        <v>4.64</v>
      </c>
      <c r="Y279" t="n">
        <v>0</v>
      </c>
      <c r="Z279" t="n">
        <v>100.1</v>
      </c>
      <c r="AA279" t="n">
        <v>13.5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4.64</v>
      </c>
      <c r="AH279" t="n">
        <v>2</v>
      </c>
      <c r="AI279" t="n">
        <v>78870881</v>
      </c>
      <c r="AJ279" t="n">
        <v>302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ROW(Source!A606)</f>
        <v/>
      </c>
      <c r="B280" t="n">
        <v>78870897</v>
      </c>
      <c r="C280" t="n">
        <v>78870876</v>
      </c>
      <c r="D280" t="n">
        <v>29174913</v>
      </c>
      <c r="E280" t="n">
        <v>1</v>
      </c>
      <c r="F280" t="n">
        <v>1</v>
      </c>
      <c r="G280" t="n">
        <v>1</v>
      </c>
      <c r="H280" t="n">
        <v>2</v>
      </c>
      <c r="I280" t="inlineStr">
        <is>
          <t>400001</t>
        </is>
      </c>
      <c r="J280" t="inlineStr">
        <is>
          <t>ТСЭМ Московской обл., 400001, приказ Минстроя России №675/пр от 28.02.2017 № 264/пр</t>
        </is>
      </c>
      <c r="K280" t="inlineStr">
        <is>
          <t>Автомобили бортовые, грузоподъемность до 5 т</t>
        </is>
      </c>
      <c r="L280" t="n">
        <v>1368</v>
      </c>
      <c r="N280" t="n">
        <v>1011</v>
      </c>
      <c r="O280" t="inlineStr">
        <is>
          <t>маш.-ч</t>
        </is>
      </c>
      <c r="P280" t="inlineStr">
        <is>
          <t>маш.-ч</t>
        </is>
      </c>
      <c r="Q280" t="n">
        <v>1</v>
      </c>
      <c r="X280" t="n">
        <v>0.22</v>
      </c>
      <c r="Y280" t="n">
        <v>0</v>
      </c>
      <c r="Z280" t="n">
        <v>87.17</v>
      </c>
      <c r="AA280" t="n">
        <v>11.6</v>
      </c>
      <c r="AB280" t="n">
        <v>0</v>
      </c>
      <c r="AC280" t="n">
        <v>0</v>
      </c>
      <c r="AD280" t="n">
        <v>1</v>
      </c>
      <c r="AE280" t="n">
        <v>0</v>
      </c>
      <c r="AF280" t="inlineStr"/>
      <c r="AG280" t="n">
        <v>0.22</v>
      </c>
      <c r="AH280" t="n">
        <v>2</v>
      </c>
      <c r="AI280" t="n">
        <v>78870882</v>
      </c>
      <c r="AJ280" t="n">
        <v>303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ROW(Source!A606)</f>
        <v/>
      </c>
      <c r="B281" t="n">
        <v>78870898</v>
      </c>
      <c r="C281" t="n">
        <v>78870876</v>
      </c>
      <c r="D281" t="n">
        <v>29114425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101-0137</t>
        </is>
      </c>
      <c r="J281" t="inlineStr">
        <is>
          <t>ТССЦ Московской обл., 101-0137, приказ Минстроя России №675/пр от 28.02.2017 № 254/пр</t>
        </is>
      </c>
      <c r="K281" t="inlineStr">
        <is>
          <t>Дюбели с калиброванной головкой (в обоймах) 3х58,5 мм</t>
        </is>
      </c>
      <c r="L281" t="n">
        <v>1348</v>
      </c>
      <c r="N281" t="n">
        <v>1009</v>
      </c>
      <c r="O281" t="inlineStr">
        <is>
          <t>т</t>
        </is>
      </c>
      <c r="P281" t="inlineStr">
        <is>
          <t>т</t>
        </is>
      </c>
      <c r="Q281" t="n">
        <v>1000</v>
      </c>
      <c r="X281" t="n">
        <v>0.00051</v>
      </c>
      <c r="Y281" t="n">
        <v>22558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0</v>
      </c>
      <c r="AF281" t="inlineStr"/>
      <c r="AG281" t="n">
        <v>0.00051</v>
      </c>
      <c r="AH281" t="n">
        <v>2</v>
      </c>
      <c r="AI281" t="n">
        <v>78870883</v>
      </c>
      <c r="AJ281" t="n">
        <v>304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ROW(Source!A606)</f>
        <v/>
      </c>
      <c r="B282" t="n">
        <v>78870899</v>
      </c>
      <c r="C282" t="n">
        <v>78870876</v>
      </c>
      <c r="D282" t="n">
        <v>29109382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101-0329</t>
        </is>
      </c>
      <c r="J282" t="inlineStr">
        <is>
          <t>ТССЦ Московской обл., 101-0329, приказ Минстроя России №675/пр от 28.02.2017 № 254/пр</t>
        </is>
      </c>
      <c r="K282" t="inlineStr">
        <is>
          <t>Клей 88-СА</t>
        </is>
      </c>
      <c r="L282" t="n">
        <v>1346</v>
      </c>
      <c r="N282" t="n">
        <v>1009</v>
      </c>
      <c r="O282" t="inlineStr">
        <is>
          <t>кг</t>
        </is>
      </c>
      <c r="P282" t="inlineStr">
        <is>
          <t>кг</t>
        </is>
      </c>
      <c r="Q282" t="n">
        <v>1</v>
      </c>
      <c r="X282" t="n">
        <v>0.17</v>
      </c>
      <c r="Y282" t="n">
        <v>28.93</v>
      </c>
      <c r="Z282" t="n">
        <v>0</v>
      </c>
      <c r="AA282" t="n">
        <v>0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0.17</v>
      </c>
      <c r="AH282" t="n">
        <v>2</v>
      </c>
      <c r="AI282" t="n">
        <v>78870884</v>
      </c>
      <c r="AJ282" t="n">
        <v>305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ROW(Source!A606)</f>
        <v/>
      </c>
      <c r="B283" t="n">
        <v>78870900</v>
      </c>
      <c r="C283" t="n">
        <v>78870876</v>
      </c>
      <c r="D283" t="n">
        <v>29107972</v>
      </c>
      <c r="E283" t="n">
        <v>1</v>
      </c>
      <c r="F283" t="n">
        <v>1</v>
      </c>
      <c r="G283" t="n">
        <v>1</v>
      </c>
      <c r="H283" t="n">
        <v>3</v>
      </c>
      <c r="I283" t="inlineStr">
        <is>
          <t>101-1680</t>
        </is>
      </c>
      <c r="J283" t="inlineStr">
        <is>
          <t>ТССЦ Московской обл., 101-1680, приказ Минстроя России №675/пр от 28.02.2017 № 254/пр</t>
        </is>
      </c>
      <c r="K283" t="inlineStr">
        <is>
          <t>Патроны для строительно-монтажного пистолета</t>
        </is>
      </c>
      <c r="L283" t="n">
        <v>1356</v>
      </c>
      <c r="N283" t="n">
        <v>1010</v>
      </c>
      <c r="O283" t="inlineStr">
        <is>
          <t>1000 шт.</t>
        </is>
      </c>
      <c r="P283" t="inlineStr">
        <is>
          <t>1000 шт.</t>
        </is>
      </c>
      <c r="Q283" t="n">
        <v>1000</v>
      </c>
      <c r="X283" t="n">
        <v>0.06</v>
      </c>
      <c r="Y283" t="n">
        <v>253.8</v>
      </c>
      <c r="Z283" t="n">
        <v>0</v>
      </c>
      <c r="AA283" t="n">
        <v>0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0.06</v>
      </c>
      <c r="AH283" t="n">
        <v>2</v>
      </c>
      <c r="AI283" t="n">
        <v>78870885</v>
      </c>
      <c r="AJ283" t="n">
        <v>306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ROW(Source!A606)</f>
        <v/>
      </c>
      <c r="B284" t="n">
        <v>78870901</v>
      </c>
      <c r="C284" t="n">
        <v>78870876</v>
      </c>
      <c r="D284" t="n">
        <v>29112620</v>
      </c>
      <c r="E284" t="n">
        <v>1</v>
      </c>
      <c r="F284" t="n">
        <v>1</v>
      </c>
      <c r="G284" t="n">
        <v>1</v>
      </c>
      <c r="H284" t="n">
        <v>3</v>
      </c>
      <c r="I284" t="inlineStr">
        <is>
          <t>101-1700</t>
        </is>
      </c>
      <c r="J284" t="inlineStr">
        <is>
          <t>ТССЦ Московской обл., 101-1700, приказ Минстроя России №675/пр от 28.02.2017 № 254/пр</t>
        </is>
      </c>
      <c r="K284" t="inlineStr">
        <is>
          <t>Наконечники для полиэтиленовых труб</t>
        </is>
      </c>
      <c r="L284" t="n">
        <v>1346</v>
      </c>
      <c r="N284" t="n">
        <v>1009</v>
      </c>
      <c r="O284" t="inlineStr">
        <is>
          <t>кг</t>
        </is>
      </c>
      <c r="P284" t="inlineStr">
        <is>
          <t>кг</t>
        </is>
      </c>
      <c r="Q284" t="n">
        <v>1</v>
      </c>
      <c r="X284" t="n">
        <v>0.33</v>
      </c>
      <c r="Y284" t="n">
        <v>25.01</v>
      </c>
      <c r="Z284" t="n">
        <v>0</v>
      </c>
      <c r="AA284" t="n">
        <v>0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0.33</v>
      </c>
      <c r="AH284" t="n">
        <v>2</v>
      </c>
      <c r="AI284" t="n">
        <v>78870886</v>
      </c>
      <c r="AJ284" t="n">
        <v>307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ROW(Source!A606)</f>
        <v/>
      </c>
      <c r="B285" t="n">
        <v>78870902</v>
      </c>
      <c r="C285" t="n">
        <v>78870876</v>
      </c>
      <c r="D285" t="n">
        <v>29118038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103-9140</t>
        </is>
      </c>
      <c r="J285" t="inlineStr">
        <is>
          <t>ТССЦ Московской обл., 103-9140, приказ Минстроя России №675/пр от 28.02.2017 № 254/пр</t>
        </is>
      </c>
      <c r="K285" t="inlineStr">
        <is>
          <t>Арматура муфтовая</t>
        </is>
      </c>
      <c r="L285" t="n">
        <v>1354</v>
      </c>
      <c r="N285" t="n">
        <v>1010</v>
      </c>
      <c r="O285" t="inlineStr">
        <is>
          <t>шт.</t>
        </is>
      </c>
      <c r="P285" t="inlineStr">
        <is>
          <t>шт.</t>
        </is>
      </c>
      <c r="Q285" t="n">
        <v>1</v>
      </c>
      <c r="X285" t="n">
        <v>0</v>
      </c>
      <c r="Y285" t="n">
        <v>0</v>
      </c>
      <c r="Z285" t="n">
        <v>0</v>
      </c>
      <c r="AA285" t="n">
        <v>0</v>
      </c>
      <c r="AB285" t="n">
        <v>0</v>
      </c>
      <c r="AC285" t="n">
        <v>1</v>
      </c>
      <c r="AD285" t="n">
        <v>0</v>
      </c>
      <c r="AE285" t="n">
        <v>0</v>
      </c>
      <c r="AF285" t="inlineStr"/>
      <c r="AG285" t="n">
        <v>0</v>
      </c>
      <c r="AH285" t="n">
        <v>3</v>
      </c>
      <c r="AI285" t="n">
        <v>-1</v>
      </c>
      <c r="AJ285" t="inlineStr"/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ROW(Source!A606)</f>
        <v/>
      </c>
      <c r="B286" t="n">
        <v>78870903</v>
      </c>
      <c r="C286" t="n">
        <v>78870876</v>
      </c>
      <c r="D286" t="n">
        <v>29122510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113-0473</t>
        </is>
      </c>
      <c r="J286" t="inlineStr">
        <is>
          <t>ТССЦ Московской обл., 113-0473, приказ Минстроя России №675/пр от 28.02.2017 № 254/пр</t>
        </is>
      </c>
      <c r="K286" t="inlineStr">
        <is>
          <t>Метиленхлорид</t>
        </is>
      </c>
      <c r="L286" t="n">
        <v>1346</v>
      </c>
      <c r="N286" t="n">
        <v>1009</v>
      </c>
      <c r="O286" t="inlineStr">
        <is>
          <t>кг</t>
        </is>
      </c>
      <c r="P286" t="inlineStr">
        <is>
          <t>кг</t>
        </is>
      </c>
      <c r="Q286" t="n">
        <v>1</v>
      </c>
      <c r="X286" t="n">
        <v>0.2</v>
      </c>
      <c r="Y286" t="n">
        <v>120</v>
      </c>
      <c r="Z286" t="n">
        <v>0</v>
      </c>
      <c r="AA286" t="n">
        <v>0</v>
      </c>
      <c r="AB286" t="n">
        <v>0</v>
      </c>
      <c r="AC286" t="n">
        <v>0</v>
      </c>
      <c r="AD286" t="n">
        <v>1</v>
      </c>
      <c r="AE286" t="n">
        <v>0</v>
      </c>
      <c r="AF286" t="inlineStr"/>
      <c r="AG286" t="n">
        <v>0.2</v>
      </c>
      <c r="AH286" t="n">
        <v>2</v>
      </c>
      <c r="AI286" t="n">
        <v>78870887</v>
      </c>
      <c r="AJ286" t="n">
        <v>308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ROW(Source!A606)</f>
        <v/>
      </c>
      <c r="B287" t="n">
        <v>78870904</v>
      </c>
      <c r="C287" t="n">
        <v>78870876</v>
      </c>
      <c r="D287" t="n">
        <v>29139870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301-9240</t>
        </is>
      </c>
      <c r="J287" t="inlineStr">
        <is>
          <t>ТССЦ Московской обл., 301-9240, приказ Минстроя России №675/пр от 28.02.2017 № 256/пр</t>
        </is>
      </c>
      <c r="K287" t="inlineStr">
        <is>
          <t>Крепления</t>
        </is>
      </c>
      <c r="L287" t="n">
        <v>1346</v>
      </c>
      <c r="N287" t="n">
        <v>1009</v>
      </c>
      <c r="O287" t="inlineStr">
        <is>
          <t>кг</t>
        </is>
      </c>
      <c r="P287" t="inlineStr">
        <is>
          <t>кг</t>
        </is>
      </c>
      <c r="Q287" t="n">
        <v>1</v>
      </c>
      <c r="X287" t="n">
        <v>0</v>
      </c>
      <c r="Y287" t="n">
        <v>0</v>
      </c>
      <c r="Z287" t="n">
        <v>0</v>
      </c>
      <c r="AA287" t="n">
        <v>0</v>
      </c>
      <c r="AB287" t="n">
        <v>0</v>
      </c>
      <c r="AC287" t="n">
        <v>1</v>
      </c>
      <c r="AD287" t="n">
        <v>0</v>
      </c>
      <c r="AE287" t="n">
        <v>0</v>
      </c>
      <c r="AF287" t="inlineStr"/>
      <c r="AG287" t="n">
        <v>0</v>
      </c>
      <c r="AH287" t="n">
        <v>3</v>
      </c>
      <c r="AI287" t="n">
        <v>-1</v>
      </c>
      <c r="AJ287" t="inlineStr"/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ROW(Source!A606)</f>
        <v/>
      </c>
      <c r="B288" t="n">
        <v>78870905</v>
      </c>
      <c r="C288" t="n">
        <v>78870876</v>
      </c>
      <c r="D288" t="n">
        <v>29143982</v>
      </c>
      <c r="E288" t="n">
        <v>1</v>
      </c>
      <c r="F288" t="n">
        <v>1</v>
      </c>
      <c r="G288" t="n">
        <v>1</v>
      </c>
      <c r="H288" t="n">
        <v>3</v>
      </c>
      <c r="I288" t="inlineStr">
        <is>
          <t>302-9911</t>
        </is>
      </c>
      <c r="J288" t="inlineStr">
        <is>
          <t>ТССЦ Московской обл., 302-9911, приказ Минстроя России №675/пр от 28.02.2017 № 256/пр</t>
        </is>
      </c>
      <c r="K288" t="inlineStr">
        <is>
          <t>Фасонные и соединительные части к полиэтиленовым трубам</t>
        </is>
      </c>
      <c r="L288" t="n">
        <v>1354</v>
      </c>
      <c r="N288" t="n">
        <v>1010</v>
      </c>
      <c r="O288" t="inlineStr">
        <is>
          <t>шт.</t>
        </is>
      </c>
      <c r="P288" t="inlineStr">
        <is>
          <t>шт.</t>
        </is>
      </c>
      <c r="Q288" t="n">
        <v>1</v>
      </c>
      <c r="X288" t="n">
        <v>0</v>
      </c>
      <c r="Y288" t="n">
        <v>0</v>
      </c>
      <c r="Z288" t="n">
        <v>0</v>
      </c>
      <c r="AA288" t="n">
        <v>0</v>
      </c>
      <c r="AB288" t="n">
        <v>0</v>
      </c>
      <c r="AC288" t="n">
        <v>1</v>
      </c>
      <c r="AD288" t="n">
        <v>0</v>
      </c>
      <c r="AE288" t="n">
        <v>0</v>
      </c>
      <c r="AF288" t="inlineStr"/>
      <c r="AG288" t="n">
        <v>0</v>
      </c>
      <c r="AH288" t="n">
        <v>3</v>
      </c>
      <c r="AI288" t="n">
        <v>-1</v>
      </c>
      <c r="AJ288" t="inlineStr"/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ROW(Source!A606)</f>
        <v/>
      </c>
      <c r="B289" t="n">
        <v>78870906</v>
      </c>
      <c r="C289" t="n">
        <v>78870876</v>
      </c>
      <c r="D289" t="n">
        <v>29149246</v>
      </c>
      <c r="E289" t="n">
        <v>1</v>
      </c>
      <c r="F289" t="n">
        <v>1</v>
      </c>
      <c r="G289" t="n">
        <v>1</v>
      </c>
      <c r="H289" t="n">
        <v>3</v>
      </c>
      <c r="I289" t="inlineStr">
        <is>
          <t>405-1601</t>
        </is>
      </c>
      <c r="J289" t="inlineStr">
        <is>
          <t>ТССЦ Московской обл., 405-1601, приказ Минстроя России №675/пр от 28.02.2017 № 257/пр</t>
        </is>
      </c>
      <c r="K289" t="inlineStr">
        <is>
          <t>Известь строительная негашеная хлорная, марки А</t>
        </is>
      </c>
      <c r="L289" t="n">
        <v>1346</v>
      </c>
      <c r="N289" t="n">
        <v>1009</v>
      </c>
      <c r="O289" t="inlineStr">
        <is>
          <t>кг</t>
        </is>
      </c>
      <c r="P289" t="inlineStr">
        <is>
          <t>кг</t>
        </is>
      </c>
      <c r="Q289" t="n">
        <v>1</v>
      </c>
      <c r="X289" t="n">
        <v>0.004</v>
      </c>
      <c r="Y289" t="n">
        <v>2.15</v>
      </c>
      <c r="Z289" t="n">
        <v>0</v>
      </c>
      <c r="AA289" t="n">
        <v>0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0.004</v>
      </c>
      <c r="AH289" t="n">
        <v>2</v>
      </c>
      <c r="AI289" t="n">
        <v>78870888</v>
      </c>
      <c r="AJ289" t="n">
        <v>310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ROW(Source!A606)</f>
        <v/>
      </c>
      <c r="B290" t="n">
        <v>78870907</v>
      </c>
      <c r="C290" t="n">
        <v>78870876</v>
      </c>
      <c r="D290" t="n">
        <v>29150040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411-0001</t>
        </is>
      </c>
      <c r="J290" t="inlineStr">
        <is>
          <t>ТССЦ Московской обл., 411-0001, приказ Минстроя России №675/пр от 28.02.2017 № 257/пр</t>
        </is>
      </c>
      <c r="K290" t="inlineStr">
        <is>
          <t>Вода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1.21</v>
      </c>
      <c r="Y290" t="n">
        <v>2.44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1.21</v>
      </c>
      <c r="AH290" t="n">
        <v>2</v>
      </c>
      <c r="AI290" t="n">
        <v>78870889</v>
      </c>
      <c r="AJ290" t="n">
        <v>311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ROW(Source!A606)</f>
        <v/>
      </c>
      <c r="B291" t="n">
        <v>78870908</v>
      </c>
      <c r="C291" t="n">
        <v>78870876</v>
      </c>
      <c r="D291" t="n">
        <v>29158419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507-3642</t>
        </is>
      </c>
      <c r="J291" t="inlineStr">
        <is>
          <t>ТССЦ Московской обл., 507-3642, приказ Минстроя России №675/пр от 28.02.2017 № 258/пр</t>
        </is>
      </c>
      <c r="K291" t="inlineStr">
        <is>
          <t>Труба напорная из полиэтилена PE 100 питьевая ПЭ100 SDR11, размером 32х3,0 мм (ГОСТ 18599-2001, ГОСТ Р 52134-2003)</t>
        </is>
      </c>
      <c r="L291" t="n">
        <v>1301</v>
      </c>
      <c r="N291" t="n">
        <v>1003</v>
      </c>
      <c r="O291" t="inlineStr">
        <is>
          <t>м</t>
        </is>
      </c>
      <c r="P291" t="inlineStr">
        <is>
          <t>м</t>
        </is>
      </c>
      <c r="Q291" t="n">
        <v>1</v>
      </c>
      <c r="X291" t="n">
        <v>93.8</v>
      </c>
      <c r="Y291" t="n">
        <v>16.29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93.8</v>
      </c>
      <c r="AH291" t="n">
        <v>2</v>
      </c>
      <c r="AI291" t="n">
        <v>78870890</v>
      </c>
      <c r="AJ291" t="n">
        <v>312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ROW(Source!A611)</f>
        <v/>
      </c>
      <c r="B292" t="n">
        <v>78870928</v>
      </c>
      <c r="C292" t="n">
        <v>78870919</v>
      </c>
      <c r="D292" t="n">
        <v>18410280</v>
      </c>
      <c r="E292" t="n">
        <v>1</v>
      </c>
      <c r="F292" t="n">
        <v>1</v>
      </c>
      <c r="G292" t="n">
        <v>1</v>
      </c>
      <c r="H292" t="n">
        <v>1</v>
      </c>
      <c r="I292" t="inlineStr">
        <is>
          <t>1-1039-90</t>
        </is>
      </c>
      <c r="J292" t="inlineStr"/>
      <c r="K292" t="inlineStr">
        <is>
          <t>Рабочий строитель среднего разряда 3,9</t>
        </is>
      </c>
      <c r="L292" t="n">
        <v>1369</v>
      </c>
      <c r="N292" t="n">
        <v>1013</v>
      </c>
      <c r="O292" t="inlineStr">
        <is>
          <t>чел.-ч</t>
        </is>
      </c>
      <c r="P292" t="inlineStr">
        <is>
          <t>чел.-ч</t>
        </is>
      </c>
      <c r="Q292" t="n">
        <v>1</v>
      </c>
      <c r="X292" t="n">
        <v>71</v>
      </c>
      <c r="Y292" t="n">
        <v>0</v>
      </c>
      <c r="Z292" t="n">
        <v>0</v>
      </c>
      <c r="AA292" t="n">
        <v>0</v>
      </c>
      <c r="AB292" t="n">
        <v>9.51</v>
      </c>
      <c r="AC292" t="n">
        <v>0</v>
      </c>
      <c r="AD292" t="n">
        <v>1</v>
      </c>
      <c r="AE292" t="n">
        <v>1</v>
      </c>
      <c r="AF292" t="inlineStr"/>
      <c r="AG292" t="n">
        <v>71</v>
      </c>
      <c r="AH292" t="n">
        <v>2</v>
      </c>
      <c r="AI292" t="n">
        <v>78870920</v>
      </c>
      <c r="AJ292" t="n">
        <v>316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ROW(Source!A611)</f>
        <v/>
      </c>
      <c r="B293" t="n">
        <v>78870929</v>
      </c>
      <c r="C293" t="n">
        <v>78870919</v>
      </c>
      <c r="D293" t="n">
        <v>121548</v>
      </c>
      <c r="E293" t="n">
        <v>1</v>
      </c>
      <c r="F293" t="n">
        <v>1</v>
      </c>
      <c r="G293" t="n">
        <v>1</v>
      </c>
      <c r="H293" t="n">
        <v>1</v>
      </c>
      <c r="I293" t="inlineStr">
        <is>
          <t>2</t>
        </is>
      </c>
      <c r="J293" t="inlineStr"/>
      <c r="K293" t="inlineStr">
        <is>
          <t>Затраты труда машинистов</t>
        </is>
      </c>
      <c r="L293" t="n">
        <v>608254</v>
      </c>
      <c r="N293" t="n">
        <v>1013</v>
      </c>
      <c r="O293" t="inlineStr">
        <is>
          <t>чел.час</t>
        </is>
      </c>
      <c r="P293" t="inlineStr">
        <is>
          <t>чел.час</t>
        </is>
      </c>
      <c r="Q293" t="n">
        <v>1</v>
      </c>
      <c r="X293" t="n">
        <v>0.11</v>
      </c>
      <c r="Y293" t="n">
        <v>0</v>
      </c>
      <c r="Z293" t="n">
        <v>0</v>
      </c>
      <c r="AA293" t="n">
        <v>0</v>
      </c>
      <c r="AB293" t="n">
        <v>0</v>
      </c>
      <c r="AC293" t="n">
        <v>0</v>
      </c>
      <c r="AD293" t="n">
        <v>1</v>
      </c>
      <c r="AE293" t="n">
        <v>2</v>
      </c>
      <c r="AF293" t="inlineStr"/>
      <c r="AG293" t="n">
        <v>0.11</v>
      </c>
      <c r="AH293" t="n">
        <v>2</v>
      </c>
      <c r="AI293" t="n">
        <v>78870921</v>
      </c>
      <c r="AJ293" t="n">
        <v>317</v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ROW(Source!A611)</f>
        <v/>
      </c>
      <c r="B294" t="n">
        <v>78870930</v>
      </c>
      <c r="C294" t="n">
        <v>78870919</v>
      </c>
      <c r="D294" t="n">
        <v>29172556</v>
      </c>
      <c r="E294" t="n">
        <v>1</v>
      </c>
      <c r="F294" t="n">
        <v>1</v>
      </c>
      <c r="G294" t="n">
        <v>1</v>
      </c>
      <c r="H294" t="n">
        <v>2</v>
      </c>
      <c r="I294" t="inlineStr">
        <is>
          <t>030954</t>
        </is>
      </c>
      <c r="J294" t="inlineStr">
        <is>
          <t>ТСЭМ Московской обл., 030954, приказ Минстроя России №675/пр от 28.02.2017 № 264/пр</t>
        </is>
      </c>
      <c r="K294" t="inlineStr">
        <is>
          <t>Подъемники грузоподъемностью до 500 кг одномачтовые, высота подъема 45 м</t>
        </is>
      </c>
      <c r="L294" t="n">
        <v>1368</v>
      </c>
      <c r="N294" t="n">
        <v>1011</v>
      </c>
      <c r="O294" t="inlineStr">
        <is>
          <t>маш.-ч</t>
        </is>
      </c>
      <c r="P294" t="inlineStr">
        <is>
          <t>маш.-ч</t>
        </is>
      </c>
      <c r="Q294" t="n">
        <v>1</v>
      </c>
      <c r="X294" t="n">
        <v>0.11</v>
      </c>
      <c r="Y294" t="n">
        <v>0</v>
      </c>
      <c r="Z294" t="n">
        <v>31.26</v>
      </c>
      <c r="AA294" t="n">
        <v>13.5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0.11</v>
      </c>
      <c r="AH294" t="n">
        <v>2</v>
      </c>
      <c r="AI294" t="n">
        <v>78870922</v>
      </c>
      <c r="AJ294" t="n">
        <v>318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ROW(Source!A611)</f>
        <v/>
      </c>
      <c r="B295" t="n">
        <v>78870931</v>
      </c>
      <c r="C295" t="n">
        <v>78870919</v>
      </c>
      <c r="D295" t="n">
        <v>29110398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101-0388</t>
        </is>
      </c>
      <c r="J295" t="inlineStr">
        <is>
          <t>ТССЦ Московской обл., 101-0388, приказ Минстроя России №675/пр от 28.02.2017 № 254/пр</t>
        </is>
      </c>
      <c r="K295" t="inlineStr">
        <is>
          <t>Краски масляные земляные марки МА-0115 мумия, сурик железный</t>
        </is>
      </c>
      <c r="L295" t="n">
        <v>1348</v>
      </c>
      <c r="N295" t="n">
        <v>1009</v>
      </c>
      <c r="O295" t="inlineStr">
        <is>
          <t>т</t>
        </is>
      </c>
      <c r="P295" t="inlineStr">
        <is>
          <t>т</t>
        </is>
      </c>
      <c r="Q295" t="n">
        <v>1000</v>
      </c>
      <c r="X295" t="n">
        <v>0.0013</v>
      </c>
      <c r="Y295" t="n">
        <v>15118.99</v>
      </c>
      <c r="Z295" t="n">
        <v>0</v>
      </c>
      <c r="AA295" t="n">
        <v>0</v>
      </c>
      <c r="AB295" t="n">
        <v>0</v>
      </c>
      <c r="AC295" t="n">
        <v>0</v>
      </c>
      <c r="AD295" t="n">
        <v>1</v>
      </c>
      <c r="AE295" t="n">
        <v>0</v>
      </c>
      <c r="AF295" t="inlineStr"/>
      <c r="AG295" t="n">
        <v>0.0013</v>
      </c>
      <c r="AH295" t="n">
        <v>2</v>
      </c>
      <c r="AI295" t="n">
        <v>78870923</v>
      </c>
      <c r="AJ295" t="n">
        <v>319</v>
      </c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ROW(Source!A611)</f>
        <v/>
      </c>
      <c r="B296" t="n">
        <v>78870932</v>
      </c>
      <c r="C296" t="n">
        <v>78870919</v>
      </c>
      <c r="D296" t="n">
        <v>29110573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101-0628</t>
        </is>
      </c>
      <c r="J296" t="inlineStr">
        <is>
          <t>ТССЦ Московской обл., 101-0628, приказ Минстроя России №675/пр от 28.02.2017 № 254/пр</t>
        </is>
      </c>
      <c r="K296" t="inlineStr">
        <is>
          <t>Олифа комбинированная, марки К-3</t>
        </is>
      </c>
      <c r="L296" t="n">
        <v>1348</v>
      </c>
      <c r="N296" t="n">
        <v>1009</v>
      </c>
      <c r="O296" t="inlineStr">
        <is>
          <t>т</t>
        </is>
      </c>
      <c r="P296" t="inlineStr">
        <is>
          <t>т</t>
        </is>
      </c>
      <c r="Q296" t="n">
        <v>1000</v>
      </c>
      <c r="X296" t="n">
        <v>0.0024</v>
      </c>
      <c r="Y296" t="n">
        <v>16950</v>
      </c>
      <c r="Z296" t="n">
        <v>0</v>
      </c>
      <c r="AA296" t="n">
        <v>0</v>
      </c>
      <c r="AB296" t="n">
        <v>0</v>
      </c>
      <c r="AC296" t="n">
        <v>0</v>
      </c>
      <c r="AD296" t="n">
        <v>1</v>
      </c>
      <c r="AE296" t="n">
        <v>0</v>
      </c>
      <c r="AF296" t="inlineStr"/>
      <c r="AG296" t="n">
        <v>0.0024</v>
      </c>
      <c r="AH296" t="n">
        <v>2</v>
      </c>
      <c r="AI296" t="n">
        <v>78870924</v>
      </c>
      <c r="AJ296" t="n">
        <v>320</v>
      </c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ROW(Source!A611)</f>
        <v/>
      </c>
      <c r="B297" t="n">
        <v>78870933</v>
      </c>
      <c r="C297" t="n">
        <v>78870919</v>
      </c>
      <c r="D297" t="n">
        <v>29107963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101-1669</t>
        </is>
      </c>
      <c r="J297" t="inlineStr">
        <is>
          <t>ТССЦ Московской обл., 101-1669, приказ Минстроя России №675/пр от 28.02.2017 № 254/пр</t>
        </is>
      </c>
      <c r="K297" t="inlineStr">
        <is>
          <t>Очес льняной</t>
        </is>
      </c>
      <c r="L297" t="n">
        <v>1346</v>
      </c>
      <c r="N297" t="n">
        <v>1009</v>
      </c>
      <c r="O297" t="inlineStr">
        <is>
          <t>кг</t>
        </is>
      </c>
      <c r="P297" t="inlineStr">
        <is>
          <t>кг</t>
        </is>
      </c>
      <c r="Q297" t="n">
        <v>1</v>
      </c>
      <c r="X297" t="n">
        <v>0.5600000000000001</v>
      </c>
      <c r="Y297" t="n">
        <v>37.29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0.5600000000000001</v>
      </c>
      <c r="AH297" t="n">
        <v>2</v>
      </c>
      <c r="AI297" t="n">
        <v>78870925</v>
      </c>
      <c r="AJ297" t="n">
        <v>321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ROW(Source!A611)</f>
        <v/>
      </c>
      <c r="B298" t="n">
        <v>78870934</v>
      </c>
      <c r="C298" t="n">
        <v>78870919</v>
      </c>
      <c r="D298" t="n">
        <v>29144224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302-1241</t>
        </is>
      </c>
      <c r="J298" t="inlineStr">
        <is>
          <t>ТССЦ Московской обл., 302-1241, приказ Минстроя России №675/пр от 28.02.2017 № 256/пр</t>
        </is>
      </c>
      <c r="K298" t="inlineStr">
        <is>
          <t>Сгоны стальные с муфтой и контргайкой, диаметром 50 мм</t>
        </is>
      </c>
      <c r="L298" t="n">
        <v>1354</v>
      </c>
      <c r="N298" t="n">
        <v>1010</v>
      </c>
      <c r="O298" t="inlineStr">
        <is>
          <t>шт.</t>
        </is>
      </c>
      <c r="P298" t="inlineStr">
        <is>
          <t>шт.</t>
        </is>
      </c>
      <c r="Q298" t="n">
        <v>1</v>
      </c>
      <c r="X298" t="n">
        <v>100</v>
      </c>
      <c r="Y298" t="n">
        <v>28.58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100</v>
      </c>
      <c r="AH298" t="n">
        <v>2</v>
      </c>
      <c r="AI298" t="n">
        <v>78870926</v>
      </c>
      <c r="AJ298" t="n">
        <v>322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ROW(Source!A658)</f>
        <v/>
      </c>
      <c r="B299" t="n">
        <v>78871025</v>
      </c>
      <c r="C299" t="n">
        <v>78871019</v>
      </c>
      <c r="D299" t="n">
        <v>18408291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1-1025-90</t>
        </is>
      </c>
      <c r="J299" t="inlineStr"/>
      <c r="K299" t="inlineStr">
        <is>
          <t>Рабочий строитель среднего разряда 2,5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32.2</v>
      </c>
      <c r="Y299" t="n">
        <v>0</v>
      </c>
      <c r="Z299" t="n">
        <v>0</v>
      </c>
      <c r="AA299" t="n">
        <v>0</v>
      </c>
      <c r="AB299" t="n">
        <v>8.17</v>
      </c>
      <c r="AC299" t="n">
        <v>0</v>
      </c>
      <c r="AD299" t="n">
        <v>1</v>
      </c>
      <c r="AE299" t="n">
        <v>1</v>
      </c>
      <c r="AF299" t="inlineStr"/>
      <c r="AG299" t="n">
        <v>32.2</v>
      </c>
      <c r="AH299" t="n">
        <v>2</v>
      </c>
      <c r="AI299" t="n">
        <v>78871020</v>
      </c>
      <c r="AJ299" t="n">
        <v>330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ROW(Source!A658)</f>
        <v/>
      </c>
      <c r="B300" t="n">
        <v>78871026</v>
      </c>
      <c r="C300" t="n">
        <v>78871019</v>
      </c>
      <c r="D300" t="n">
        <v>29174913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400001</t>
        </is>
      </c>
      <c r="J300" t="inlineStr">
        <is>
          <t>ТСЭМ Московской обл., 400001, приказ Минстроя России №675/пр от 28.02.2017 № 264/пр</t>
        </is>
      </c>
      <c r="K300" t="inlineStr">
        <is>
          <t>Автомобили бортовые, грузоподъемность до 5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X300" t="n">
        <v>0.01</v>
      </c>
      <c r="Y300" t="n">
        <v>0</v>
      </c>
      <c r="Z300" t="n">
        <v>87.17</v>
      </c>
      <c r="AA300" t="n">
        <v>11.6</v>
      </c>
      <c r="AB300" t="n">
        <v>0</v>
      </c>
      <c r="AC300" t="n">
        <v>0</v>
      </c>
      <c r="AD300" t="n">
        <v>1</v>
      </c>
      <c r="AE300" t="n">
        <v>0</v>
      </c>
      <c r="AF300" t="inlineStr"/>
      <c r="AG300" t="n">
        <v>0.01</v>
      </c>
      <c r="AH300" t="n">
        <v>2</v>
      </c>
      <c r="AI300" t="n">
        <v>78871021</v>
      </c>
      <c r="AJ300" t="n">
        <v>331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ROW(Source!A658)</f>
        <v/>
      </c>
      <c r="B301" t="n">
        <v>78871027</v>
      </c>
      <c r="C301" t="n">
        <v>78871019</v>
      </c>
      <c r="D301" t="n">
        <v>29110139</v>
      </c>
      <c r="E301" t="n">
        <v>1</v>
      </c>
      <c r="F301" t="n">
        <v>1</v>
      </c>
      <c r="G301" t="n">
        <v>1</v>
      </c>
      <c r="H301" t="n">
        <v>3</v>
      </c>
      <c r="I301" t="inlineStr">
        <is>
          <t>101-1703</t>
        </is>
      </c>
      <c r="J301" t="inlineStr">
        <is>
          <t>ТССЦ Московской обл., 101-1703, приказ Минстроя России №675/пр от 28.02.2017 № 254/пр</t>
        </is>
      </c>
      <c r="K301" t="inlineStr">
        <is>
          <t>Прокладки резиновые (пластина техническая прессованная)</t>
        </is>
      </c>
      <c r="L301" t="n">
        <v>1346</v>
      </c>
      <c r="N301" t="n">
        <v>1009</v>
      </c>
      <c r="O301" t="inlineStr">
        <is>
          <t>кг</t>
        </is>
      </c>
      <c r="P301" t="inlineStr">
        <is>
          <t>кг</t>
        </is>
      </c>
      <c r="Q301" t="n">
        <v>1</v>
      </c>
      <c r="X301" t="n">
        <v>2</v>
      </c>
      <c r="Y301" t="n">
        <v>23.09</v>
      </c>
      <c r="Z301" t="n">
        <v>0</v>
      </c>
      <c r="AA301" t="n">
        <v>0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2</v>
      </c>
      <c r="AH301" t="n">
        <v>2</v>
      </c>
      <c r="AI301" t="n">
        <v>78871022</v>
      </c>
      <c r="AJ301" t="n">
        <v>332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ROW(Source!A658)</f>
        <v/>
      </c>
      <c r="B302" t="n">
        <v>78871028</v>
      </c>
      <c r="C302" t="n">
        <v>78871019</v>
      </c>
      <c r="D302" t="n">
        <v>29114240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101-2576</t>
        </is>
      </c>
      <c r="J302" t="inlineStr">
        <is>
          <t>ТССЦ Московской обл., 101-2576, приказ Минстроя России №675/пр от 28.02.2017 № 254/пр</t>
        </is>
      </c>
      <c r="K302" t="inlineStr">
        <is>
          <t>Болты с гайками и шайбами для санитарно-технических работ диаметром 16 мм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0.005</v>
      </c>
      <c r="Y302" t="n">
        <v>14830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0.005</v>
      </c>
      <c r="AH302" t="n">
        <v>2</v>
      </c>
      <c r="AI302" t="n">
        <v>78871023</v>
      </c>
      <c r="AJ302" t="n">
        <v>333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ROW(Source!A658)</f>
        <v/>
      </c>
      <c r="B303" t="n">
        <v>78871029</v>
      </c>
      <c r="C303" t="n">
        <v>78871019</v>
      </c>
      <c r="D303" t="n">
        <v>29150040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411-0001</t>
        </is>
      </c>
      <c r="J303" t="inlineStr">
        <is>
          <t>ТССЦ Московской обл., 411-0001, приказ Минстроя России №675/пр от 28.02.2017 № 257/пр</t>
        </is>
      </c>
      <c r="K303" t="inlineStr">
        <is>
          <t>Вода</t>
        </is>
      </c>
      <c r="L303" t="n">
        <v>1339</v>
      </c>
      <c r="N303" t="n">
        <v>1007</v>
      </c>
      <c r="O303" t="inlineStr">
        <is>
          <t>м3</t>
        </is>
      </c>
      <c r="P303" t="inlineStr">
        <is>
          <t>м3</t>
        </is>
      </c>
      <c r="Q303" t="n">
        <v>1</v>
      </c>
      <c r="X303" t="n">
        <v>7.8</v>
      </c>
      <c r="Y303" t="n">
        <v>2.44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7.8</v>
      </c>
      <c r="AH303" t="n">
        <v>2</v>
      </c>
      <c r="AI303" t="n">
        <v>78871024</v>
      </c>
      <c r="AJ303" t="n">
        <v>334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ROW(Source!A659)</f>
        <v/>
      </c>
      <c r="B304" t="n">
        <v>78871039</v>
      </c>
      <c r="C304" t="n">
        <v>78871030</v>
      </c>
      <c r="D304" t="n">
        <v>18409850</v>
      </c>
      <c r="E304" t="n">
        <v>1</v>
      </c>
      <c r="F304" t="n">
        <v>1</v>
      </c>
      <c r="G304" t="n">
        <v>1</v>
      </c>
      <c r="H304" t="n">
        <v>1</v>
      </c>
      <c r="I304" t="inlineStr">
        <is>
          <t>1-1035-90</t>
        </is>
      </c>
      <c r="J304" t="inlineStr"/>
      <c r="K304" t="inlineStr">
        <is>
          <t>Рабочий строитель среднего разряда 3,5</t>
        </is>
      </c>
      <c r="L304" t="n">
        <v>1369</v>
      </c>
      <c r="N304" t="n">
        <v>1013</v>
      </c>
      <c r="O304" t="inlineStr">
        <is>
          <t>чел.-ч</t>
        </is>
      </c>
      <c r="P304" t="inlineStr">
        <is>
          <t>чел.-ч</t>
        </is>
      </c>
      <c r="Q304" t="n">
        <v>1</v>
      </c>
      <c r="X304" t="n">
        <v>81</v>
      </c>
      <c r="Y304" t="n">
        <v>0</v>
      </c>
      <c r="Z304" t="n">
        <v>0</v>
      </c>
      <c r="AA304" t="n">
        <v>0</v>
      </c>
      <c r="AB304" t="n">
        <v>9.07</v>
      </c>
      <c r="AC304" t="n">
        <v>0</v>
      </c>
      <c r="AD304" t="n">
        <v>1</v>
      </c>
      <c r="AE304" t="n">
        <v>1</v>
      </c>
      <c r="AF304" t="inlineStr"/>
      <c r="AG304" t="n">
        <v>81</v>
      </c>
      <c r="AH304" t="n">
        <v>2</v>
      </c>
      <c r="AI304" t="n">
        <v>78871031</v>
      </c>
      <c r="AJ304" t="n">
        <v>335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ROW(Source!A659)</f>
        <v/>
      </c>
      <c r="B305" t="n">
        <v>78871040</v>
      </c>
      <c r="C305" t="n">
        <v>78871030</v>
      </c>
      <c r="D305" t="n">
        <v>29174913</v>
      </c>
      <c r="E305" t="n">
        <v>1</v>
      </c>
      <c r="F305" t="n">
        <v>1</v>
      </c>
      <c r="G305" t="n">
        <v>1</v>
      </c>
      <c r="H305" t="n">
        <v>2</v>
      </c>
      <c r="I305" t="inlineStr">
        <is>
          <t>400001</t>
        </is>
      </c>
      <c r="J305" t="inlineStr">
        <is>
          <t>ТСЭМ Московской обл., 400001, приказ Минстроя России №675/пр от 28.02.2017 № 264/пр</t>
        </is>
      </c>
      <c r="K305" t="inlineStr">
        <is>
          <t>Автомобили бортовые, грузоподъемность до 5 т</t>
        </is>
      </c>
      <c r="L305" t="n">
        <v>1368</v>
      </c>
      <c r="N305" t="n">
        <v>1011</v>
      </c>
      <c r="O305" t="inlineStr">
        <is>
          <t>маш.-ч</t>
        </is>
      </c>
      <c r="P305" t="inlineStr">
        <is>
          <t>маш.-ч</t>
        </is>
      </c>
      <c r="Q305" t="n">
        <v>1</v>
      </c>
      <c r="X305" t="n">
        <v>0.05</v>
      </c>
      <c r="Y305" t="n">
        <v>0</v>
      </c>
      <c r="Z305" t="n">
        <v>87.17</v>
      </c>
      <c r="AA305" t="n">
        <v>11.6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0.05</v>
      </c>
      <c r="AH305" t="n">
        <v>2</v>
      </c>
      <c r="AI305" t="n">
        <v>78871032</v>
      </c>
      <c r="AJ305" t="n">
        <v>336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ROW(Source!A659)</f>
        <v/>
      </c>
      <c r="B306" t="n">
        <v>78871041</v>
      </c>
      <c r="C306" t="n">
        <v>78871030</v>
      </c>
      <c r="D306" t="n">
        <v>29110398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101-0388</t>
        </is>
      </c>
      <c r="J306" t="inlineStr">
        <is>
          <t>ТССЦ Московской обл., 101-0388, приказ Минстроя России №675/пр от 28.02.2017 № 254/пр</t>
        </is>
      </c>
      <c r="K306" t="inlineStr">
        <is>
          <t>Краски масляные земляные марки МА-0115 мумия, сурик железный</t>
        </is>
      </c>
      <c r="L306" t="n">
        <v>1348</v>
      </c>
      <c r="N306" t="n">
        <v>1009</v>
      </c>
      <c r="O306" t="inlineStr">
        <is>
          <t>т</t>
        </is>
      </c>
      <c r="P306" t="inlineStr">
        <is>
          <t>т</t>
        </is>
      </c>
      <c r="Q306" t="n">
        <v>1000</v>
      </c>
      <c r="X306" t="n">
        <v>0.0014</v>
      </c>
      <c r="Y306" t="n">
        <v>15118.99</v>
      </c>
      <c r="Z306" t="n">
        <v>0</v>
      </c>
      <c r="AA306" t="n">
        <v>0</v>
      </c>
      <c r="AB306" t="n">
        <v>0</v>
      </c>
      <c r="AC306" t="n">
        <v>0</v>
      </c>
      <c r="AD306" t="n">
        <v>1</v>
      </c>
      <c r="AE306" t="n">
        <v>0</v>
      </c>
      <c r="AF306" t="inlineStr"/>
      <c r="AG306" t="n">
        <v>0.0014</v>
      </c>
      <c r="AH306" t="n">
        <v>2</v>
      </c>
      <c r="AI306" t="n">
        <v>78871033</v>
      </c>
      <c r="AJ306" t="n">
        <v>337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ROW(Source!A659)</f>
        <v/>
      </c>
      <c r="B307" t="n">
        <v>78871042</v>
      </c>
      <c r="C307" t="n">
        <v>78871030</v>
      </c>
      <c r="D307" t="n">
        <v>29110573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101-0628</t>
        </is>
      </c>
      <c r="J307" t="inlineStr">
        <is>
          <t>ТССЦ Московской обл., 101-0628, приказ Минстроя России №675/пр от 28.02.2017 № 254/пр</t>
        </is>
      </c>
      <c r="K307" t="inlineStr">
        <is>
          <t>Олифа комбинированная, марки К-3</t>
        </is>
      </c>
      <c r="L307" t="n">
        <v>1348</v>
      </c>
      <c r="N307" t="n">
        <v>1009</v>
      </c>
      <c r="O307" t="inlineStr">
        <is>
          <t>т</t>
        </is>
      </c>
      <c r="P307" t="inlineStr">
        <is>
          <t>т</t>
        </is>
      </c>
      <c r="Q307" t="n">
        <v>1000</v>
      </c>
      <c r="X307" t="n">
        <v>0.0007</v>
      </c>
      <c r="Y307" t="n">
        <v>16950</v>
      </c>
      <c r="Z307" t="n">
        <v>0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0.0007</v>
      </c>
      <c r="AH307" t="n">
        <v>2</v>
      </c>
      <c r="AI307" t="n">
        <v>78871034</v>
      </c>
      <c r="AJ307" t="n">
        <v>338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ROW(Source!A659)</f>
        <v/>
      </c>
      <c r="B308" t="n">
        <v>78871043</v>
      </c>
      <c r="C308" t="n">
        <v>78871030</v>
      </c>
      <c r="D308" t="n">
        <v>29107963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101-1669</t>
        </is>
      </c>
      <c r="J308" t="inlineStr">
        <is>
          <t>ТССЦ Московской обл., 101-1669, приказ Минстроя России №675/пр от 28.02.2017 № 254/пр</t>
        </is>
      </c>
      <c r="K308" t="inlineStr">
        <is>
          <t>Очес льняной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X308" t="n">
        <v>0.7</v>
      </c>
      <c r="Y308" t="n">
        <v>37.29</v>
      </c>
      <c r="Z308" t="n">
        <v>0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0.7</v>
      </c>
      <c r="AH308" t="n">
        <v>2</v>
      </c>
      <c r="AI308" t="n">
        <v>78871035</v>
      </c>
      <c r="AJ308" t="n">
        <v>339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ROW(Source!A659)</f>
        <v/>
      </c>
      <c r="B309" t="n">
        <v>78871044</v>
      </c>
      <c r="C309" t="n">
        <v>78871030</v>
      </c>
      <c r="D309" t="n">
        <v>29142465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302-1342</t>
        </is>
      </c>
      <c r="J309" t="inlineStr">
        <is>
          <t>ТССЦ Московской обл., 302-1342, приказ Минстроя России №675/пр от 28.02.2017 № 256/пр</t>
        </is>
      </c>
      <c r="K309" t="inlineStr">
        <is>
          <t>Вентили проходные муфтовые 15кч18п для воды давлением 1,6 МПа (16 кгс/см2), диаметром 20 мм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X309" t="n">
        <v>100</v>
      </c>
      <c r="Y309" t="n">
        <v>21.81</v>
      </c>
      <c r="Z309" t="n">
        <v>0</v>
      </c>
      <c r="AA309" t="n">
        <v>0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100</v>
      </c>
      <c r="AH309" t="n">
        <v>2</v>
      </c>
      <c r="AI309" t="n">
        <v>78871037</v>
      </c>
      <c r="AJ309" t="n">
        <v>341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ROW(Source!A659)</f>
        <v/>
      </c>
      <c r="B310" t="n">
        <v>78871045</v>
      </c>
      <c r="C310" t="n">
        <v>78871030</v>
      </c>
      <c r="D310" t="n">
        <v>29164350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509-9899</t>
        </is>
      </c>
      <c r="J310" t="inlineStr">
        <is>
          <t>ТССЦ Московской обл., 509-9899, приказ Минстроя России №675/пр от 28.02.2017 № 258/пр</t>
        </is>
      </c>
      <c r="K310" t="inlineStr">
        <is>
          <t>Строительный мусор и масса возвратных материалов</t>
        </is>
      </c>
      <c r="L310" t="n">
        <v>1348</v>
      </c>
      <c r="N310" t="n">
        <v>1009</v>
      </c>
      <c r="O310" t="inlineStr">
        <is>
          <t>т</t>
        </is>
      </c>
      <c r="P310" t="inlineStr">
        <is>
          <t>т</t>
        </is>
      </c>
      <c r="Q310" t="n">
        <v>1000</v>
      </c>
      <c r="X310" t="n">
        <v>0.04</v>
      </c>
      <c r="Y310" t="n">
        <v>0</v>
      </c>
      <c r="Z310" t="n">
        <v>0</v>
      </c>
      <c r="AA310" t="n">
        <v>0</v>
      </c>
      <c r="AB310" t="n">
        <v>0</v>
      </c>
      <c r="AC310" t="n">
        <v>0</v>
      </c>
      <c r="AD310" t="n">
        <v>0</v>
      </c>
      <c r="AE310" t="n">
        <v>0</v>
      </c>
      <c r="AF310" t="inlineStr"/>
      <c r="AG310" t="n">
        <v>0.04</v>
      </c>
      <c r="AH310" t="n">
        <v>2</v>
      </c>
      <c r="AI310" t="n">
        <v>78871038</v>
      </c>
      <c r="AJ310" t="n">
        <v>342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ROW(Source!A662)</f>
        <v/>
      </c>
      <c r="B311" t="n">
        <v>78871055</v>
      </c>
      <c r="C311" t="n">
        <v>78871048</v>
      </c>
      <c r="D311" t="n">
        <v>18442827</v>
      </c>
      <c r="E311" t="n">
        <v>1</v>
      </c>
      <c r="F311" t="n">
        <v>1</v>
      </c>
      <c r="G311" t="n">
        <v>1</v>
      </c>
      <c r="H311" t="n">
        <v>1</v>
      </c>
      <c r="I311" t="inlineStr">
        <is>
          <t>1-1053-90</t>
        </is>
      </c>
      <c r="J311" t="inlineStr"/>
      <c r="K311" t="inlineStr">
        <is>
          <t>Рабочий строитель среднего разряда 5,3</t>
        </is>
      </c>
      <c r="L311" t="n">
        <v>1369</v>
      </c>
      <c r="N311" t="n">
        <v>1013</v>
      </c>
      <c r="O311" t="inlineStr">
        <is>
          <t>чел.-ч</t>
        </is>
      </c>
      <c r="P311" t="inlineStr">
        <is>
          <t>чел.-ч</t>
        </is>
      </c>
      <c r="Q311" t="n">
        <v>1</v>
      </c>
      <c r="X311" t="n">
        <v>5.01</v>
      </c>
      <c r="Y311" t="n">
        <v>0</v>
      </c>
      <c r="Z311" t="n">
        <v>0</v>
      </c>
      <c r="AA311" t="n">
        <v>0</v>
      </c>
      <c r="AB311" t="n">
        <v>11.64</v>
      </c>
      <c r="AC311" t="n">
        <v>0</v>
      </c>
      <c r="AD311" t="n">
        <v>1</v>
      </c>
      <c r="AE311" t="n">
        <v>1</v>
      </c>
      <c r="AF311" t="inlineStr">
        <is>
          <t>)*5</t>
        </is>
      </c>
      <c r="AG311" t="n">
        <v>25.05</v>
      </c>
      <c r="AH311" t="n">
        <v>2</v>
      </c>
      <c r="AI311" t="n">
        <v>78871049</v>
      </c>
      <c r="AJ311" t="n">
        <v>343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ROW(Source!A662)</f>
        <v/>
      </c>
      <c r="B312" t="n">
        <v>78871056</v>
      </c>
      <c r="C312" t="n">
        <v>78871048</v>
      </c>
      <c r="D312" t="n">
        <v>29172703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042900</t>
        </is>
      </c>
      <c r="J312" t="inlineStr">
        <is>
          <t>ТСЭМ Московской обл., 042900, приказ Минстроя России №675/пр от 28.02.2017 № 264/пр</t>
        </is>
      </c>
      <c r="K3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X312" t="n">
        <v>1.5</v>
      </c>
      <c r="Y312" t="n">
        <v>0</v>
      </c>
      <c r="Z312" t="n">
        <v>29.67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>
        <is>
          <t>)*5</t>
        </is>
      </c>
      <c r="AG312" t="n">
        <v>7.5</v>
      </c>
      <c r="AH312" t="n">
        <v>2</v>
      </c>
      <c r="AI312" t="n">
        <v>78871050</v>
      </c>
      <c r="AJ312" t="n">
        <v>344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ROW(Source!A662)</f>
        <v/>
      </c>
      <c r="B313" t="n">
        <v>78871057</v>
      </c>
      <c r="C313" t="n">
        <v>78871048</v>
      </c>
      <c r="D313" t="n">
        <v>29110398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101-0388</t>
        </is>
      </c>
      <c r="J313" t="inlineStr">
        <is>
          <t>ТССЦ Московской обл., 101-0388, приказ Минстроя России №675/пр от 28.02.2017 № 254/пр</t>
        </is>
      </c>
      <c r="K313" t="inlineStr">
        <is>
          <t>Краски масляные земляные марки МА-0115 мумия, сурик железный</t>
        </is>
      </c>
      <c r="L313" t="n">
        <v>1348</v>
      </c>
      <c r="N313" t="n">
        <v>1009</v>
      </c>
      <c r="O313" t="inlineStr">
        <is>
          <t>т</t>
        </is>
      </c>
      <c r="P313" t="inlineStr">
        <is>
          <t>т</t>
        </is>
      </c>
      <c r="Q313" t="n">
        <v>1000</v>
      </c>
      <c r="X313" t="n">
        <v>5e-05</v>
      </c>
      <c r="Y313" t="n">
        <v>15118.99</v>
      </c>
      <c r="Z313" t="n">
        <v>0</v>
      </c>
      <c r="AA313" t="n">
        <v>0</v>
      </c>
      <c r="AB313" t="n">
        <v>0</v>
      </c>
      <c r="AC313" t="n">
        <v>0</v>
      </c>
      <c r="AD313" t="n">
        <v>1</v>
      </c>
      <c r="AE313" t="n">
        <v>0</v>
      </c>
      <c r="AF313" t="inlineStr">
        <is>
          <t>)*5</t>
        </is>
      </c>
      <c r="AG313" t="n">
        <v>0.00025</v>
      </c>
      <c r="AH313" t="n">
        <v>2</v>
      </c>
      <c r="AI313" t="n">
        <v>78871051</v>
      </c>
      <c r="AJ313" t="n">
        <v>345</v>
      </c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ROW(Source!A662)</f>
        <v/>
      </c>
      <c r="B314" t="n">
        <v>78871058</v>
      </c>
      <c r="C314" t="n">
        <v>78871048</v>
      </c>
      <c r="D314" t="n">
        <v>29110573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101-0628</t>
        </is>
      </c>
      <c r="J314" t="inlineStr">
        <is>
          <t>ТССЦ Московской обл., 101-0628, приказ Минстроя России №675/пр от 28.02.2017 № 254/пр</t>
        </is>
      </c>
      <c r="K314" t="inlineStr">
        <is>
          <t>Олифа комбинированная, марки К-3</t>
        </is>
      </c>
      <c r="L314" t="n">
        <v>1348</v>
      </c>
      <c r="N314" t="n">
        <v>1009</v>
      </c>
      <c r="O314" t="inlineStr">
        <is>
          <t>т</t>
        </is>
      </c>
      <c r="P314" t="inlineStr">
        <is>
          <t>т</t>
        </is>
      </c>
      <c r="Q314" t="n">
        <v>1000</v>
      </c>
      <c r="X314" t="n">
        <v>2e-05</v>
      </c>
      <c r="Y314" t="n">
        <v>16950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>
        <is>
          <t>)*5</t>
        </is>
      </c>
      <c r="AG314" t="n">
        <v>0.0001</v>
      </c>
      <c r="AH314" t="n">
        <v>2</v>
      </c>
      <c r="AI314" t="n">
        <v>78871052</v>
      </c>
      <c r="AJ314" t="n">
        <v>346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ROW(Source!A662)</f>
        <v/>
      </c>
      <c r="B315" t="n">
        <v>78871059</v>
      </c>
      <c r="C315" t="n">
        <v>78871048</v>
      </c>
      <c r="D315" t="n">
        <v>29107963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101-1669</t>
        </is>
      </c>
      <c r="J315" t="inlineStr">
        <is>
          <t>ТССЦ Московской обл., 101-1669, приказ Минстроя России №675/пр от 28.02.2017 № 254/пр</t>
        </is>
      </c>
      <c r="K315" t="inlineStr">
        <is>
          <t>Очес льняной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0.02</v>
      </c>
      <c r="Y315" t="n">
        <v>37.29</v>
      </c>
      <c r="Z315" t="n">
        <v>0</v>
      </c>
      <c r="AA315" t="n">
        <v>0</v>
      </c>
      <c r="AB315" t="n">
        <v>0</v>
      </c>
      <c r="AC315" t="n">
        <v>0</v>
      </c>
      <c r="AD315" t="n">
        <v>1</v>
      </c>
      <c r="AE315" t="n">
        <v>0</v>
      </c>
      <c r="AF315" t="inlineStr">
        <is>
          <t>)*5</t>
        </is>
      </c>
      <c r="AG315" t="n">
        <v>0.1</v>
      </c>
      <c r="AH315" t="n">
        <v>2</v>
      </c>
      <c r="AI315" t="n">
        <v>78871053</v>
      </c>
      <c r="AJ315" t="n">
        <v>347</v>
      </c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ROW(Source!A662)</f>
        <v/>
      </c>
      <c r="B316" t="n">
        <v>78871060</v>
      </c>
      <c r="C316" t="n">
        <v>78871048</v>
      </c>
      <c r="D316" t="n">
        <v>29150040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411-0001</t>
        </is>
      </c>
      <c r="J316" t="inlineStr">
        <is>
          <t>ТССЦ Московской обл., 411-0001, приказ Минстроя России №675/пр от 28.02.2017 № 257/пр</t>
        </is>
      </c>
      <c r="K316" t="inlineStr">
        <is>
          <t>Вода</t>
        </is>
      </c>
      <c r="L316" t="n">
        <v>1339</v>
      </c>
      <c r="N316" t="n">
        <v>1007</v>
      </c>
      <c r="O316" t="inlineStr">
        <is>
          <t>м3</t>
        </is>
      </c>
      <c r="P316" t="inlineStr">
        <is>
          <t>м3</t>
        </is>
      </c>
      <c r="Q316" t="n">
        <v>1</v>
      </c>
      <c r="X316" t="n">
        <v>1</v>
      </c>
      <c r="Y316" t="n">
        <v>2.44</v>
      </c>
      <c r="Z316" t="n">
        <v>0</v>
      </c>
      <c r="AA316" t="n">
        <v>0</v>
      </c>
      <c r="AB316" t="n">
        <v>0</v>
      </c>
      <c r="AC316" t="n">
        <v>0</v>
      </c>
      <c r="AD316" t="n">
        <v>1</v>
      </c>
      <c r="AE316" t="n">
        <v>0</v>
      </c>
      <c r="AF316" t="inlineStr">
        <is>
          <t>)*5</t>
        </is>
      </c>
      <c r="AG316" t="n">
        <v>5</v>
      </c>
      <c r="AH316" t="n">
        <v>2</v>
      </c>
      <c r="AI316" t="n">
        <v>78871054</v>
      </c>
      <c r="AJ316" t="n">
        <v>348</v>
      </c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ROW(Source!A663)</f>
        <v/>
      </c>
      <c r="B317" t="n">
        <v>78871065</v>
      </c>
      <c r="C317" t="n">
        <v>78871061</v>
      </c>
      <c r="D317" t="n">
        <v>18407150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1-1030-90</t>
        </is>
      </c>
      <c r="J317" t="inlineStr"/>
      <c r="K317" t="inlineStr">
        <is>
          <t>Рабочий строитель среднего разряда 3</t>
        </is>
      </c>
      <c r="L317" t="n">
        <v>1369</v>
      </c>
      <c r="N317" t="n">
        <v>1013</v>
      </c>
      <c r="O317" t="inlineStr">
        <is>
          <t>чел.-ч</t>
        </is>
      </c>
      <c r="P317" t="inlineStr">
        <is>
          <t>чел.-ч</t>
        </is>
      </c>
      <c r="Q317" t="n">
        <v>1</v>
      </c>
      <c r="X317" t="n">
        <v>13.9</v>
      </c>
      <c r="Y317" t="n">
        <v>0</v>
      </c>
      <c r="Z317" t="n">
        <v>0</v>
      </c>
      <c r="AA317" t="n">
        <v>0</v>
      </c>
      <c r="AB317" t="n">
        <v>8.529999999999999</v>
      </c>
      <c r="AC317" t="n">
        <v>0</v>
      </c>
      <c r="AD317" t="n">
        <v>1</v>
      </c>
      <c r="AE317" t="n">
        <v>1</v>
      </c>
      <c r="AF317" t="inlineStr"/>
      <c r="AG317" t="n">
        <v>13.9</v>
      </c>
      <c r="AH317" t="n">
        <v>2</v>
      </c>
      <c r="AI317" t="n">
        <v>78871062</v>
      </c>
      <c r="AJ317" t="n">
        <v>349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ROW(Source!A663)</f>
        <v/>
      </c>
      <c r="B318" t="n">
        <v>78871066</v>
      </c>
      <c r="C318" t="n">
        <v>78871061</v>
      </c>
      <c r="D318" t="n">
        <v>29169821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509-0696</t>
        </is>
      </c>
      <c r="J318" t="inlineStr">
        <is>
          <t>ТССЦ Московской обл., 509-0696, приказ Минстроя России №675/пр от 28.02.2017 № 258/пр</t>
        </is>
      </c>
      <c r="K318" t="inlineStr">
        <is>
          <t>Лампы люминесцентные ртутные низкого давления типа ЛБ, ЛД, ЛДЦ, ЛТВ, ЛБХ 20</t>
        </is>
      </c>
      <c r="L318" t="n">
        <v>1358</v>
      </c>
      <c r="N318" t="n">
        <v>1010</v>
      </c>
      <c r="O318" t="inlineStr">
        <is>
          <t>10 шт.</t>
        </is>
      </c>
      <c r="P318" t="inlineStr">
        <is>
          <t>10 шт.</t>
        </is>
      </c>
      <c r="Q318" t="n">
        <v>10</v>
      </c>
      <c r="X318" t="n">
        <v>10</v>
      </c>
      <c r="Y318" t="n">
        <v>85.2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10</v>
      </c>
      <c r="AH318" t="n">
        <v>2</v>
      </c>
      <c r="AI318" t="n">
        <v>78871063</v>
      </c>
      <c r="AJ318" t="n">
        <v>350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ROW(Source!A665)</f>
        <v/>
      </c>
      <c r="B319" t="n">
        <v>78871088</v>
      </c>
      <c r="C319" t="n">
        <v>78871068</v>
      </c>
      <c r="D319" t="n">
        <v>29361307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1-2039-90</t>
        </is>
      </c>
      <c r="J319" t="inlineStr"/>
      <c r="K319" t="inlineStr">
        <is>
          <t>Рабочий монтажник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2.32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>
        <is>
          <t>)*0,2</t>
        </is>
      </c>
      <c r="AG319" t="n">
        <v>0.464</v>
      </c>
      <c r="AH319" t="n">
        <v>2</v>
      </c>
      <c r="AI319" t="n">
        <v>78871069</v>
      </c>
      <c r="AJ319" t="n">
        <v>352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ROW(Source!A665)</f>
        <v/>
      </c>
      <c r="B320" t="n">
        <v>78871089</v>
      </c>
      <c r="C320" t="n">
        <v>78871068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0.01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>
        <is>
          <t>)*0,2</t>
        </is>
      </c>
      <c r="AG320" t="n">
        <v>0.002</v>
      </c>
      <c r="AH320" t="n">
        <v>2</v>
      </c>
      <c r="AI320" t="n">
        <v>78871070</v>
      </c>
      <c r="AJ320" t="n">
        <v>353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ROW(Source!A665)</f>
        <v/>
      </c>
      <c r="B321" t="n">
        <v>78871090</v>
      </c>
      <c r="C321" t="n">
        <v>78871068</v>
      </c>
      <c r="D321" t="n">
        <v>29172362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021102</t>
        </is>
      </c>
      <c r="J321" t="inlineStr">
        <is>
          <t>ТСЭМ Московской обл., 021102, приказ Минстроя России №675/пр от 28.02.2017 № 264/пр</t>
        </is>
      </c>
      <c r="K321" t="inlineStr">
        <is>
          <t>Краны на автомобильном ходу при работе на монтаже технологического оборудования 10 т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0.01</v>
      </c>
      <c r="Y321" t="n">
        <v>0</v>
      </c>
      <c r="Z321" t="n">
        <v>134.65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>
        <is>
          <t>)*0,2</t>
        </is>
      </c>
      <c r="AG321" t="n">
        <v>0.002</v>
      </c>
      <c r="AH321" t="n">
        <v>2</v>
      </c>
      <c r="AI321" t="n">
        <v>78871071</v>
      </c>
      <c r="AJ321" t="n">
        <v>354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ROW(Source!A665)</f>
        <v/>
      </c>
      <c r="B322" t="n">
        <v>78871091</v>
      </c>
      <c r="C322" t="n">
        <v>78871068</v>
      </c>
      <c r="D322" t="n">
        <v>29172657</v>
      </c>
      <c r="E322" t="n">
        <v>1</v>
      </c>
      <c r="F322" t="n">
        <v>1</v>
      </c>
      <c r="G322" t="n">
        <v>1</v>
      </c>
      <c r="H322" t="n">
        <v>2</v>
      </c>
      <c r="I322" t="inlineStr">
        <is>
          <t>040502</t>
        </is>
      </c>
      <c r="J322" t="inlineStr">
        <is>
          <t>ТСЭМ Московской обл., 040502, приказ Минстроя России №675/пр от 28.02.2017 № 264/пр</t>
        </is>
      </c>
      <c r="K322" t="inlineStr">
        <is>
          <t>Установки для сварки ручной дуговой (постоянного тока)</t>
        </is>
      </c>
      <c r="L322" t="n">
        <v>1368</v>
      </c>
      <c r="N322" t="n">
        <v>1011</v>
      </c>
      <c r="O322" t="inlineStr">
        <is>
          <t>маш.-ч</t>
        </is>
      </c>
      <c r="P322" t="inlineStr">
        <is>
          <t>маш.-ч</t>
        </is>
      </c>
      <c r="Q322" t="n">
        <v>1</v>
      </c>
      <c r="X322" t="n">
        <v>0.13</v>
      </c>
      <c r="Y322" t="n">
        <v>0</v>
      </c>
      <c r="Z322" t="n">
        <v>8.1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>
        <is>
          <t>)*0,2</t>
        </is>
      </c>
      <c r="AG322" t="n">
        <v>0.026</v>
      </c>
      <c r="AH322" t="n">
        <v>2</v>
      </c>
      <c r="AI322" t="n">
        <v>78871072</v>
      </c>
      <c r="AJ322" t="n">
        <v>355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ROW(Source!A665)</f>
        <v/>
      </c>
      <c r="B323" t="n">
        <v>78871092</v>
      </c>
      <c r="C323" t="n">
        <v>78871068</v>
      </c>
      <c r="D323" t="n">
        <v>29174500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330206</t>
        </is>
      </c>
      <c r="J323" t="inlineStr">
        <is>
          <t>ТСЭМ Московской обл., 330206, приказ Минстроя России №675/пр от 28.02.2017 № 264/пр</t>
        </is>
      </c>
      <c r="K323" t="inlineStr">
        <is>
          <t>Дрели электрические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X323" t="n">
        <v>0.04</v>
      </c>
      <c r="Y323" t="n">
        <v>0</v>
      </c>
      <c r="Z323" t="n">
        <v>1.95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>
        <is>
          <t>)*0,2</t>
        </is>
      </c>
      <c r="AG323" t="n">
        <v>0.008</v>
      </c>
      <c r="AH323" t="n">
        <v>2</v>
      </c>
      <c r="AI323" t="n">
        <v>78871073</v>
      </c>
      <c r="AJ323" t="n">
        <v>356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ROW(Source!A665)</f>
        <v/>
      </c>
      <c r="B324" t="n">
        <v>78871093</v>
      </c>
      <c r="C324" t="n">
        <v>78871068</v>
      </c>
      <c r="D324" t="n">
        <v>29174689</v>
      </c>
      <c r="E324" t="n">
        <v>1</v>
      </c>
      <c r="F324" t="n">
        <v>1</v>
      </c>
      <c r="G324" t="n">
        <v>1</v>
      </c>
      <c r="H324" t="n">
        <v>2</v>
      </c>
      <c r="I324" t="inlineStr">
        <is>
          <t>350451</t>
        </is>
      </c>
      <c r="J324" t="inlineStr">
        <is>
          <t>ТСЭМ Московской обл., 350451, приказ Минстроя России №675/пр от 28.02.2017 № 264/пр</t>
        </is>
      </c>
      <c r="K324" t="inlineStr">
        <is>
          <t>Пресс гидравлический с электроприводом</t>
        </is>
      </c>
      <c r="L324" t="n">
        <v>1368</v>
      </c>
      <c r="N324" t="n">
        <v>1011</v>
      </c>
      <c r="O324" t="inlineStr">
        <is>
          <t>маш.-ч</t>
        </is>
      </c>
      <c r="P324" t="inlineStr">
        <is>
          <t>маш.-ч</t>
        </is>
      </c>
      <c r="Q324" t="n">
        <v>1</v>
      </c>
      <c r="X324" t="n">
        <v>0.2</v>
      </c>
      <c r="Y324" t="n">
        <v>0</v>
      </c>
      <c r="Z324" t="n">
        <v>1.11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>
        <is>
          <t>)*0,2</t>
        </is>
      </c>
      <c r="AG324" t="n">
        <v>0.04000000000000001</v>
      </c>
      <c r="AH324" t="n">
        <v>2</v>
      </c>
      <c r="AI324" t="n">
        <v>78871074</v>
      </c>
      <c r="AJ324" t="n">
        <v>357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ROW(Source!A665)</f>
        <v/>
      </c>
      <c r="B325" t="n">
        <v>78871094</v>
      </c>
      <c r="C325" t="n">
        <v>78871068</v>
      </c>
      <c r="D325" t="n">
        <v>29174913</v>
      </c>
      <c r="E325" t="n">
        <v>1</v>
      </c>
      <c r="F325" t="n">
        <v>1</v>
      </c>
      <c r="G325" t="n">
        <v>1</v>
      </c>
      <c r="H325" t="n">
        <v>2</v>
      </c>
      <c r="I325" t="inlineStr">
        <is>
          <t>400001</t>
        </is>
      </c>
      <c r="J325" t="inlineStr">
        <is>
          <t>ТСЭМ Московской обл., 400001, приказ Минстроя России №675/пр от 28.02.2017 № 264/пр</t>
        </is>
      </c>
      <c r="K325" t="inlineStr">
        <is>
          <t>Автомобили бортовые, грузоподъемность до 5 т</t>
        </is>
      </c>
      <c r="L325" t="n">
        <v>1368</v>
      </c>
      <c r="N325" t="n">
        <v>1011</v>
      </c>
      <c r="O325" t="inlineStr">
        <is>
          <t>маш.-ч</t>
        </is>
      </c>
      <c r="P325" t="inlineStr">
        <is>
          <t>маш.-ч</t>
        </is>
      </c>
      <c r="Q325" t="n">
        <v>1</v>
      </c>
      <c r="X325" t="n">
        <v>0.01</v>
      </c>
      <c r="Y325" t="n">
        <v>0</v>
      </c>
      <c r="Z325" t="n">
        <v>87.17</v>
      </c>
      <c r="AA325" t="n">
        <v>11.6</v>
      </c>
      <c r="AB325" t="n">
        <v>0</v>
      </c>
      <c r="AC325" t="n">
        <v>0</v>
      </c>
      <c r="AD325" t="n">
        <v>1</v>
      </c>
      <c r="AE325" t="n">
        <v>0</v>
      </c>
      <c r="AF325" t="inlineStr">
        <is>
          <t>)*0,2</t>
        </is>
      </c>
      <c r="AG325" t="n">
        <v>0.002</v>
      </c>
      <c r="AH325" t="n">
        <v>2</v>
      </c>
      <c r="AI325" t="n">
        <v>78871075</v>
      </c>
      <c r="AJ325" t="n">
        <v>358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ROW(Source!A665)</f>
        <v/>
      </c>
      <c r="B326" t="n">
        <v>78871095</v>
      </c>
      <c r="C326" t="n">
        <v>78871068</v>
      </c>
      <c r="D326" t="n">
        <v>29110546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101-1665</t>
        </is>
      </c>
      <c r="J326" t="inlineStr">
        <is>
          <t>ТССЦ Московской обл., 101-1665, приказ Минстроя России №675/пр от 28.02.2017 № 254/пр</t>
        </is>
      </c>
      <c r="K326" t="inlineStr">
        <is>
          <t>Лак электроизоляционный 318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X326" t="n">
        <v>0.014</v>
      </c>
      <c r="Y326" t="n">
        <v>35.63</v>
      </c>
      <c r="Z326" t="n">
        <v>0</v>
      </c>
      <c r="AA326" t="n">
        <v>0</v>
      </c>
      <c r="AB326" t="n">
        <v>0</v>
      </c>
      <c r="AC326" t="n">
        <v>0</v>
      </c>
      <c r="AD326" t="n">
        <v>1</v>
      </c>
      <c r="AE326" t="n">
        <v>0</v>
      </c>
      <c r="AF326" t="inlineStr">
        <is>
          <t>)*0,2</t>
        </is>
      </c>
      <c r="AG326" t="n">
        <v>0.0028</v>
      </c>
      <c r="AH326" t="n">
        <v>2</v>
      </c>
      <c r="AI326" t="n">
        <v>78871076</v>
      </c>
      <c r="AJ326" t="n">
        <v>359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ROW(Source!A665)</f>
        <v/>
      </c>
      <c r="B327" t="n">
        <v>78871096</v>
      </c>
      <c r="C327" t="n">
        <v>78871068</v>
      </c>
      <c r="D327" t="n">
        <v>29113980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101-1924</t>
        </is>
      </c>
      <c r="J327" t="inlineStr">
        <is>
          <t>ТССЦ Московской обл., 101-1924, приказ Минстроя России №675/пр от 28.02.2017 № 254/пр</t>
        </is>
      </c>
      <c r="K327" t="inlineStr">
        <is>
          <t>Электроды диаметром 4 мм Э42А</t>
        </is>
      </c>
      <c r="L327" t="n">
        <v>1346</v>
      </c>
      <c r="N327" t="n">
        <v>1009</v>
      </c>
      <c r="O327" t="inlineStr">
        <is>
          <t>кг</t>
        </is>
      </c>
      <c r="P327" t="inlineStr">
        <is>
          <t>кг</t>
        </is>
      </c>
      <c r="Q327" t="n">
        <v>1</v>
      </c>
      <c r="X327" t="n">
        <v>0.07000000000000001</v>
      </c>
      <c r="Y327" t="n">
        <v>14.31</v>
      </c>
      <c r="Z327" t="n">
        <v>0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>
        <is>
          <t>)*0,2</t>
        </is>
      </c>
      <c r="AG327" t="n">
        <v>0.014</v>
      </c>
      <c r="AH327" t="n">
        <v>2</v>
      </c>
      <c r="AI327" t="n">
        <v>78871077</v>
      </c>
      <c r="AJ327" t="n">
        <v>360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ROW(Source!A665)</f>
        <v/>
      </c>
      <c r="B328" t="n">
        <v>78871097</v>
      </c>
      <c r="C328" t="n">
        <v>78871068</v>
      </c>
      <c r="D328" t="n">
        <v>29108369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101-1964</t>
        </is>
      </c>
      <c r="J328" t="inlineStr">
        <is>
          <t>ТССЦ Московской обл., 101-1964, приказ Минстроя России №675/пр от 28.02.2017 № 254/пр</t>
        </is>
      </c>
      <c r="K328" t="inlineStr">
        <is>
          <t>Шпагат бумажный</t>
        </is>
      </c>
      <c r="L328" t="n">
        <v>1346</v>
      </c>
      <c r="N328" t="n">
        <v>1009</v>
      </c>
      <c r="O328" t="inlineStr">
        <is>
          <t>кг</t>
        </is>
      </c>
      <c r="P328" t="inlineStr">
        <is>
          <t>кг</t>
        </is>
      </c>
      <c r="Q328" t="n">
        <v>1</v>
      </c>
      <c r="X328" t="n">
        <v>0.004</v>
      </c>
      <c r="Y328" t="n">
        <v>18.9</v>
      </c>
      <c r="Z328" t="n">
        <v>0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>
        <is>
          <t>)*0,2</t>
        </is>
      </c>
      <c r="AG328" t="n">
        <v>0.0008</v>
      </c>
      <c r="AH328" t="n">
        <v>2</v>
      </c>
      <c r="AI328" t="n">
        <v>78871078</v>
      </c>
      <c r="AJ328" t="n">
        <v>361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ROW(Source!A665)</f>
        <v/>
      </c>
      <c r="B329" t="n">
        <v>78871098</v>
      </c>
      <c r="C329" t="n">
        <v>78871068</v>
      </c>
      <c r="D329" t="n">
        <v>29114246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101-1977</t>
        </is>
      </c>
      <c r="J329" t="inlineStr">
        <is>
          <t>ТССЦ Московской обл., 101-1977, приказ Минстроя России №675/пр от 28.02.2017 № 254/пр</t>
        </is>
      </c>
      <c r="K329" t="inlineStr">
        <is>
          <t>Болты с гайками и шайбами строительные</t>
        </is>
      </c>
      <c r="L329" t="n">
        <v>1346</v>
      </c>
      <c r="N329" t="n">
        <v>1009</v>
      </c>
      <c r="O329" t="inlineStr">
        <is>
          <t>кг</t>
        </is>
      </c>
      <c r="P329" t="inlineStr">
        <is>
          <t>кг</t>
        </is>
      </c>
      <c r="Q329" t="n">
        <v>1</v>
      </c>
      <c r="X329" t="n">
        <v>0.38</v>
      </c>
      <c r="Y329" t="n">
        <v>9.039999999999999</v>
      </c>
      <c r="Z329" t="n">
        <v>0</v>
      </c>
      <c r="AA329" t="n">
        <v>0</v>
      </c>
      <c r="AB329" t="n">
        <v>0</v>
      </c>
      <c r="AC329" t="n">
        <v>0</v>
      </c>
      <c r="AD329" t="n">
        <v>1</v>
      </c>
      <c r="AE329" t="n">
        <v>0</v>
      </c>
      <c r="AF329" t="inlineStr">
        <is>
          <t>)*0,2</t>
        </is>
      </c>
      <c r="AG329" t="n">
        <v>0.07600000000000001</v>
      </c>
      <c r="AH329" t="n">
        <v>2</v>
      </c>
      <c r="AI329" t="n">
        <v>78871079</v>
      </c>
      <c r="AJ329" t="n">
        <v>362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ROW(Source!A665)</f>
        <v/>
      </c>
      <c r="B330" t="n">
        <v>78871099</v>
      </c>
      <c r="C330" t="n">
        <v>78871068</v>
      </c>
      <c r="D330" t="n">
        <v>29110426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101-2143</t>
        </is>
      </c>
      <c r="J330" t="inlineStr">
        <is>
          <t>ТССЦ Московской обл., 101-2143, приказ Минстроя России №675/пр от 28.02.2017 № 254/пр</t>
        </is>
      </c>
      <c r="K330" t="inlineStr">
        <is>
          <t>Краска</t>
        </is>
      </c>
      <c r="L330" t="n">
        <v>1346</v>
      </c>
      <c r="N330" t="n">
        <v>1009</v>
      </c>
      <c r="O330" t="inlineStr">
        <is>
          <t>кг</t>
        </is>
      </c>
      <c r="P330" t="inlineStr">
        <is>
          <t>кг</t>
        </is>
      </c>
      <c r="Q330" t="n">
        <v>1</v>
      </c>
      <c r="X330" t="n">
        <v>0.047</v>
      </c>
      <c r="Y330" t="n">
        <v>28.67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>
        <is>
          <t>)*0,2</t>
        </is>
      </c>
      <c r="AG330" t="n">
        <v>0.0094</v>
      </c>
      <c r="AH330" t="n">
        <v>2</v>
      </c>
      <c r="AI330" t="n">
        <v>78871080</v>
      </c>
      <c r="AJ330" t="n">
        <v>363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ROW(Source!A665)</f>
        <v/>
      </c>
      <c r="B331" t="n">
        <v>78871100</v>
      </c>
      <c r="C331" t="n">
        <v>78871068</v>
      </c>
      <c r="D331" t="n">
        <v>29107961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101-2365</t>
        </is>
      </c>
      <c r="J331" t="inlineStr">
        <is>
          <t>ТССЦ Московской обл., 101-2365, приказ Минстроя России №675/пр от 28.02.2017 № 254/пр</t>
        </is>
      </c>
      <c r="K331" t="inlineStr">
        <is>
          <t>Нитки швейные</t>
        </is>
      </c>
      <c r="L331" t="n">
        <v>1346</v>
      </c>
      <c r="N331" t="n">
        <v>1009</v>
      </c>
      <c r="O331" t="inlineStr">
        <is>
          <t>кг</t>
        </is>
      </c>
      <c r="P331" t="inlineStr">
        <is>
          <t>кг</t>
        </is>
      </c>
      <c r="Q331" t="n">
        <v>1</v>
      </c>
      <c r="X331" t="n">
        <v>0.002</v>
      </c>
      <c r="Y331" t="n">
        <v>133.05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>
        <is>
          <t>)*0,2</t>
        </is>
      </c>
      <c r="AG331" t="n">
        <v>0.0004</v>
      </c>
      <c r="AH331" t="n">
        <v>2</v>
      </c>
      <c r="AI331" t="n">
        <v>78871081</v>
      </c>
      <c r="AJ331" t="n">
        <v>364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ROW(Source!A665)</f>
        <v/>
      </c>
      <c r="B332" t="n">
        <v>78871101</v>
      </c>
      <c r="C332" t="n">
        <v>78871068</v>
      </c>
      <c r="D332" t="n">
        <v>29110838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101-2499</t>
        </is>
      </c>
      <c r="J332" t="inlineStr">
        <is>
          <t>ТССЦ Московской обл., 101-2499, приказ Минстроя России №675/пр от 28.02.2017 № 254/пр</t>
        </is>
      </c>
      <c r="K332" t="inlineStr">
        <is>
          <t>Лента изоляционная прорезиненная односторонняя ширина 20 мм, толщина 0,25-0,35 мм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X332" t="n">
        <v>0.036</v>
      </c>
      <c r="Y332" t="n">
        <v>30.5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>
        <is>
          <t>)*0,2</t>
        </is>
      </c>
      <c r="AG332" t="n">
        <v>0.0072</v>
      </c>
      <c r="AH332" t="n">
        <v>2</v>
      </c>
      <c r="AI332" t="n">
        <v>78871082</v>
      </c>
      <c r="AJ332" t="n">
        <v>365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ROW(Source!A665)</f>
        <v/>
      </c>
      <c r="B333" t="n">
        <v>78871102</v>
      </c>
      <c r="C333" t="n">
        <v>78871068</v>
      </c>
      <c r="D333" t="n">
        <v>29114470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101-3914</t>
        </is>
      </c>
      <c r="J333" t="inlineStr">
        <is>
          <t>ТССЦ Московской обл., 101-3914, приказ Минстроя России №675/пр от 28.02.2017 № 254/пр</t>
        </is>
      </c>
      <c r="K333" t="inlineStr">
        <is>
          <t>Дюбели распорные полипропиленовые</t>
        </is>
      </c>
      <c r="L333" t="n">
        <v>1355</v>
      </c>
      <c r="N333" t="n">
        <v>1010</v>
      </c>
      <c r="O333" t="inlineStr">
        <is>
          <t>100 шт.</t>
        </is>
      </c>
      <c r="P333" t="inlineStr">
        <is>
          <t>100 шт.</t>
        </is>
      </c>
      <c r="Q333" t="n">
        <v>100</v>
      </c>
      <c r="X333" t="n">
        <v>0.014</v>
      </c>
      <c r="Y333" t="n">
        <v>86.23999999999999</v>
      </c>
      <c r="Z333" t="n">
        <v>0</v>
      </c>
      <c r="AA333" t="n">
        <v>0</v>
      </c>
      <c r="AB333" t="n">
        <v>0</v>
      </c>
      <c r="AC333" t="n">
        <v>0</v>
      </c>
      <c r="AD333" t="n">
        <v>1</v>
      </c>
      <c r="AE333" t="n">
        <v>0</v>
      </c>
      <c r="AF333" t="inlineStr">
        <is>
          <t>)*0,2</t>
        </is>
      </c>
      <c r="AG333" t="n">
        <v>0.0028</v>
      </c>
      <c r="AH333" t="n">
        <v>2</v>
      </c>
      <c r="AI333" t="n">
        <v>78871083</v>
      </c>
      <c r="AJ333" t="n">
        <v>366</v>
      </c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ROW(Source!A665)</f>
        <v/>
      </c>
      <c r="B334" t="n">
        <v>78871103</v>
      </c>
      <c r="C334" t="n">
        <v>78871068</v>
      </c>
      <c r="D334" t="n">
        <v>29129474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201-0843</t>
        </is>
      </c>
      <c r="J334" t="inlineStr">
        <is>
          <t>ТССЦ Московской обл., 201-0843, приказ Минстроя России №675/пр от 28.02.2017 № 255/пр</t>
        </is>
      </c>
      <c r="K334" t="inlineStr">
        <is>
          <t>Конструкции стальные индивидуальные решетчатые сварные массой до 0,1 т</t>
        </is>
      </c>
      <c r="L334" t="n">
        <v>1348</v>
      </c>
      <c r="N334" t="n">
        <v>1009</v>
      </c>
      <c r="O334" t="inlineStr">
        <is>
          <t>т</t>
        </is>
      </c>
      <c r="P334" t="inlineStr">
        <is>
          <t>т</t>
        </is>
      </c>
      <c r="Q334" t="n">
        <v>1000</v>
      </c>
      <c r="X334" t="n">
        <v>0.002</v>
      </c>
      <c r="Y334" t="n">
        <v>11534.49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>
        <is>
          <t>)*0,2</t>
        </is>
      </c>
      <c r="AG334" t="n">
        <v>0.0004</v>
      </c>
      <c r="AH334" t="n">
        <v>2</v>
      </c>
      <c r="AI334" t="n">
        <v>78871084</v>
      </c>
      <c r="AJ334" t="n">
        <v>367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ROW(Source!A665)</f>
        <v/>
      </c>
      <c r="B335" t="n">
        <v>78871104</v>
      </c>
      <c r="C335" t="n">
        <v>78871068</v>
      </c>
      <c r="D335" t="n">
        <v>29165774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509-0090</t>
        </is>
      </c>
      <c r="J335" t="inlineStr">
        <is>
          <t>ТССЦ Московской обл., 509-0090, приказ Минстроя России №675/пр от 28.02.2017 № 258/пр</t>
        </is>
      </c>
      <c r="K335" t="inlineStr">
        <is>
          <t>Перемычки гибкие, тип ПГС-50</t>
        </is>
      </c>
      <c r="L335" t="n">
        <v>1358</v>
      </c>
      <c r="N335" t="n">
        <v>1010</v>
      </c>
      <c r="O335" t="inlineStr">
        <is>
          <t>10 шт.</t>
        </is>
      </c>
      <c r="P335" t="inlineStr">
        <is>
          <t>10 шт.</t>
        </is>
      </c>
      <c r="Q335" t="n">
        <v>10</v>
      </c>
      <c r="X335" t="n">
        <v>0.1</v>
      </c>
      <c r="Y335" t="n">
        <v>40.9</v>
      </c>
      <c r="Z335" t="n">
        <v>0</v>
      </c>
      <c r="AA335" t="n">
        <v>0</v>
      </c>
      <c r="AB335" t="n">
        <v>0</v>
      </c>
      <c r="AC335" t="n">
        <v>0</v>
      </c>
      <c r="AD335" t="n">
        <v>1</v>
      </c>
      <c r="AE335" t="n">
        <v>0</v>
      </c>
      <c r="AF335" t="inlineStr">
        <is>
          <t>)*0,2</t>
        </is>
      </c>
      <c r="AG335" t="n">
        <v>0.02</v>
      </c>
      <c r="AH335" t="n">
        <v>2</v>
      </c>
      <c r="AI335" t="n">
        <v>78871085</v>
      </c>
      <c r="AJ335" t="n">
        <v>368</v>
      </c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ROW(Source!A665)</f>
        <v/>
      </c>
      <c r="B336" t="n">
        <v>78871105</v>
      </c>
      <c r="C336" t="n">
        <v>78871068</v>
      </c>
      <c r="D336" t="n">
        <v>29171708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509-1210</t>
        </is>
      </c>
      <c r="J336" t="inlineStr">
        <is>
          <t>ТССЦ Московской обл., 509-1210, приказ Минстроя России №675/пр от 28.02.2017 № 258/пр</t>
        </is>
      </c>
      <c r="K336" t="inlineStr">
        <is>
          <t>Вазелин технический</t>
        </is>
      </c>
      <c r="L336" t="n">
        <v>1346</v>
      </c>
      <c r="N336" t="n">
        <v>1009</v>
      </c>
      <c r="O336" t="inlineStr">
        <is>
          <t>кг</t>
        </is>
      </c>
      <c r="P336" t="inlineStr">
        <is>
          <t>кг</t>
        </is>
      </c>
      <c r="Q336" t="n">
        <v>1</v>
      </c>
      <c r="X336" t="n">
        <v>0.008999999999999999</v>
      </c>
      <c r="Y336" t="n">
        <v>30.6</v>
      </c>
      <c r="Z336" t="n">
        <v>0</v>
      </c>
      <c r="AA336" t="n">
        <v>0</v>
      </c>
      <c r="AB336" t="n">
        <v>0</v>
      </c>
      <c r="AC336" t="n">
        <v>0</v>
      </c>
      <c r="AD336" t="n">
        <v>1</v>
      </c>
      <c r="AE336" t="n">
        <v>0</v>
      </c>
      <c r="AF336" t="inlineStr">
        <is>
          <t>)*0,2</t>
        </is>
      </c>
      <c r="AG336" t="n">
        <v>0.0018</v>
      </c>
      <c r="AH336" t="n">
        <v>2</v>
      </c>
      <c r="AI336" t="n">
        <v>78871086</v>
      </c>
      <c r="AJ336" t="n">
        <v>369</v>
      </c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ROW(Source!A665)</f>
        <v/>
      </c>
      <c r="B337" t="n">
        <v>78871106</v>
      </c>
      <c r="C337" t="n">
        <v>78871068</v>
      </c>
      <c r="D337" t="n">
        <v>29171808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999-9950</t>
        </is>
      </c>
      <c r="J337" t="inlineStr">
        <is>
          <t>ТССЦ Московской обл., 999-9950, приказ Минстроя России №675/пр от 21.09.2015 г.</t>
        </is>
      </c>
      <c r="K337" t="inlineStr">
        <is>
          <t>Вспомогательные ненормируемые материалы (2% от ОЗП)</t>
        </is>
      </c>
      <c r="L337" t="n">
        <v>1374</v>
      </c>
      <c r="N337" t="n">
        <v>1013</v>
      </c>
      <c r="O337" t="inlineStr">
        <is>
          <t>РУБ</t>
        </is>
      </c>
      <c r="P337" t="inlineStr">
        <is>
          <t>РУБ</t>
        </is>
      </c>
      <c r="Q337" t="n">
        <v>1</v>
      </c>
      <c r="X337" t="n">
        <v>0.44</v>
      </c>
      <c r="Y337" t="n">
        <v>1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>
        <is>
          <t>)*0,2</t>
        </is>
      </c>
      <c r="AG337" t="n">
        <v>0.08800000000000001</v>
      </c>
      <c r="AH337" t="n">
        <v>2</v>
      </c>
      <c r="AI337" t="n">
        <v>78871087</v>
      </c>
      <c r="AJ337" t="n">
        <v>370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ROW(Source!A666)</f>
        <v/>
      </c>
      <c r="B338" t="n">
        <v>78871128</v>
      </c>
      <c r="C338" t="n">
        <v>78871107</v>
      </c>
      <c r="D338" t="n">
        <v>29361307</v>
      </c>
      <c r="E338" t="n">
        <v>1</v>
      </c>
      <c r="F338" t="n">
        <v>1</v>
      </c>
      <c r="G338" t="n">
        <v>1</v>
      </c>
      <c r="H338" t="n">
        <v>1</v>
      </c>
      <c r="I338" t="inlineStr">
        <is>
          <t>1-2039-90</t>
        </is>
      </c>
      <c r="J338" t="inlineStr"/>
      <c r="K338" t="inlineStr">
        <is>
          <t>Рабочий монтажник среднего разряда 3,9</t>
        </is>
      </c>
      <c r="L338" t="n">
        <v>1369</v>
      </c>
      <c r="N338" t="n">
        <v>1013</v>
      </c>
      <c r="O338" t="inlineStr">
        <is>
          <t>чел.-ч</t>
        </is>
      </c>
      <c r="P338" t="inlineStr">
        <is>
          <t>чел.-ч</t>
        </is>
      </c>
      <c r="Q338" t="n">
        <v>1</v>
      </c>
      <c r="X338" t="n">
        <v>2.32</v>
      </c>
      <c r="Y338" t="n">
        <v>0</v>
      </c>
      <c r="Z338" t="n">
        <v>0</v>
      </c>
      <c r="AA338" t="n">
        <v>0</v>
      </c>
      <c r="AB338" t="n">
        <v>9.51</v>
      </c>
      <c r="AC338" t="n">
        <v>0</v>
      </c>
      <c r="AD338" t="n">
        <v>1</v>
      </c>
      <c r="AE338" t="n">
        <v>1</v>
      </c>
      <c r="AF338" t="inlineStr"/>
      <c r="AG338" t="n">
        <v>2.32</v>
      </c>
      <c r="AH338" t="n">
        <v>2</v>
      </c>
      <c r="AI338" t="n">
        <v>78871108</v>
      </c>
      <c r="AJ338" t="n">
        <v>371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ROW(Source!A666)</f>
        <v/>
      </c>
      <c r="B339" t="n">
        <v>78871129</v>
      </c>
      <c r="C339" t="n">
        <v>78871107</v>
      </c>
      <c r="D339" t="n">
        <v>121548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2</t>
        </is>
      </c>
      <c r="J339" t="inlineStr"/>
      <c r="K339" t="inlineStr">
        <is>
          <t>Затраты труда машинистов</t>
        </is>
      </c>
      <c r="L339" t="n">
        <v>608254</v>
      </c>
      <c r="N339" t="n">
        <v>1013</v>
      </c>
      <c r="O339" t="inlineStr">
        <is>
          <t>чел.час</t>
        </is>
      </c>
      <c r="P339" t="inlineStr">
        <is>
          <t>чел.час</t>
        </is>
      </c>
      <c r="Q339" t="n">
        <v>1</v>
      </c>
      <c r="X339" t="n">
        <v>0.01</v>
      </c>
      <c r="Y339" t="n">
        <v>0</v>
      </c>
      <c r="Z339" t="n">
        <v>0</v>
      </c>
      <c r="AA339" t="n">
        <v>0</v>
      </c>
      <c r="AB339" t="n">
        <v>0</v>
      </c>
      <c r="AC339" t="n">
        <v>0</v>
      </c>
      <c r="AD339" t="n">
        <v>1</v>
      </c>
      <c r="AE339" t="n">
        <v>2</v>
      </c>
      <c r="AF339" t="inlineStr"/>
      <c r="AG339" t="n">
        <v>0.01</v>
      </c>
      <c r="AH339" t="n">
        <v>2</v>
      </c>
      <c r="AI339" t="n">
        <v>78871109</v>
      </c>
      <c r="AJ339" t="n">
        <v>372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ROW(Source!A666)</f>
        <v/>
      </c>
      <c r="B340" t="n">
        <v>78871130</v>
      </c>
      <c r="C340" t="n">
        <v>78871107</v>
      </c>
      <c r="D340" t="n">
        <v>29172362</v>
      </c>
      <c r="E340" t="n">
        <v>1</v>
      </c>
      <c r="F340" t="n">
        <v>1</v>
      </c>
      <c r="G340" t="n">
        <v>1</v>
      </c>
      <c r="H340" t="n">
        <v>2</v>
      </c>
      <c r="I340" t="inlineStr">
        <is>
          <t>021102</t>
        </is>
      </c>
      <c r="J340" t="inlineStr">
        <is>
          <t>ТСЭМ Московской обл., 021102, приказ Минстроя России №675/пр от 28.02.2017 № 264/пр</t>
        </is>
      </c>
      <c r="K340" t="inlineStr">
        <is>
          <t>Краны на автомобильном ходу при работе на монтаже технологического оборудования 10 т</t>
        </is>
      </c>
      <c r="L340" t="n">
        <v>1368</v>
      </c>
      <c r="N340" t="n">
        <v>1011</v>
      </c>
      <c r="O340" t="inlineStr">
        <is>
          <t>маш.-ч</t>
        </is>
      </c>
      <c r="P340" t="inlineStr">
        <is>
          <t>маш.-ч</t>
        </is>
      </c>
      <c r="Q340" t="n">
        <v>1</v>
      </c>
      <c r="X340" t="n">
        <v>0.01</v>
      </c>
      <c r="Y340" t="n">
        <v>0</v>
      </c>
      <c r="Z340" t="n">
        <v>134.65</v>
      </c>
      <c r="AA340" t="n">
        <v>13.5</v>
      </c>
      <c r="AB340" t="n">
        <v>0</v>
      </c>
      <c r="AC340" t="n">
        <v>0</v>
      </c>
      <c r="AD340" t="n">
        <v>1</v>
      </c>
      <c r="AE340" t="n">
        <v>0</v>
      </c>
      <c r="AF340" t="inlineStr"/>
      <c r="AG340" t="n">
        <v>0.01</v>
      </c>
      <c r="AH340" t="n">
        <v>2</v>
      </c>
      <c r="AI340" t="n">
        <v>78871110</v>
      </c>
      <c r="AJ340" t="n">
        <v>373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ROW(Source!A666)</f>
        <v/>
      </c>
      <c r="B341" t="n">
        <v>78871131</v>
      </c>
      <c r="C341" t="n">
        <v>78871107</v>
      </c>
      <c r="D341" t="n">
        <v>29172657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040502</t>
        </is>
      </c>
      <c r="J341" t="inlineStr">
        <is>
          <t>ТСЭМ Московской обл., 040502, приказ Минстроя России №675/пр от 28.02.2017 № 264/пр</t>
        </is>
      </c>
      <c r="K341" t="inlineStr">
        <is>
          <t>Установки для сварки ручной дуговой (постоянного тока)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0.13</v>
      </c>
      <c r="Y341" t="n">
        <v>0</v>
      </c>
      <c r="Z341" t="n">
        <v>8.1</v>
      </c>
      <c r="AA341" t="n">
        <v>0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0.13</v>
      </c>
      <c r="AH341" t="n">
        <v>2</v>
      </c>
      <c r="AI341" t="n">
        <v>78871111</v>
      </c>
      <c r="AJ341" t="n">
        <v>374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ROW(Source!A666)</f>
        <v/>
      </c>
      <c r="B342" t="n">
        <v>78871132</v>
      </c>
      <c r="C342" t="n">
        <v>78871107</v>
      </c>
      <c r="D342" t="n">
        <v>29174500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330206</t>
        </is>
      </c>
      <c r="J342" t="inlineStr">
        <is>
          <t>ТСЭМ Московской обл., 330206, приказ Минстроя России №675/пр от 28.02.2017 № 264/пр</t>
        </is>
      </c>
      <c r="K342" t="inlineStr">
        <is>
          <t>Дрели электрические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0.04</v>
      </c>
      <c r="Y342" t="n">
        <v>0</v>
      </c>
      <c r="Z342" t="n">
        <v>1.95</v>
      </c>
      <c r="AA342" t="n">
        <v>0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0.04</v>
      </c>
      <c r="AH342" t="n">
        <v>2</v>
      </c>
      <c r="AI342" t="n">
        <v>78871112</v>
      </c>
      <c r="AJ342" t="n">
        <v>375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ROW(Source!A666)</f>
        <v/>
      </c>
      <c r="B343" t="n">
        <v>78871133</v>
      </c>
      <c r="C343" t="n">
        <v>78871107</v>
      </c>
      <c r="D343" t="n">
        <v>29174689</v>
      </c>
      <c r="E343" t="n">
        <v>1</v>
      </c>
      <c r="F343" t="n">
        <v>1</v>
      </c>
      <c r="G343" t="n">
        <v>1</v>
      </c>
      <c r="H343" t="n">
        <v>2</v>
      </c>
      <c r="I343" t="inlineStr">
        <is>
          <t>350451</t>
        </is>
      </c>
      <c r="J343" t="inlineStr">
        <is>
          <t>ТСЭМ Московской обл., 350451, приказ Минстроя России №675/пр от 28.02.2017 № 264/пр</t>
        </is>
      </c>
      <c r="K343" t="inlineStr">
        <is>
          <t>Пресс гидравлический с электроприводом</t>
        </is>
      </c>
      <c r="L343" t="n">
        <v>1368</v>
      </c>
      <c r="N343" t="n">
        <v>1011</v>
      </c>
      <c r="O343" t="inlineStr">
        <is>
          <t>маш.-ч</t>
        </is>
      </c>
      <c r="P343" t="inlineStr">
        <is>
          <t>маш.-ч</t>
        </is>
      </c>
      <c r="Q343" t="n">
        <v>1</v>
      </c>
      <c r="X343" t="n">
        <v>0.2</v>
      </c>
      <c r="Y343" t="n">
        <v>0</v>
      </c>
      <c r="Z343" t="n">
        <v>1.11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0.2</v>
      </c>
      <c r="AH343" t="n">
        <v>2</v>
      </c>
      <c r="AI343" t="n">
        <v>78871113</v>
      </c>
      <c r="AJ343" t="n">
        <v>376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ROW(Source!A666)</f>
        <v/>
      </c>
      <c r="B344" t="n">
        <v>78871134</v>
      </c>
      <c r="C344" t="n">
        <v>78871107</v>
      </c>
      <c r="D344" t="n">
        <v>29174913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400001</t>
        </is>
      </c>
      <c r="J344" t="inlineStr">
        <is>
          <t>ТСЭМ Московской обл., 400001, приказ Минстроя России №675/пр от 28.02.2017 № 264/пр</t>
        </is>
      </c>
      <c r="K344" t="inlineStr">
        <is>
          <t>Автомобили бортовые, грузоподъемность до 5 т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X344" t="n">
        <v>0.01</v>
      </c>
      <c r="Y344" t="n">
        <v>0</v>
      </c>
      <c r="Z344" t="n">
        <v>87.17</v>
      </c>
      <c r="AA344" t="n">
        <v>11.6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0.01</v>
      </c>
      <c r="AH344" t="n">
        <v>2</v>
      </c>
      <c r="AI344" t="n">
        <v>78871114</v>
      </c>
      <c r="AJ344" t="n">
        <v>377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ROW(Source!A666)</f>
        <v/>
      </c>
      <c r="B345" t="n">
        <v>78871135</v>
      </c>
      <c r="C345" t="n">
        <v>78871107</v>
      </c>
      <c r="D345" t="n">
        <v>29110546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101-1665</t>
        </is>
      </c>
      <c r="J345" t="inlineStr">
        <is>
          <t>ТССЦ Московской обл., 101-1665, приказ Минстроя России №675/пр от 28.02.2017 № 254/пр</t>
        </is>
      </c>
      <c r="K345" t="inlineStr">
        <is>
          <t>Лак электроизоляционный 318</t>
        </is>
      </c>
      <c r="L345" t="n">
        <v>1346</v>
      </c>
      <c r="N345" t="n">
        <v>1009</v>
      </c>
      <c r="O345" t="inlineStr">
        <is>
          <t>кг</t>
        </is>
      </c>
      <c r="P345" t="inlineStr">
        <is>
          <t>кг</t>
        </is>
      </c>
      <c r="Q345" t="n">
        <v>1</v>
      </c>
      <c r="X345" t="n">
        <v>0.014</v>
      </c>
      <c r="Y345" t="n">
        <v>35.63</v>
      </c>
      <c r="Z345" t="n">
        <v>0</v>
      </c>
      <c r="AA345" t="n">
        <v>0</v>
      </c>
      <c r="AB345" t="n">
        <v>0</v>
      </c>
      <c r="AC345" t="n">
        <v>0</v>
      </c>
      <c r="AD345" t="n">
        <v>1</v>
      </c>
      <c r="AE345" t="n">
        <v>0</v>
      </c>
      <c r="AF345" t="inlineStr"/>
      <c r="AG345" t="n">
        <v>0.014</v>
      </c>
      <c r="AH345" t="n">
        <v>2</v>
      </c>
      <c r="AI345" t="n">
        <v>78871115</v>
      </c>
      <c r="AJ345" t="n">
        <v>378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ROW(Source!A666)</f>
        <v/>
      </c>
      <c r="B346" t="n">
        <v>78871136</v>
      </c>
      <c r="C346" t="n">
        <v>78871107</v>
      </c>
      <c r="D346" t="n">
        <v>29113980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101-1924</t>
        </is>
      </c>
      <c r="J346" t="inlineStr">
        <is>
          <t>ТССЦ Московской обл., 101-1924, приказ Минстроя России №675/пр от 28.02.2017 № 254/пр</t>
        </is>
      </c>
      <c r="K346" t="inlineStr">
        <is>
          <t>Электроды диаметром 4 мм Э42А</t>
        </is>
      </c>
      <c r="L346" t="n">
        <v>1346</v>
      </c>
      <c r="N346" t="n">
        <v>1009</v>
      </c>
      <c r="O346" t="inlineStr">
        <is>
          <t>кг</t>
        </is>
      </c>
      <c r="P346" t="inlineStr">
        <is>
          <t>кг</t>
        </is>
      </c>
      <c r="Q346" t="n">
        <v>1</v>
      </c>
      <c r="X346" t="n">
        <v>0.07000000000000001</v>
      </c>
      <c r="Y346" t="n">
        <v>14.31</v>
      </c>
      <c r="Z346" t="n">
        <v>0</v>
      </c>
      <c r="AA346" t="n">
        <v>0</v>
      </c>
      <c r="AB346" t="n">
        <v>0</v>
      </c>
      <c r="AC346" t="n">
        <v>0</v>
      </c>
      <c r="AD346" t="n">
        <v>1</v>
      </c>
      <c r="AE346" t="n">
        <v>0</v>
      </c>
      <c r="AF346" t="inlineStr"/>
      <c r="AG346" t="n">
        <v>0.07000000000000001</v>
      </c>
      <c r="AH346" t="n">
        <v>2</v>
      </c>
      <c r="AI346" t="n">
        <v>78871116</v>
      </c>
      <c r="AJ346" t="n">
        <v>379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ROW(Source!A666)</f>
        <v/>
      </c>
      <c r="B347" t="n">
        <v>78871137</v>
      </c>
      <c r="C347" t="n">
        <v>78871107</v>
      </c>
      <c r="D347" t="n">
        <v>29108369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101-1964</t>
        </is>
      </c>
      <c r="J347" t="inlineStr">
        <is>
          <t>ТССЦ Московской обл., 101-1964, приказ Минстроя России №675/пр от 28.02.2017 № 254/пр</t>
        </is>
      </c>
      <c r="K347" t="inlineStr">
        <is>
          <t>Шпагат бумажный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X347" t="n">
        <v>0.004</v>
      </c>
      <c r="Y347" t="n">
        <v>18.9</v>
      </c>
      <c r="Z347" t="n">
        <v>0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0.004</v>
      </c>
      <c r="AH347" t="n">
        <v>2</v>
      </c>
      <c r="AI347" t="n">
        <v>78871117</v>
      </c>
      <c r="AJ347" t="n">
        <v>380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ROW(Source!A666)</f>
        <v/>
      </c>
      <c r="B348" t="n">
        <v>78871138</v>
      </c>
      <c r="C348" t="n">
        <v>78871107</v>
      </c>
      <c r="D348" t="n">
        <v>29114246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101-1977</t>
        </is>
      </c>
      <c r="J348" t="inlineStr">
        <is>
          <t>ТССЦ Московской обл., 101-1977, приказ Минстроя России №675/пр от 28.02.2017 № 254/пр</t>
        </is>
      </c>
      <c r="K348" t="inlineStr">
        <is>
          <t>Болты с гайками и шайбами строительные</t>
        </is>
      </c>
      <c r="L348" t="n">
        <v>1346</v>
      </c>
      <c r="N348" t="n">
        <v>1009</v>
      </c>
      <c r="O348" t="inlineStr">
        <is>
          <t>кг</t>
        </is>
      </c>
      <c r="P348" t="inlineStr">
        <is>
          <t>кг</t>
        </is>
      </c>
      <c r="Q348" t="n">
        <v>1</v>
      </c>
      <c r="X348" t="n">
        <v>0.38</v>
      </c>
      <c r="Y348" t="n">
        <v>9.039999999999999</v>
      </c>
      <c r="Z348" t="n">
        <v>0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0.38</v>
      </c>
      <c r="AH348" t="n">
        <v>2</v>
      </c>
      <c r="AI348" t="n">
        <v>78871118</v>
      </c>
      <c r="AJ348" t="n">
        <v>381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ROW(Source!A666)</f>
        <v/>
      </c>
      <c r="B349" t="n">
        <v>78871139</v>
      </c>
      <c r="C349" t="n">
        <v>78871107</v>
      </c>
      <c r="D349" t="n">
        <v>29110426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101-2143</t>
        </is>
      </c>
      <c r="J349" t="inlineStr">
        <is>
          <t>ТССЦ Московской обл., 101-2143, приказ Минстроя России №675/пр от 28.02.2017 № 254/пр</t>
        </is>
      </c>
      <c r="K349" t="inlineStr">
        <is>
          <t>Краска</t>
        </is>
      </c>
      <c r="L349" t="n">
        <v>1346</v>
      </c>
      <c r="N349" t="n">
        <v>1009</v>
      </c>
      <c r="O349" t="inlineStr">
        <is>
          <t>кг</t>
        </is>
      </c>
      <c r="P349" t="inlineStr">
        <is>
          <t>кг</t>
        </is>
      </c>
      <c r="Q349" t="n">
        <v>1</v>
      </c>
      <c r="X349" t="n">
        <v>0.047</v>
      </c>
      <c r="Y349" t="n">
        <v>28.67</v>
      </c>
      <c r="Z349" t="n">
        <v>0</v>
      </c>
      <c r="AA349" t="n">
        <v>0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0.047</v>
      </c>
      <c r="AH349" t="n">
        <v>2</v>
      </c>
      <c r="AI349" t="n">
        <v>78871119</v>
      </c>
      <c r="AJ349" t="n">
        <v>382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ROW(Source!A666)</f>
        <v/>
      </c>
      <c r="B350" t="n">
        <v>78871140</v>
      </c>
      <c r="C350" t="n">
        <v>78871107</v>
      </c>
      <c r="D350" t="n">
        <v>29107961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101-2365</t>
        </is>
      </c>
      <c r="J350" t="inlineStr">
        <is>
          <t>ТССЦ Московской обл., 101-2365, приказ Минстроя России №675/пр от 28.02.2017 № 254/пр</t>
        </is>
      </c>
      <c r="K350" t="inlineStr">
        <is>
          <t>Нитки швейные</t>
        </is>
      </c>
      <c r="L350" t="n">
        <v>1346</v>
      </c>
      <c r="N350" t="n">
        <v>1009</v>
      </c>
      <c r="O350" t="inlineStr">
        <is>
          <t>кг</t>
        </is>
      </c>
      <c r="P350" t="inlineStr">
        <is>
          <t>кг</t>
        </is>
      </c>
      <c r="Q350" t="n">
        <v>1</v>
      </c>
      <c r="X350" t="n">
        <v>0.002</v>
      </c>
      <c r="Y350" t="n">
        <v>133.05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0.002</v>
      </c>
      <c r="AH350" t="n">
        <v>2</v>
      </c>
      <c r="AI350" t="n">
        <v>78871120</v>
      </c>
      <c r="AJ350" t="n">
        <v>383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ROW(Source!A666)</f>
        <v/>
      </c>
      <c r="B351" t="n">
        <v>78871141</v>
      </c>
      <c r="C351" t="n">
        <v>78871107</v>
      </c>
      <c r="D351" t="n">
        <v>29110838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101-2499</t>
        </is>
      </c>
      <c r="J351" t="inlineStr">
        <is>
          <t>ТССЦ Московской обл., 101-2499, приказ Минстроя России №675/пр от 28.02.2017 № 254/пр</t>
        </is>
      </c>
      <c r="K351" t="inlineStr">
        <is>
          <t>Лента изоляционная прорезиненная односторонняя ширина 20 мм, толщина 0,25-0,35 мм</t>
        </is>
      </c>
      <c r="L351" t="n">
        <v>1346</v>
      </c>
      <c r="N351" t="n">
        <v>1009</v>
      </c>
      <c r="O351" t="inlineStr">
        <is>
          <t>кг</t>
        </is>
      </c>
      <c r="P351" t="inlineStr">
        <is>
          <t>кг</t>
        </is>
      </c>
      <c r="Q351" t="n">
        <v>1</v>
      </c>
      <c r="X351" t="n">
        <v>0.036</v>
      </c>
      <c r="Y351" t="n">
        <v>30.5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0.036</v>
      </c>
      <c r="AH351" t="n">
        <v>2</v>
      </c>
      <c r="AI351" t="n">
        <v>78871121</v>
      </c>
      <c r="AJ351" t="n">
        <v>384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ROW(Source!A666)</f>
        <v/>
      </c>
      <c r="B352" t="n">
        <v>78871142</v>
      </c>
      <c r="C352" t="n">
        <v>78871107</v>
      </c>
      <c r="D352" t="n">
        <v>29114470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101-3914</t>
        </is>
      </c>
      <c r="J352" t="inlineStr">
        <is>
          <t>ТССЦ Московской обл., 101-3914, приказ Минстроя России №675/пр от 28.02.2017 № 254/пр</t>
        </is>
      </c>
      <c r="K352" t="inlineStr">
        <is>
          <t>Дюбели распорные полипропиленовые</t>
        </is>
      </c>
      <c r="L352" t="n">
        <v>1355</v>
      </c>
      <c r="N352" t="n">
        <v>1010</v>
      </c>
      <c r="O352" t="inlineStr">
        <is>
          <t>100 шт.</t>
        </is>
      </c>
      <c r="P352" t="inlineStr">
        <is>
          <t>100 шт.</t>
        </is>
      </c>
      <c r="Q352" t="n">
        <v>100</v>
      </c>
      <c r="X352" t="n">
        <v>0.014</v>
      </c>
      <c r="Y352" t="n">
        <v>86.23999999999999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0.014</v>
      </c>
      <c r="AH352" t="n">
        <v>2</v>
      </c>
      <c r="AI352" t="n">
        <v>78871122</v>
      </c>
      <c r="AJ352" t="n">
        <v>385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ROW(Source!A666)</f>
        <v/>
      </c>
      <c r="B353" t="n">
        <v>78871143</v>
      </c>
      <c r="C353" t="n">
        <v>78871107</v>
      </c>
      <c r="D353" t="n">
        <v>29129474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201-0843</t>
        </is>
      </c>
      <c r="J353" t="inlineStr">
        <is>
          <t>ТССЦ Московской обл., 201-0843, приказ Минстроя России №675/пр от 28.02.2017 № 255/пр</t>
        </is>
      </c>
      <c r="K353" t="inlineStr">
        <is>
          <t>Конструкции стальные индивидуальные решетчатые сварные массой до 0,1 т</t>
        </is>
      </c>
      <c r="L353" t="n">
        <v>1348</v>
      </c>
      <c r="N353" t="n">
        <v>1009</v>
      </c>
      <c r="O353" t="inlineStr">
        <is>
          <t>т</t>
        </is>
      </c>
      <c r="P353" t="inlineStr">
        <is>
          <t>т</t>
        </is>
      </c>
      <c r="Q353" t="n">
        <v>1000</v>
      </c>
      <c r="X353" t="n">
        <v>0.002</v>
      </c>
      <c r="Y353" t="n">
        <v>11534.49</v>
      </c>
      <c r="Z353" t="n">
        <v>0</v>
      </c>
      <c r="AA353" t="n">
        <v>0</v>
      </c>
      <c r="AB353" t="n">
        <v>0</v>
      </c>
      <c r="AC353" t="n">
        <v>0</v>
      </c>
      <c r="AD353" t="n">
        <v>1</v>
      </c>
      <c r="AE353" t="n">
        <v>0</v>
      </c>
      <c r="AF353" t="inlineStr"/>
      <c r="AG353" t="n">
        <v>0.002</v>
      </c>
      <c r="AH353" t="n">
        <v>2</v>
      </c>
      <c r="AI353" t="n">
        <v>78871123</v>
      </c>
      <c r="AJ353" t="n">
        <v>386</v>
      </c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ROW(Source!A666)</f>
        <v/>
      </c>
      <c r="B354" t="n">
        <v>78871144</v>
      </c>
      <c r="C354" t="n">
        <v>78871107</v>
      </c>
      <c r="D354" t="n">
        <v>29165774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509-0090</t>
        </is>
      </c>
      <c r="J354" t="inlineStr">
        <is>
          <t>ТССЦ Московской обл., 509-0090, приказ Минстроя России №675/пр от 28.02.2017 № 258/пр</t>
        </is>
      </c>
      <c r="K354" t="inlineStr">
        <is>
          <t>Перемычки гибкие, тип ПГС-50</t>
        </is>
      </c>
      <c r="L354" t="n">
        <v>1358</v>
      </c>
      <c r="N354" t="n">
        <v>1010</v>
      </c>
      <c r="O354" t="inlineStr">
        <is>
          <t>10 шт.</t>
        </is>
      </c>
      <c r="P354" t="inlineStr">
        <is>
          <t>10 шт.</t>
        </is>
      </c>
      <c r="Q354" t="n">
        <v>10</v>
      </c>
      <c r="X354" t="n">
        <v>0.1</v>
      </c>
      <c r="Y354" t="n">
        <v>40.9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0.1</v>
      </c>
      <c r="AH354" t="n">
        <v>2</v>
      </c>
      <c r="AI354" t="n">
        <v>78871124</v>
      </c>
      <c r="AJ354" t="n">
        <v>387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ROW(Source!A666)</f>
        <v/>
      </c>
      <c r="B355" t="n">
        <v>78871145</v>
      </c>
      <c r="C355" t="n">
        <v>78871107</v>
      </c>
      <c r="D355" t="n">
        <v>29171708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509-1210</t>
        </is>
      </c>
      <c r="J355" t="inlineStr">
        <is>
          <t>ТССЦ Московской обл., 509-1210, приказ Минстроя России №675/пр от 28.02.2017 № 258/пр</t>
        </is>
      </c>
      <c r="K355" t="inlineStr">
        <is>
          <t>Вазелин технический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0.008999999999999999</v>
      </c>
      <c r="Y355" t="n">
        <v>30.6</v>
      </c>
      <c r="Z355" t="n">
        <v>0</v>
      </c>
      <c r="AA355" t="n">
        <v>0</v>
      </c>
      <c r="AB355" t="n">
        <v>0</v>
      </c>
      <c r="AC355" t="n">
        <v>0</v>
      </c>
      <c r="AD355" t="n">
        <v>1</v>
      </c>
      <c r="AE355" t="n">
        <v>0</v>
      </c>
      <c r="AF355" t="inlineStr"/>
      <c r="AG355" t="n">
        <v>0.008999999999999999</v>
      </c>
      <c r="AH355" t="n">
        <v>2</v>
      </c>
      <c r="AI355" t="n">
        <v>78871125</v>
      </c>
      <c r="AJ355" t="n">
        <v>388</v>
      </c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ROW(Source!A666)</f>
        <v/>
      </c>
      <c r="B356" t="n">
        <v>78871146</v>
      </c>
      <c r="C356" t="n">
        <v>78871107</v>
      </c>
      <c r="D356" t="n">
        <v>29171808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999-9950</t>
        </is>
      </c>
      <c r="J356" t="inlineStr">
        <is>
          <t>ТССЦ Московской обл., 999-9950, приказ Минстроя России №675/пр от 21.09.2015 г.</t>
        </is>
      </c>
      <c r="K356" t="inlineStr">
        <is>
          <t>Вспомогательные ненормируемые материалы (2% от ОЗП)</t>
        </is>
      </c>
      <c r="L356" t="n">
        <v>1374</v>
      </c>
      <c r="N356" t="n">
        <v>1013</v>
      </c>
      <c r="O356" t="inlineStr">
        <is>
          <t>РУБ</t>
        </is>
      </c>
      <c r="P356" t="inlineStr">
        <is>
          <t>РУБ</t>
        </is>
      </c>
      <c r="Q356" t="n">
        <v>1</v>
      </c>
      <c r="X356" t="n">
        <v>0.44</v>
      </c>
      <c r="Y356" t="n">
        <v>1</v>
      </c>
      <c r="Z356" t="n">
        <v>0</v>
      </c>
      <c r="AA356" t="n">
        <v>0</v>
      </c>
      <c r="AB356" t="n">
        <v>0</v>
      </c>
      <c r="AC356" t="n">
        <v>0</v>
      </c>
      <c r="AD356" t="n">
        <v>1</v>
      </c>
      <c r="AE356" t="n">
        <v>0</v>
      </c>
      <c r="AF356" t="inlineStr"/>
      <c r="AG356" t="n">
        <v>0.44</v>
      </c>
      <c r="AH356" t="n">
        <v>2</v>
      </c>
      <c r="AI356" t="n">
        <v>78871127</v>
      </c>
      <c r="AJ356" t="n">
        <v>390</v>
      </c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ROW(Source!A668)</f>
        <v/>
      </c>
      <c r="B357" t="n">
        <v>78871150</v>
      </c>
      <c r="C357" t="n">
        <v>78871148</v>
      </c>
      <c r="D357" t="n">
        <v>18407150</v>
      </c>
      <c r="E357" t="n">
        <v>1</v>
      </c>
      <c r="F357" t="n">
        <v>1</v>
      </c>
      <c r="G357" t="n">
        <v>1</v>
      </c>
      <c r="H357" t="n">
        <v>1</v>
      </c>
      <c r="I357" t="inlineStr">
        <is>
          <t>1-1030-90</t>
        </is>
      </c>
      <c r="J357" t="inlineStr"/>
      <c r="K357" t="inlineStr">
        <is>
          <t>Рабочий строитель среднего разряда 3</t>
        </is>
      </c>
      <c r="L357" t="n">
        <v>1369</v>
      </c>
      <c r="N357" t="n">
        <v>1013</v>
      </c>
      <c r="O357" t="inlineStr">
        <is>
          <t>чел.-ч</t>
        </is>
      </c>
      <c r="P357" t="inlineStr">
        <is>
          <t>чел.-ч</t>
        </is>
      </c>
      <c r="Q357" t="n">
        <v>1</v>
      </c>
      <c r="X357" t="n">
        <v>37.8</v>
      </c>
      <c r="Y357" t="n">
        <v>0</v>
      </c>
      <c r="Z357" t="n">
        <v>0</v>
      </c>
      <c r="AA357" t="n">
        <v>0</v>
      </c>
      <c r="AB357" t="n">
        <v>8.529999999999999</v>
      </c>
      <c r="AC357" t="n">
        <v>0</v>
      </c>
      <c r="AD357" t="n">
        <v>1</v>
      </c>
      <c r="AE357" t="n">
        <v>1</v>
      </c>
      <c r="AF357" t="inlineStr"/>
      <c r="AG357" t="n">
        <v>37.8</v>
      </c>
      <c r="AH357" t="n">
        <v>2</v>
      </c>
      <c r="AI357" t="n">
        <v>78871149</v>
      </c>
      <c r="AJ357" t="n">
        <v>391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ROW(Source!A669)</f>
        <v/>
      </c>
      <c r="B358" t="n">
        <v>78871167</v>
      </c>
      <c r="C358" t="n">
        <v>78871151</v>
      </c>
      <c r="D358" t="n">
        <v>18413627</v>
      </c>
      <c r="E358" t="n">
        <v>1</v>
      </c>
      <c r="F358" t="n">
        <v>1</v>
      </c>
      <c r="G358" t="n">
        <v>1</v>
      </c>
      <c r="H358" t="n">
        <v>1</v>
      </c>
      <c r="I358" t="inlineStr">
        <is>
          <t>1-1042-90</t>
        </is>
      </c>
      <c r="J358" t="inlineStr"/>
      <c r="K358" t="inlineStr">
        <is>
          <t>Рабочий строитель среднего разряда 4,2</t>
        </is>
      </c>
      <c r="L358" t="n">
        <v>1369</v>
      </c>
      <c r="N358" t="n">
        <v>1013</v>
      </c>
      <c r="O358" t="inlineStr">
        <is>
          <t>чел.-ч</t>
        </is>
      </c>
      <c r="P358" t="inlineStr">
        <is>
          <t>чел.-ч</t>
        </is>
      </c>
      <c r="Q358" t="n">
        <v>1</v>
      </c>
      <c r="X358" t="n">
        <v>121.8</v>
      </c>
      <c r="Y358" t="n">
        <v>0</v>
      </c>
      <c r="Z358" t="n">
        <v>0</v>
      </c>
      <c r="AA358" t="n">
        <v>0</v>
      </c>
      <c r="AB358" t="n">
        <v>9.92</v>
      </c>
      <c r="AC358" t="n">
        <v>0</v>
      </c>
      <c r="AD358" t="n">
        <v>1</v>
      </c>
      <c r="AE358" t="n">
        <v>1</v>
      </c>
      <c r="AF358" t="inlineStr"/>
      <c r="AG358" t="n">
        <v>121.8</v>
      </c>
      <c r="AH358" t="n">
        <v>2</v>
      </c>
      <c r="AI358" t="n">
        <v>78871152</v>
      </c>
      <c r="AJ358" t="n">
        <v>392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ROW(Source!A669)</f>
        <v/>
      </c>
      <c r="B359" t="n">
        <v>78871168</v>
      </c>
      <c r="C359" t="n">
        <v>78871151</v>
      </c>
      <c r="D359" t="n">
        <v>121548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2</t>
        </is>
      </c>
      <c r="J359" t="inlineStr"/>
      <c r="K359" t="inlineStr">
        <is>
          <t>Затраты труда машинистов</t>
        </is>
      </c>
      <c r="L359" t="n">
        <v>608254</v>
      </c>
      <c r="N359" t="n">
        <v>1013</v>
      </c>
      <c r="O359" t="inlineStr">
        <is>
          <t>чел.час</t>
        </is>
      </c>
      <c r="P359" t="inlineStr">
        <is>
          <t>чел.час</t>
        </is>
      </c>
      <c r="Q359" t="n">
        <v>1</v>
      </c>
      <c r="X359" t="n">
        <v>4.72</v>
      </c>
      <c r="Y359" t="n">
        <v>0</v>
      </c>
      <c r="Z359" t="n">
        <v>0</v>
      </c>
      <c r="AA359" t="n">
        <v>0</v>
      </c>
      <c r="AB359" t="n">
        <v>0</v>
      </c>
      <c r="AC359" t="n">
        <v>0</v>
      </c>
      <c r="AD359" t="n">
        <v>1</v>
      </c>
      <c r="AE359" t="n">
        <v>2</v>
      </c>
      <c r="AF359" t="inlineStr"/>
      <c r="AG359" t="n">
        <v>4.72</v>
      </c>
      <c r="AH359" t="n">
        <v>2</v>
      </c>
      <c r="AI359" t="n">
        <v>78871153</v>
      </c>
      <c r="AJ359" t="n">
        <v>393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ROW(Source!A669)</f>
        <v/>
      </c>
      <c r="B360" t="n">
        <v>78871169</v>
      </c>
      <c r="C360" t="n">
        <v>78871151</v>
      </c>
      <c r="D360" t="n">
        <v>29172268</v>
      </c>
      <c r="E360" t="n">
        <v>1</v>
      </c>
      <c r="F360" t="n">
        <v>1</v>
      </c>
      <c r="G360" t="n">
        <v>1</v>
      </c>
      <c r="H360" t="n">
        <v>2</v>
      </c>
      <c r="I360" t="inlineStr">
        <is>
          <t>020129</t>
        </is>
      </c>
      <c r="J360" t="inlineStr">
        <is>
          <t>ТСЭМ Московской обл., 020129, приказ Минстроя России №675/пр от 28.02.2017 № 264/пр</t>
        </is>
      </c>
      <c r="K360" t="inlineStr">
        <is>
          <t>Краны башенные при работе на других видах строительства 8 т</t>
        </is>
      </c>
      <c r="L360" t="n">
        <v>1368</v>
      </c>
      <c r="N360" t="n">
        <v>1011</v>
      </c>
      <c r="O360" t="inlineStr">
        <is>
          <t>маш.-ч</t>
        </is>
      </c>
      <c r="P360" t="inlineStr">
        <is>
          <t>маш.-ч</t>
        </is>
      </c>
      <c r="Q360" t="n">
        <v>1</v>
      </c>
      <c r="X360" t="n">
        <v>0.05</v>
      </c>
      <c r="Y360" t="n">
        <v>0</v>
      </c>
      <c r="Z360" t="n">
        <v>86.40000000000001</v>
      </c>
      <c r="AA360" t="n">
        <v>13.5</v>
      </c>
      <c r="AB360" t="n">
        <v>0</v>
      </c>
      <c r="AC360" t="n">
        <v>0</v>
      </c>
      <c r="AD360" t="n">
        <v>1</v>
      </c>
      <c r="AE360" t="n">
        <v>0</v>
      </c>
      <c r="AF360" t="inlineStr"/>
      <c r="AG360" t="n">
        <v>0.05</v>
      </c>
      <c r="AH360" t="n">
        <v>2</v>
      </c>
      <c r="AI360" t="n">
        <v>78871154</v>
      </c>
      <c r="AJ360" t="n">
        <v>394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ROW(Source!A669)</f>
        <v/>
      </c>
      <c r="B361" t="n">
        <v>78871170</v>
      </c>
      <c r="C361" t="n">
        <v>78871151</v>
      </c>
      <c r="D361" t="n">
        <v>29172379</v>
      </c>
      <c r="E361" t="n">
        <v>1</v>
      </c>
      <c r="F361" t="n">
        <v>1</v>
      </c>
      <c r="G361" t="n">
        <v>1</v>
      </c>
      <c r="H361" t="n">
        <v>2</v>
      </c>
      <c r="I361" t="inlineStr">
        <is>
          <t>021141</t>
        </is>
      </c>
      <c r="J361" t="inlineStr">
        <is>
          <t>ТСЭМ Московской обл., 021141, приказ Минстроя России №675/пр от 28.02.2017 № 264/пр</t>
        </is>
      </c>
      <c r="K361" t="inlineStr">
        <is>
          <t>Краны на автомобильном ходу при работе на других видах строительства 10 т</t>
        </is>
      </c>
      <c r="L361" t="n">
        <v>1368</v>
      </c>
      <c r="N361" t="n">
        <v>1011</v>
      </c>
      <c r="O361" t="inlineStr">
        <is>
          <t>маш.-ч</t>
        </is>
      </c>
      <c r="P361" t="inlineStr">
        <is>
          <t>маш.-ч</t>
        </is>
      </c>
      <c r="Q361" t="n">
        <v>1</v>
      </c>
      <c r="X361" t="n">
        <v>0.03</v>
      </c>
      <c r="Y361" t="n">
        <v>0</v>
      </c>
      <c r="Z361" t="n">
        <v>112</v>
      </c>
      <c r="AA361" t="n">
        <v>13.5</v>
      </c>
      <c r="AB361" t="n">
        <v>0</v>
      </c>
      <c r="AC361" t="n">
        <v>0</v>
      </c>
      <c r="AD361" t="n">
        <v>1</v>
      </c>
      <c r="AE361" t="n">
        <v>0</v>
      </c>
      <c r="AF361" t="inlineStr"/>
      <c r="AG361" t="n">
        <v>0.03</v>
      </c>
      <c r="AH361" t="n">
        <v>2</v>
      </c>
      <c r="AI361" t="n">
        <v>78871155</v>
      </c>
      <c r="AJ361" t="n">
        <v>395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ROW(Source!A669)</f>
        <v/>
      </c>
      <c r="B362" t="n">
        <v>78871171</v>
      </c>
      <c r="C362" t="n">
        <v>78871151</v>
      </c>
      <c r="D362" t="n">
        <v>29172951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081600</t>
        </is>
      </c>
      <c r="J362" t="inlineStr">
        <is>
          <t>ТСЭМ Московской обл., 081600, приказ Минстроя России №675/пр от 28.02.2017 № 264/пр</t>
        </is>
      </c>
      <c r="K362" t="inlineStr">
        <is>
          <t>Агрегаты для сварки полиэтиленовых труб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4.64</v>
      </c>
      <c r="Y362" t="n">
        <v>0</v>
      </c>
      <c r="Z362" t="n">
        <v>100.1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4.64</v>
      </c>
      <c r="AH362" t="n">
        <v>2</v>
      </c>
      <c r="AI362" t="n">
        <v>78871156</v>
      </c>
      <c r="AJ362" t="n">
        <v>396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ROW(Source!A669)</f>
        <v/>
      </c>
      <c r="B363" t="n">
        <v>78871172</v>
      </c>
      <c r="C363" t="n">
        <v>78871151</v>
      </c>
      <c r="D363" t="n">
        <v>29174913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400001</t>
        </is>
      </c>
      <c r="J363" t="inlineStr">
        <is>
          <t>ТСЭМ Московской обл., 400001, приказ Минстроя России №675/пр от 28.02.2017 № 264/пр</t>
        </is>
      </c>
      <c r="K363" t="inlineStr">
        <is>
          <t>Автомобили бортовые, грузоподъемность до 5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0.22</v>
      </c>
      <c r="Y363" t="n">
        <v>0</v>
      </c>
      <c r="Z363" t="n">
        <v>87.17</v>
      </c>
      <c r="AA363" t="n">
        <v>11.6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0.22</v>
      </c>
      <c r="AH363" t="n">
        <v>2</v>
      </c>
      <c r="AI363" t="n">
        <v>78871157</v>
      </c>
      <c r="AJ363" t="n">
        <v>397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ROW(Source!A669)</f>
        <v/>
      </c>
      <c r="B364" t="n">
        <v>78871173</v>
      </c>
      <c r="C364" t="n">
        <v>78871151</v>
      </c>
      <c r="D364" t="n">
        <v>29114425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101-0137</t>
        </is>
      </c>
      <c r="J364" t="inlineStr">
        <is>
          <t>ТССЦ Московской обл., 101-0137, приказ Минстроя России №675/пр от 28.02.2017 № 254/пр</t>
        </is>
      </c>
      <c r="K364" t="inlineStr">
        <is>
          <t>Дюбели с калиброванной головкой (в обоймах) 3х58,5 мм</t>
        </is>
      </c>
      <c r="L364" t="n">
        <v>1348</v>
      </c>
      <c r="N364" t="n">
        <v>1009</v>
      </c>
      <c r="O364" t="inlineStr">
        <is>
          <t>т</t>
        </is>
      </c>
      <c r="P364" t="inlineStr">
        <is>
          <t>т</t>
        </is>
      </c>
      <c r="Q364" t="n">
        <v>1000</v>
      </c>
      <c r="X364" t="n">
        <v>0.00051</v>
      </c>
      <c r="Y364" t="n">
        <v>22558</v>
      </c>
      <c r="Z364" t="n">
        <v>0</v>
      </c>
      <c r="AA364" t="n">
        <v>0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0.00051</v>
      </c>
      <c r="AH364" t="n">
        <v>2</v>
      </c>
      <c r="AI364" t="n">
        <v>78871158</v>
      </c>
      <c r="AJ364" t="n">
        <v>398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ROW(Source!A669)</f>
        <v/>
      </c>
      <c r="B365" t="n">
        <v>78871174</v>
      </c>
      <c r="C365" t="n">
        <v>78871151</v>
      </c>
      <c r="D365" t="n">
        <v>29109382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101-0329</t>
        </is>
      </c>
      <c r="J365" t="inlineStr">
        <is>
          <t>ТССЦ Московской обл., 101-0329, приказ Минстроя России №675/пр от 28.02.2017 № 254/пр</t>
        </is>
      </c>
      <c r="K365" t="inlineStr">
        <is>
          <t>Клей 88-СА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X365" t="n">
        <v>0.17</v>
      </c>
      <c r="Y365" t="n">
        <v>28.93</v>
      </c>
      <c r="Z365" t="n">
        <v>0</v>
      </c>
      <c r="AA365" t="n">
        <v>0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0.17</v>
      </c>
      <c r="AH365" t="n">
        <v>2</v>
      </c>
      <c r="AI365" t="n">
        <v>78871159</v>
      </c>
      <c r="AJ365" t="n">
        <v>399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ROW(Source!A669)</f>
        <v/>
      </c>
      <c r="B366" t="n">
        <v>78871175</v>
      </c>
      <c r="C366" t="n">
        <v>78871151</v>
      </c>
      <c r="D366" t="n">
        <v>29107972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101-1680</t>
        </is>
      </c>
      <c r="J366" t="inlineStr">
        <is>
          <t>ТССЦ Московской обл., 101-1680, приказ Минстроя России №675/пр от 28.02.2017 № 254/пр</t>
        </is>
      </c>
      <c r="K366" t="inlineStr">
        <is>
          <t>Патроны для строительно-монтажного пистолета</t>
        </is>
      </c>
      <c r="L366" t="n">
        <v>1356</v>
      </c>
      <c r="N366" t="n">
        <v>1010</v>
      </c>
      <c r="O366" t="inlineStr">
        <is>
          <t>1000 шт.</t>
        </is>
      </c>
      <c r="P366" t="inlineStr">
        <is>
          <t>1000 шт.</t>
        </is>
      </c>
      <c r="Q366" t="n">
        <v>1000</v>
      </c>
      <c r="X366" t="n">
        <v>0.06</v>
      </c>
      <c r="Y366" t="n">
        <v>253.8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0.06</v>
      </c>
      <c r="AH366" t="n">
        <v>2</v>
      </c>
      <c r="AI366" t="n">
        <v>78871160</v>
      </c>
      <c r="AJ366" t="n">
        <v>400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ROW(Source!A669)</f>
        <v/>
      </c>
      <c r="B367" t="n">
        <v>78871176</v>
      </c>
      <c r="C367" t="n">
        <v>78871151</v>
      </c>
      <c r="D367" t="n">
        <v>29112620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101-1700</t>
        </is>
      </c>
      <c r="J367" t="inlineStr">
        <is>
          <t>ТССЦ Московской обл., 101-1700, приказ Минстроя России №675/пр от 28.02.2017 № 254/пр</t>
        </is>
      </c>
      <c r="K367" t="inlineStr">
        <is>
          <t>Наконечники для полиэтиленовых труб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0.33</v>
      </c>
      <c r="Y367" t="n">
        <v>25.01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0.33</v>
      </c>
      <c r="AH367" t="n">
        <v>2</v>
      </c>
      <c r="AI367" t="n">
        <v>78871161</v>
      </c>
      <c r="AJ367" t="n">
        <v>401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ROW(Source!A669)</f>
        <v/>
      </c>
      <c r="B368" t="n">
        <v>78871177</v>
      </c>
      <c r="C368" t="n">
        <v>78871151</v>
      </c>
      <c r="D368" t="n">
        <v>29118038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103-9140</t>
        </is>
      </c>
      <c r="J368" t="inlineStr">
        <is>
          <t>ТССЦ Московской обл., 103-9140, приказ Минстроя России №675/пр от 28.02.2017 № 254/пр</t>
        </is>
      </c>
      <c r="K368" t="inlineStr">
        <is>
          <t>Арматура муфтовая</t>
        </is>
      </c>
      <c r="L368" t="n">
        <v>1354</v>
      </c>
      <c r="N368" t="n">
        <v>1010</v>
      </c>
      <c r="O368" t="inlineStr">
        <is>
          <t>шт.</t>
        </is>
      </c>
      <c r="P368" t="inlineStr">
        <is>
          <t>шт.</t>
        </is>
      </c>
      <c r="Q368" t="n">
        <v>1</v>
      </c>
      <c r="X368" t="n">
        <v>0</v>
      </c>
      <c r="Y368" t="n">
        <v>0</v>
      </c>
      <c r="Z368" t="n">
        <v>0</v>
      </c>
      <c r="AA368" t="n">
        <v>0</v>
      </c>
      <c r="AB368" t="n">
        <v>0</v>
      </c>
      <c r="AC368" t="n">
        <v>1</v>
      </c>
      <c r="AD368" t="n">
        <v>0</v>
      </c>
      <c r="AE368" t="n">
        <v>0</v>
      </c>
      <c r="AF368" t="inlineStr"/>
      <c r="AG368" t="n">
        <v>0</v>
      </c>
      <c r="AH368" t="n">
        <v>3</v>
      </c>
      <c r="AI368" t="n">
        <v>-1</v>
      </c>
      <c r="AJ368" t="inlineStr"/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ROW(Source!A669)</f>
        <v/>
      </c>
      <c r="B369" t="n">
        <v>78871178</v>
      </c>
      <c r="C369" t="n">
        <v>78871151</v>
      </c>
      <c r="D369" t="n">
        <v>29122510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113-0473</t>
        </is>
      </c>
      <c r="J369" t="inlineStr">
        <is>
          <t>ТССЦ Московской обл., 113-0473, приказ Минстроя России №675/пр от 28.02.2017 № 254/пр</t>
        </is>
      </c>
      <c r="K369" t="inlineStr">
        <is>
          <t>Метиленхлорид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0.2</v>
      </c>
      <c r="Y369" t="n">
        <v>120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0.2</v>
      </c>
      <c r="AH369" t="n">
        <v>2</v>
      </c>
      <c r="AI369" t="n">
        <v>78871162</v>
      </c>
      <c r="AJ369" t="n">
        <v>402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ROW(Source!A669)</f>
        <v/>
      </c>
      <c r="B370" t="n">
        <v>78871179</v>
      </c>
      <c r="C370" t="n">
        <v>78871151</v>
      </c>
      <c r="D370" t="n">
        <v>29139870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301-9240</t>
        </is>
      </c>
      <c r="J370" t="inlineStr">
        <is>
          <t>ТССЦ Московской обл., 301-9240, приказ Минстроя России №675/пр от 28.02.2017 № 256/пр</t>
        </is>
      </c>
      <c r="K370" t="inlineStr">
        <is>
          <t>Крепления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ROW(Source!A669)</f>
        <v/>
      </c>
      <c r="B371" t="n">
        <v>78871180</v>
      </c>
      <c r="C371" t="n">
        <v>78871151</v>
      </c>
      <c r="D371" t="n">
        <v>29143982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302-9911</t>
        </is>
      </c>
      <c r="J371" t="inlineStr">
        <is>
          <t>ТССЦ Московской обл., 302-9911, приказ Минстроя России №675/пр от 28.02.2017 № 256/пр</t>
        </is>
      </c>
      <c r="K371" t="inlineStr">
        <is>
          <t>Фасонные и соединительные части к полиэтиленовым трубам</t>
        </is>
      </c>
      <c r="L371" t="n">
        <v>1354</v>
      </c>
      <c r="N371" t="n">
        <v>1010</v>
      </c>
      <c r="O371" t="inlineStr">
        <is>
          <t>шт.</t>
        </is>
      </c>
      <c r="P371" t="inlineStr">
        <is>
          <t>шт.</t>
        </is>
      </c>
      <c r="Q371" t="n">
        <v>1</v>
      </c>
      <c r="X371" t="n">
        <v>0</v>
      </c>
      <c r="Y371" t="n">
        <v>0</v>
      </c>
      <c r="Z371" t="n">
        <v>0</v>
      </c>
      <c r="AA371" t="n">
        <v>0</v>
      </c>
      <c r="AB371" t="n">
        <v>0</v>
      </c>
      <c r="AC371" t="n">
        <v>1</v>
      </c>
      <c r="AD371" t="n">
        <v>0</v>
      </c>
      <c r="AE371" t="n">
        <v>0</v>
      </c>
      <c r="AF371" t="inlineStr"/>
      <c r="AG371" t="n">
        <v>0</v>
      </c>
      <c r="AH371" t="n">
        <v>3</v>
      </c>
      <c r="AI371" t="n">
        <v>-1</v>
      </c>
      <c r="AJ371" t="inlineStr"/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ROW(Source!A669)</f>
        <v/>
      </c>
      <c r="B372" t="n">
        <v>78871181</v>
      </c>
      <c r="C372" t="n">
        <v>78871151</v>
      </c>
      <c r="D372" t="n">
        <v>29149246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405-1601</t>
        </is>
      </c>
      <c r="J372" t="inlineStr">
        <is>
          <t>ТССЦ Московской обл., 405-1601, приказ Минстроя России №675/пр от 28.02.2017 № 257/пр</t>
        </is>
      </c>
      <c r="K372" t="inlineStr">
        <is>
          <t>Известь строительная негашеная хлорная, марки А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0.004</v>
      </c>
      <c r="Y372" t="n">
        <v>2.15</v>
      </c>
      <c r="Z372" t="n">
        <v>0</v>
      </c>
      <c r="AA372" t="n">
        <v>0</v>
      </c>
      <c r="AB372" t="n">
        <v>0</v>
      </c>
      <c r="AC372" t="n">
        <v>0</v>
      </c>
      <c r="AD372" t="n">
        <v>1</v>
      </c>
      <c r="AE372" t="n">
        <v>0</v>
      </c>
      <c r="AF372" t="inlineStr"/>
      <c r="AG372" t="n">
        <v>0.004</v>
      </c>
      <c r="AH372" t="n">
        <v>2</v>
      </c>
      <c r="AI372" t="n">
        <v>78871163</v>
      </c>
      <c r="AJ372" t="n">
        <v>405</v>
      </c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ROW(Source!A669)</f>
        <v/>
      </c>
      <c r="B373" t="n">
        <v>78871182</v>
      </c>
      <c r="C373" t="n">
        <v>78871151</v>
      </c>
      <c r="D373" t="n">
        <v>29150040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411-0001</t>
        </is>
      </c>
      <c r="J373" t="inlineStr">
        <is>
          <t>ТССЦ Московской обл., 411-0001, приказ Минстроя России №675/пр от 28.02.2017 № 257/пр</t>
        </is>
      </c>
      <c r="K373" t="inlineStr">
        <is>
          <t>Вода</t>
        </is>
      </c>
      <c r="L373" t="n">
        <v>1339</v>
      </c>
      <c r="N373" t="n">
        <v>1007</v>
      </c>
      <c r="O373" t="inlineStr">
        <is>
          <t>м3</t>
        </is>
      </c>
      <c r="P373" t="inlineStr">
        <is>
          <t>м3</t>
        </is>
      </c>
      <c r="Q373" t="n">
        <v>1</v>
      </c>
      <c r="X373" t="n">
        <v>1.21</v>
      </c>
      <c r="Y373" t="n">
        <v>2.44</v>
      </c>
      <c r="Z373" t="n">
        <v>0</v>
      </c>
      <c r="AA373" t="n">
        <v>0</v>
      </c>
      <c r="AB373" t="n">
        <v>0</v>
      </c>
      <c r="AC373" t="n">
        <v>0</v>
      </c>
      <c r="AD373" t="n">
        <v>1</v>
      </c>
      <c r="AE373" t="n">
        <v>0</v>
      </c>
      <c r="AF373" t="inlineStr"/>
      <c r="AG373" t="n">
        <v>1.21</v>
      </c>
      <c r="AH373" t="n">
        <v>2</v>
      </c>
      <c r="AI373" t="n">
        <v>78871164</v>
      </c>
      <c r="AJ373" t="n">
        <v>406</v>
      </c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ROW(Source!A669)</f>
        <v/>
      </c>
      <c r="B374" t="n">
        <v>78871183</v>
      </c>
      <c r="C374" t="n">
        <v>78871151</v>
      </c>
      <c r="D374" t="n">
        <v>29158419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507-3642</t>
        </is>
      </c>
      <c r="J374" t="inlineStr">
        <is>
          <t>ТССЦ Московской обл., 507-3642, приказ Минстроя России №675/пр от 28.02.2017 № 258/пр</t>
        </is>
      </c>
      <c r="K374" t="inlineStr">
        <is>
          <t>Труба напорная из полиэтилена PE 100 питьевая ПЭ100 SDR11, размером 32х3,0 мм (ГОСТ 18599-2001, ГОСТ Р 52134-2003)</t>
        </is>
      </c>
      <c r="L374" t="n">
        <v>1301</v>
      </c>
      <c r="N374" t="n">
        <v>1003</v>
      </c>
      <c r="O374" t="inlineStr">
        <is>
          <t>м</t>
        </is>
      </c>
      <c r="P374" t="inlineStr">
        <is>
          <t>м</t>
        </is>
      </c>
      <c r="Q374" t="n">
        <v>1</v>
      </c>
      <c r="X374" t="n">
        <v>93.8</v>
      </c>
      <c r="Y374" t="n">
        <v>16.29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93.8</v>
      </c>
      <c r="AH374" t="n">
        <v>2</v>
      </c>
      <c r="AI374" t="n">
        <v>78871165</v>
      </c>
      <c r="AJ374" t="n">
        <v>407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ROW(Source!A712)</f>
        <v/>
      </c>
      <c r="B375" t="n">
        <v>78871260</v>
      </c>
      <c r="C375" t="n">
        <v>78871254</v>
      </c>
      <c r="D375" t="n">
        <v>18408291</v>
      </c>
      <c r="E375" t="n">
        <v>1</v>
      </c>
      <c r="F375" t="n">
        <v>1</v>
      </c>
      <c r="G375" t="n">
        <v>1</v>
      </c>
      <c r="H375" t="n">
        <v>1</v>
      </c>
      <c r="I375" t="inlineStr">
        <is>
          <t>1-1025-90</t>
        </is>
      </c>
      <c r="J375" t="inlineStr"/>
      <c r="K375" t="inlineStr">
        <is>
          <t>Рабочий строитель среднего разряда 2,5</t>
        </is>
      </c>
      <c r="L375" t="n">
        <v>1369</v>
      </c>
      <c r="N375" t="n">
        <v>1013</v>
      </c>
      <c r="O375" t="inlineStr">
        <is>
          <t>чел.-ч</t>
        </is>
      </c>
      <c r="P375" t="inlineStr">
        <is>
          <t>чел.-ч</t>
        </is>
      </c>
      <c r="Q375" t="n">
        <v>1</v>
      </c>
      <c r="X375" t="n">
        <v>32.2</v>
      </c>
      <c r="Y375" t="n">
        <v>0</v>
      </c>
      <c r="Z375" t="n">
        <v>0</v>
      </c>
      <c r="AA375" t="n">
        <v>0</v>
      </c>
      <c r="AB375" t="n">
        <v>8.17</v>
      </c>
      <c r="AC375" t="n">
        <v>0</v>
      </c>
      <c r="AD375" t="n">
        <v>1</v>
      </c>
      <c r="AE375" t="n">
        <v>1</v>
      </c>
      <c r="AF375" t="inlineStr"/>
      <c r="AG375" t="n">
        <v>32.2</v>
      </c>
      <c r="AH375" t="n">
        <v>2</v>
      </c>
      <c r="AI375" t="n">
        <v>78871255</v>
      </c>
      <c r="AJ375" t="n">
        <v>410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ROW(Source!A712)</f>
        <v/>
      </c>
      <c r="B376" t="n">
        <v>78871261</v>
      </c>
      <c r="C376" t="n">
        <v>78871254</v>
      </c>
      <c r="D376" t="n">
        <v>29174913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400001</t>
        </is>
      </c>
      <c r="J376" t="inlineStr">
        <is>
          <t>ТСЭМ Московской обл., 400001, приказ Минстроя России №675/пр от 28.02.2017 № 264/пр</t>
        </is>
      </c>
      <c r="K376" t="inlineStr">
        <is>
          <t>Автомобили бортовые, грузоподъемность до 5 т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X376" t="n">
        <v>0.01</v>
      </c>
      <c r="Y376" t="n">
        <v>0</v>
      </c>
      <c r="Z376" t="n">
        <v>87.17</v>
      </c>
      <c r="AA376" t="n">
        <v>11.6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0.01</v>
      </c>
      <c r="AH376" t="n">
        <v>2</v>
      </c>
      <c r="AI376" t="n">
        <v>78871256</v>
      </c>
      <c r="AJ376" t="n">
        <v>411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ROW(Source!A712)</f>
        <v/>
      </c>
      <c r="B377" t="n">
        <v>78871262</v>
      </c>
      <c r="C377" t="n">
        <v>78871254</v>
      </c>
      <c r="D377" t="n">
        <v>29110139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101-1703</t>
        </is>
      </c>
      <c r="J377" t="inlineStr">
        <is>
          <t>ТССЦ Московской обл., 101-1703, приказ Минстроя России №675/пр от 28.02.2017 № 254/пр</t>
        </is>
      </c>
      <c r="K377" t="inlineStr">
        <is>
          <t>Прокладки резиновые (пластина техническая прессованная)</t>
        </is>
      </c>
      <c r="L377" t="n">
        <v>1346</v>
      </c>
      <c r="N377" t="n">
        <v>1009</v>
      </c>
      <c r="O377" t="inlineStr">
        <is>
          <t>кг</t>
        </is>
      </c>
      <c r="P377" t="inlineStr">
        <is>
          <t>кг</t>
        </is>
      </c>
      <c r="Q377" t="n">
        <v>1</v>
      </c>
      <c r="X377" t="n">
        <v>2</v>
      </c>
      <c r="Y377" t="n">
        <v>23.09</v>
      </c>
      <c r="Z377" t="n">
        <v>0</v>
      </c>
      <c r="AA377" t="n">
        <v>0</v>
      </c>
      <c r="AB377" t="n">
        <v>0</v>
      </c>
      <c r="AC377" t="n">
        <v>0</v>
      </c>
      <c r="AD377" t="n">
        <v>1</v>
      </c>
      <c r="AE377" t="n">
        <v>0</v>
      </c>
      <c r="AF377" t="inlineStr"/>
      <c r="AG377" t="n">
        <v>2</v>
      </c>
      <c r="AH377" t="n">
        <v>2</v>
      </c>
      <c r="AI377" t="n">
        <v>78871257</v>
      </c>
      <c r="AJ377" t="n">
        <v>412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ROW(Source!A712)</f>
        <v/>
      </c>
      <c r="B378" t="n">
        <v>78871263</v>
      </c>
      <c r="C378" t="n">
        <v>78871254</v>
      </c>
      <c r="D378" t="n">
        <v>29114240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101-2576</t>
        </is>
      </c>
      <c r="J378" t="inlineStr">
        <is>
          <t>ТССЦ Московской обл., 101-2576, приказ Минстроя России №675/пр от 28.02.2017 № 254/пр</t>
        </is>
      </c>
      <c r="K378" t="inlineStr">
        <is>
          <t>Болты с гайками и шайбами для санитарно-технических работ диаметром 16 мм</t>
        </is>
      </c>
      <c r="L378" t="n">
        <v>1348</v>
      </c>
      <c r="N378" t="n">
        <v>1009</v>
      </c>
      <c r="O378" t="inlineStr">
        <is>
          <t>т</t>
        </is>
      </c>
      <c r="P378" t="inlineStr">
        <is>
          <t>т</t>
        </is>
      </c>
      <c r="Q378" t="n">
        <v>1000</v>
      </c>
      <c r="X378" t="n">
        <v>0.005</v>
      </c>
      <c r="Y378" t="n">
        <v>14830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0</v>
      </c>
      <c r="AF378" t="inlineStr"/>
      <c r="AG378" t="n">
        <v>0.005</v>
      </c>
      <c r="AH378" t="n">
        <v>2</v>
      </c>
      <c r="AI378" t="n">
        <v>78871258</v>
      </c>
      <c r="AJ378" t="n">
        <v>413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ROW(Source!A712)</f>
        <v/>
      </c>
      <c r="B379" t="n">
        <v>78871264</v>
      </c>
      <c r="C379" t="n">
        <v>78871254</v>
      </c>
      <c r="D379" t="n">
        <v>29150040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411-0001</t>
        </is>
      </c>
      <c r="J379" t="inlineStr">
        <is>
          <t>ТССЦ Московской обл., 411-0001, приказ Минстроя России №675/пр от 28.02.2017 № 257/пр</t>
        </is>
      </c>
      <c r="K379" t="inlineStr">
        <is>
          <t>Вода</t>
        </is>
      </c>
      <c r="L379" t="n">
        <v>1339</v>
      </c>
      <c r="N379" t="n">
        <v>1007</v>
      </c>
      <c r="O379" t="inlineStr">
        <is>
          <t>м3</t>
        </is>
      </c>
      <c r="P379" t="inlineStr">
        <is>
          <t>м3</t>
        </is>
      </c>
      <c r="Q379" t="n">
        <v>1</v>
      </c>
      <c r="X379" t="n">
        <v>7.8</v>
      </c>
      <c r="Y379" t="n">
        <v>2.44</v>
      </c>
      <c r="Z379" t="n">
        <v>0</v>
      </c>
      <c r="AA379" t="n">
        <v>0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7.8</v>
      </c>
      <c r="AH379" t="n">
        <v>2</v>
      </c>
      <c r="AI379" t="n">
        <v>78871259</v>
      </c>
      <c r="AJ379" t="n">
        <v>414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ROW(Source!A713)</f>
        <v/>
      </c>
      <c r="B380" t="n">
        <v>78871269</v>
      </c>
      <c r="C380" t="n">
        <v>78871265</v>
      </c>
      <c r="D380" t="n">
        <v>18407150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1-1030-90</t>
        </is>
      </c>
      <c r="J380" t="inlineStr"/>
      <c r="K380" t="inlineStr">
        <is>
          <t>Рабочий строитель среднего разряда 3</t>
        </is>
      </c>
      <c r="L380" t="n">
        <v>1369</v>
      </c>
      <c r="N380" t="n">
        <v>1013</v>
      </c>
      <c r="O380" t="inlineStr">
        <is>
          <t>чел.-ч</t>
        </is>
      </c>
      <c r="P380" t="inlineStr">
        <is>
          <t>чел.-ч</t>
        </is>
      </c>
      <c r="Q380" t="n">
        <v>1</v>
      </c>
      <c r="X380" t="n">
        <v>13.9</v>
      </c>
      <c r="Y380" t="n">
        <v>0</v>
      </c>
      <c r="Z380" t="n">
        <v>0</v>
      </c>
      <c r="AA380" t="n">
        <v>0</v>
      </c>
      <c r="AB380" t="n">
        <v>8.529999999999999</v>
      </c>
      <c r="AC380" t="n">
        <v>0</v>
      </c>
      <c r="AD380" t="n">
        <v>1</v>
      </c>
      <c r="AE380" t="n">
        <v>1</v>
      </c>
      <c r="AF380" t="inlineStr"/>
      <c r="AG380" t="n">
        <v>13.9</v>
      </c>
      <c r="AH380" t="n">
        <v>2</v>
      </c>
      <c r="AI380" t="n">
        <v>78871266</v>
      </c>
      <c r="AJ380" t="n">
        <v>415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ROW(Source!A713)</f>
        <v/>
      </c>
      <c r="B381" t="n">
        <v>78871270</v>
      </c>
      <c r="C381" t="n">
        <v>78871265</v>
      </c>
      <c r="D381" t="n">
        <v>29169821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509-0696</t>
        </is>
      </c>
      <c r="J381" t="inlineStr">
        <is>
          <t>ТССЦ Московской обл., 509-0696, приказ Минстроя России №675/пр от 28.02.2017 № 258/пр</t>
        </is>
      </c>
      <c r="K381" t="inlineStr">
        <is>
          <t>Лампы люминесцентные ртутные низкого давления типа ЛБ, ЛД, ЛДЦ, ЛТВ, ЛБХ 20</t>
        </is>
      </c>
      <c r="L381" t="n">
        <v>1358</v>
      </c>
      <c r="N381" t="n">
        <v>1010</v>
      </c>
      <c r="O381" t="inlineStr">
        <is>
          <t>10 шт.</t>
        </is>
      </c>
      <c r="P381" t="inlineStr">
        <is>
          <t>10 шт.</t>
        </is>
      </c>
      <c r="Q381" t="n">
        <v>10</v>
      </c>
      <c r="X381" t="n">
        <v>10</v>
      </c>
      <c r="Y381" t="n">
        <v>85.2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10</v>
      </c>
      <c r="AH381" t="n">
        <v>2</v>
      </c>
      <c r="AI381" t="n">
        <v>78871267</v>
      </c>
      <c r="AJ381" t="n">
        <v>416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ROW(Source!A715)</f>
        <v/>
      </c>
      <c r="B382" t="n">
        <v>78871279</v>
      </c>
      <c r="C382" t="n">
        <v>78871272</v>
      </c>
      <c r="D382" t="n">
        <v>18442827</v>
      </c>
      <c r="E382" t="n">
        <v>1</v>
      </c>
      <c r="F382" t="n">
        <v>1</v>
      </c>
      <c r="G382" t="n">
        <v>1</v>
      </c>
      <c r="H382" t="n">
        <v>1</v>
      </c>
      <c r="I382" t="inlineStr">
        <is>
          <t>1-1053-90</t>
        </is>
      </c>
      <c r="J382" t="inlineStr"/>
      <c r="K382" t="inlineStr">
        <is>
          <t>Рабочий строитель среднего разряда 5,3</t>
        </is>
      </c>
      <c r="L382" t="n">
        <v>1369</v>
      </c>
      <c r="N382" t="n">
        <v>1013</v>
      </c>
      <c r="O382" t="inlineStr">
        <is>
          <t>чел.-ч</t>
        </is>
      </c>
      <c r="P382" t="inlineStr">
        <is>
          <t>чел.-ч</t>
        </is>
      </c>
      <c r="Q382" t="n">
        <v>1</v>
      </c>
      <c r="X382" t="n">
        <v>5.01</v>
      </c>
      <c r="Y382" t="n">
        <v>0</v>
      </c>
      <c r="Z382" t="n">
        <v>0</v>
      </c>
      <c r="AA382" t="n">
        <v>0</v>
      </c>
      <c r="AB382" t="n">
        <v>11.64</v>
      </c>
      <c r="AC382" t="n">
        <v>0</v>
      </c>
      <c r="AD382" t="n">
        <v>1</v>
      </c>
      <c r="AE382" t="n">
        <v>1</v>
      </c>
      <c r="AF382" t="inlineStr">
        <is>
          <t>)*4</t>
        </is>
      </c>
      <c r="AG382" t="n">
        <v>20.04</v>
      </c>
      <c r="AH382" t="n">
        <v>2</v>
      </c>
      <c r="AI382" t="n">
        <v>78871273</v>
      </c>
      <c r="AJ382" t="n">
        <v>418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ROW(Source!A715)</f>
        <v/>
      </c>
      <c r="B383" t="n">
        <v>78871280</v>
      </c>
      <c r="C383" t="n">
        <v>78871272</v>
      </c>
      <c r="D383" t="n">
        <v>29172703</v>
      </c>
      <c r="E383" t="n">
        <v>1</v>
      </c>
      <c r="F383" t="n">
        <v>1</v>
      </c>
      <c r="G383" t="n">
        <v>1</v>
      </c>
      <c r="H383" t="n">
        <v>2</v>
      </c>
      <c r="I383" t="inlineStr">
        <is>
          <t>042900</t>
        </is>
      </c>
      <c r="J383" t="inlineStr">
        <is>
          <t>ТСЭМ Московской обл., 042900, приказ Минстроя России №675/пр от 28.02.2017 № 264/пр</t>
        </is>
      </c>
      <c r="K38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83" t="n">
        <v>1368</v>
      </c>
      <c r="N383" t="n">
        <v>1011</v>
      </c>
      <c r="O383" t="inlineStr">
        <is>
          <t>маш.-ч</t>
        </is>
      </c>
      <c r="P383" t="inlineStr">
        <is>
          <t>маш.-ч</t>
        </is>
      </c>
      <c r="Q383" t="n">
        <v>1</v>
      </c>
      <c r="X383" t="n">
        <v>1.5</v>
      </c>
      <c r="Y383" t="n">
        <v>0</v>
      </c>
      <c r="Z383" t="n">
        <v>29.67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>
        <is>
          <t>)*4</t>
        </is>
      </c>
      <c r="AG383" t="n">
        <v>6</v>
      </c>
      <c r="AH383" t="n">
        <v>2</v>
      </c>
      <c r="AI383" t="n">
        <v>78871274</v>
      </c>
      <c r="AJ383" t="n">
        <v>419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ROW(Source!A715)</f>
        <v/>
      </c>
      <c r="B384" t="n">
        <v>78871281</v>
      </c>
      <c r="C384" t="n">
        <v>78871272</v>
      </c>
      <c r="D384" t="n">
        <v>29110398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101-0388</t>
        </is>
      </c>
      <c r="J384" t="inlineStr">
        <is>
          <t>ТССЦ Московской обл., 101-0388, приказ Минстроя России №675/пр от 28.02.2017 № 254/пр</t>
        </is>
      </c>
      <c r="K384" t="inlineStr">
        <is>
          <t>Краски масляные земляные марки МА-0115 мумия, сурик железный</t>
        </is>
      </c>
      <c r="L384" t="n">
        <v>1348</v>
      </c>
      <c r="N384" t="n">
        <v>1009</v>
      </c>
      <c r="O384" t="inlineStr">
        <is>
          <t>т</t>
        </is>
      </c>
      <c r="P384" t="inlineStr">
        <is>
          <t>т</t>
        </is>
      </c>
      <c r="Q384" t="n">
        <v>1000</v>
      </c>
      <c r="X384" t="n">
        <v>5e-05</v>
      </c>
      <c r="Y384" t="n">
        <v>15118.99</v>
      </c>
      <c r="Z384" t="n">
        <v>0</v>
      </c>
      <c r="AA384" t="n">
        <v>0</v>
      </c>
      <c r="AB384" t="n">
        <v>0</v>
      </c>
      <c r="AC384" t="n">
        <v>0</v>
      </c>
      <c r="AD384" t="n">
        <v>1</v>
      </c>
      <c r="AE384" t="n">
        <v>0</v>
      </c>
      <c r="AF384" t="inlineStr"/>
      <c r="AG384" t="n">
        <v>5e-05</v>
      </c>
      <c r="AH384" t="n">
        <v>2</v>
      </c>
      <c r="AI384" t="n">
        <v>78871275</v>
      </c>
      <c r="AJ384" t="n">
        <v>420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ROW(Source!A715)</f>
        <v/>
      </c>
      <c r="B385" t="n">
        <v>78871282</v>
      </c>
      <c r="C385" t="n">
        <v>78871272</v>
      </c>
      <c r="D385" t="n">
        <v>29110573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101-0628</t>
        </is>
      </c>
      <c r="J385" t="inlineStr">
        <is>
          <t>ТССЦ Московской обл., 101-0628, приказ Минстроя России №675/пр от 28.02.2017 № 254/пр</t>
        </is>
      </c>
      <c r="K385" t="inlineStr">
        <is>
          <t>Олифа комбинированная, марки К-3</t>
        </is>
      </c>
      <c r="L385" t="n">
        <v>1348</v>
      </c>
      <c r="N385" t="n">
        <v>1009</v>
      </c>
      <c r="O385" t="inlineStr">
        <is>
          <t>т</t>
        </is>
      </c>
      <c r="P385" t="inlineStr">
        <is>
          <t>т</t>
        </is>
      </c>
      <c r="Q385" t="n">
        <v>1000</v>
      </c>
      <c r="X385" t="n">
        <v>2e-05</v>
      </c>
      <c r="Y385" t="n">
        <v>16950</v>
      </c>
      <c r="Z385" t="n">
        <v>0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2e-05</v>
      </c>
      <c r="AH385" t="n">
        <v>2</v>
      </c>
      <c r="AI385" t="n">
        <v>78871276</v>
      </c>
      <c r="AJ385" t="n">
        <v>421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ROW(Source!A715)</f>
        <v/>
      </c>
      <c r="B386" t="n">
        <v>78871283</v>
      </c>
      <c r="C386" t="n">
        <v>78871272</v>
      </c>
      <c r="D386" t="n">
        <v>29107963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101-1669</t>
        </is>
      </c>
      <c r="J386" t="inlineStr">
        <is>
          <t>ТССЦ Московской обл., 101-1669, приказ Минстроя России №675/пр от 28.02.2017 № 254/пр</t>
        </is>
      </c>
      <c r="K386" t="inlineStr">
        <is>
          <t>Очес льняной</t>
        </is>
      </c>
      <c r="L386" t="n">
        <v>1346</v>
      </c>
      <c r="N386" t="n">
        <v>1009</v>
      </c>
      <c r="O386" t="inlineStr">
        <is>
          <t>кг</t>
        </is>
      </c>
      <c r="P386" t="inlineStr">
        <is>
          <t>кг</t>
        </is>
      </c>
      <c r="Q386" t="n">
        <v>1</v>
      </c>
      <c r="X386" t="n">
        <v>0.02</v>
      </c>
      <c r="Y386" t="n">
        <v>37.29</v>
      </c>
      <c r="Z386" t="n">
        <v>0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0.02</v>
      </c>
      <c r="AH386" t="n">
        <v>2</v>
      </c>
      <c r="AI386" t="n">
        <v>78871277</v>
      </c>
      <c r="AJ386" t="n">
        <v>422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ROW(Source!A715)</f>
        <v/>
      </c>
      <c r="B387" t="n">
        <v>78871284</v>
      </c>
      <c r="C387" t="n">
        <v>78871272</v>
      </c>
      <c r="D387" t="n">
        <v>29150040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411-0001</t>
        </is>
      </c>
      <c r="J387" t="inlineStr">
        <is>
          <t>ТССЦ Московской обл., 411-0001, приказ Минстроя России №675/пр от 28.02.2017 № 257/пр</t>
        </is>
      </c>
      <c r="K387" t="inlineStr">
        <is>
          <t>Вода</t>
        </is>
      </c>
      <c r="L387" t="n">
        <v>1339</v>
      </c>
      <c r="N387" t="n">
        <v>1007</v>
      </c>
      <c r="O387" t="inlineStr">
        <is>
          <t>м3</t>
        </is>
      </c>
      <c r="P387" t="inlineStr">
        <is>
          <t>м3</t>
        </is>
      </c>
      <c r="Q387" t="n">
        <v>1</v>
      </c>
      <c r="X387" t="n">
        <v>1</v>
      </c>
      <c r="Y387" t="n">
        <v>2.44</v>
      </c>
      <c r="Z387" t="n">
        <v>0</v>
      </c>
      <c r="AA387" t="n">
        <v>0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1</v>
      </c>
      <c r="AH387" t="n">
        <v>2</v>
      </c>
      <c r="AI387" t="n">
        <v>78871278</v>
      </c>
      <c r="AJ387" t="n">
        <v>423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ROW(Source!A754)</f>
        <v/>
      </c>
      <c r="B388" t="n">
        <v>78871354</v>
      </c>
      <c r="C388" t="n">
        <v>78871348</v>
      </c>
      <c r="D388" t="n">
        <v>18408291</v>
      </c>
      <c r="E388" t="n">
        <v>1</v>
      </c>
      <c r="F388" t="n">
        <v>1</v>
      </c>
      <c r="G388" t="n">
        <v>1</v>
      </c>
      <c r="H388" t="n">
        <v>1</v>
      </c>
      <c r="I388" t="inlineStr">
        <is>
          <t>1-1025-90</t>
        </is>
      </c>
      <c r="J388" t="inlineStr"/>
      <c r="K388" t="inlineStr">
        <is>
          <t>Рабочий строитель среднего разряда 2,5</t>
        </is>
      </c>
      <c r="L388" t="n">
        <v>1369</v>
      </c>
      <c r="N388" t="n">
        <v>1013</v>
      </c>
      <c r="O388" t="inlineStr">
        <is>
          <t>чел.-ч</t>
        </is>
      </c>
      <c r="P388" t="inlineStr">
        <is>
          <t>чел.-ч</t>
        </is>
      </c>
      <c r="Q388" t="n">
        <v>1</v>
      </c>
      <c r="X388" t="n">
        <v>32.2</v>
      </c>
      <c r="Y388" t="n">
        <v>0</v>
      </c>
      <c r="Z388" t="n">
        <v>0</v>
      </c>
      <c r="AA388" t="n">
        <v>0</v>
      </c>
      <c r="AB388" t="n">
        <v>8.17</v>
      </c>
      <c r="AC388" t="n">
        <v>0</v>
      </c>
      <c r="AD388" t="n">
        <v>1</v>
      </c>
      <c r="AE388" t="n">
        <v>1</v>
      </c>
      <c r="AF388" t="inlineStr"/>
      <c r="AG388" t="n">
        <v>32.2</v>
      </c>
      <c r="AH388" t="n">
        <v>2</v>
      </c>
      <c r="AI388" t="n">
        <v>78871349</v>
      </c>
      <c r="AJ388" t="n">
        <v>424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ROW(Source!A754)</f>
        <v/>
      </c>
      <c r="B389" t="n">
        <v>78871355</v>
      </c>
      <c r="C389" t="n">
        <v>78871348</v>
      </c>
      <c r="D389" t="n">
        <v>29174913</v>
      </c>
      <c r="E389" t="n">
        <v>1</v>
      </c>
      <c r="F389" t="n">
        <v>1</v>
      </c>
      <c r="G389" t="n">
        <v>1</v>
      </c>
      <c r="H389" t="n">
        <v>2</v>
      </c>
      <c r="I389" t="inlineStr">
        <is>
          <t>400001</t>
        </is>
      </c>
      <c r="J389" t="inlineStr">
        <is>
          <t>ТСЭМ Московской обл., 400001, приказ Минстроя России №675/пр от 28.02.2017 № 264/пр</t>
        </is>
      </c>
      <c r="K389" t="inlineStr">
        <is>
          <t>Автомобили бортовые, грузоподъемность до 5 т</t>
        </is>
      </c>
      <c r="L389" t="n">
        <v>1368</v>
      </c>
      <c r="N389" t="n">
        <v>1011</v>
      </c>
      <c r="O389" t="inlineStr">
        <is>
          <t>маш.-ч</t>
        </is>
      </c>
      <c r="P389" t="inlineStr">
        <is>
          <t>маш.-ч</t>
        </is>
      </c>
      <c r="Q389" t="n">
        <v>1</v>
      </c>
      <c r="X389" t="n">
        <v>0.01</v>
      </c>
      <c r="Y389" t="n">
        <v>0</v>
      </c>
      <c r="Z389" t="n">
        <v>87.17</v>
      </c>
      <c r="AA389" t="n">
        <v>11.6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0.01</v>
      </c>
      <c r="AH389" t="n">
        <v>2</v>
      </c>
      <c r="AI389" t="n">
        <v>78871350</v>
      </c>
      <c r="AJ389" t="n">
        <v>425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ROW(Source!A754)</f>
        <v/>
      </c>
      <c r="B390" t="n">
        <v>78871356</v>
      </c>
      <c r="C390" t="n">
        <v>78871348</v>
      </c>
      <c r="D390" t="n">
        <v>29110139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101-1703</t>
        </is>
      </c>
      <c r="J390" t="inlineStr">
        <is>
          <t>ТССЦ Московской обл., 101-1703, приказ Минстроя России №675/пр от 28.02.2017 № 254/пр</t>
        </is>
      </c>
      <c r="K390" t="inlineStr">
        <is>
          <t>Прокладки резиновые (пластина техническая прессованная)</t>
        </is>
      </c>
      <c r="L390" t="n">
        <v>1346</v>
      </c>
      <c r="N390" t="n">
        <v>1009</v>
      </c>
      <c r="O390" t="inlineStr">
        <is>
          <t>кг</t>
        </is>
      </c>
      <c r="P390" t="inlineStr">
        <is>
          <t>кг</t>
        </is>
      </c>
      <c r="Q390" t="n">
        <v>1</v>
      </c>
      <c r="X390" t="n">
        <v>2</v>
      </c>
      <c r="Y390" t="n">
        <v>23.09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2</v>
      </c>
      <c r="AH390" t="n">
        <v>2</v>
      </c>
      <c r="AI390" t="n">
        <v>78871351</v>
      </c>
      <c r="AJ390" t="n">
        <v>426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ROW(Source!A754)</f>
        <v/>
      </c>
      <c r="B391" t="n">
        <v>78871357</v>
      </c>
      <c r="C391" t="n">
        <v>78871348</v>
      </c>
      <c r="D391" t="n">
        <v>29114240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101-2576</t>
        </is>
      </c>
      <c r="J391" t="inlineStr">
        <is>
          <t>ТССЦ Московской обл., 101-2576, приказ Минстроя России №675/пр от 28.02.2017 № 254/пр</t>
        </is>
      </c>
      <c r="K391" t="inlineStr">
        <is>
          <t>Болты с гайками и шайбами для санитарно-технических работ диаметром 16 мм</t>
        </is>
      </c>
      <c r="L391" t="n">
        <v>1348</v>
      </c>
      <c r="N391" t="n">
        <v>1009</v>
      </c>
      <c r="O391" t="inlineStr">
        <is>
          <t>т</t>
        </is>
      </c>
      <c r="P391" t="inlineStr">
        <is>
          <t>т</t>
        </is>
      </c>
      <c r="Q391" t="n">
        <v>1000</v>
      </c>
      <c r="X391" t="n">
        <v>0.005</v>
      </c>
      <c r="Y391" t="n">
        <v>14830</v>
      </c>
      <c r="Z391" t="n">
        <v>0</v>
      </c>
      <c r="AA391" t="n">
        <v>0</v>
      </c>
      <c r="AB391" t="n">
        <v>0</v>
      </c>
      <c r="AC391" t="n">
        <v>0</v>
      </c>
      <c r="AD391" t="n">
        <v>1</v>
      </c>
      <c r="AE391" t="n">
        <v>0</v>
      </c>
      <c r="AF391" t="inlineStr"/>
      <c r="AG391" t="n">
        <v>0.005</v>
      </c>
      <c r="AH391" t="n">
        <v>2</v>
      </c>
      <c r="AI391" t="n">
        <v>78871352</v>
      </c>
      <c r="AJ391" t="n">
        <v>427</v>
      </c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ROW(Source!A754)</f>
        <v/>
      </c>
      <c r="B392" t="n">
        <v>78871358</v>
      </c>
      <c r="C392" t="n">
        <v>78871348</v>
      </c>
      <c r="D392" t="n">
        <v>29150040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411-0001</t>
        </is>
      </c>
      <c r="J392" t="inlineStr">
        <is>
          <t>ТССЦ Московской обл., 411-0001, приказ Минстроя России №675/пр от 28.02.2017 № 257/пр</t>
        </is>
      </c>
      <c r="K392" t="inlineStr">
        <is>
          <t>Вода</t>
        </is>
      </c>
      <c r="L392" t="n">
        <v>1339</v>
      </c>
      <c r="N392" t="n">
        <v>1007</v>
      </c>
      <c r="O392" t="inlineStr">
        <is>
          <t>м3</t>
        </is>
      </c>
      <c r="P392" t="inlineStr">
        <is>
          <t>м3</t>
        </is>
      </c>
      <c r="Q392" t="n">
        <v>1</v>
      </c>
      <c r="X392" t="n">
        <v>7.8</v>
      </c>
      <c r="Y392" t="n">
        <v>2.44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7.8</v>
      </c>
      <c r="AH392" t="n">
        <v>2</v>
      </c>
      <c r="AI392" t="n">
        <v>78871353</v>
      </c>
      <c r="AJ392" t="n">
        <v>428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ROW(Source!A755)</f>
        <v/>
      </c>
      <c r="B393" t="n">
        <v>78871366</v>
      </c>
      <c r="C393" t="n">
        <v>78871359</v>
      </c>
      <c r="D393" t="n">
        <v>18442827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1-1053-90</t>
        </is>
      </c>
      <c r="J393" t="inlineStr"/>
      <c r="K393" t="inlineStr">
        <is>
          <t>Рабочий строитель среднего разряда 5,3</t>
        </is>
      </c>
      <c r="L393" t="n">
        <v>1369</v>
      </c>
      <c r="N393" t="n">
        <v>1013</v>
      </c>
      <c r="O393" t="inlineStr">
        <is>
          <t>чел.-ч</t>
        </is>
      </c>
      <c r="P393" t="inlineStr">
        <is>
          <t>чел.-ч</t>
        </is>
      </c>
      <c r="Q393" t="n">
        <v>1</v>
      </c>
      <c r="X393" t="n">
        <v>5.01</v>
      </c>
      <c r="Y393" t="n">
        <v>0</v>
      </c>
      <c r="Z393" t="n">
        <v>0</v>
      </c>
      <c r="AA393" t="n">
        <v>0</v>
      </c>
      <c r="AB393" t="n">
        <v>11.64</v>
      </c>
      <c r="AC393" t="n">
        <v>0</v>
      </c>
      <c r="AD393" t="n">
        <v>1</v>
      </c>
      <c r="AE393" t="n">
        <v>1</v>
      </c>
      <c r="AF393" t="inlineStr">
        <is>
          <t>)*9</t>
        </is>
      </c>
      <c r="AG393" t="n">
        <v>45.09</v>
      </c>
      <c r="AH393" t="n">
        <v>2</v>
      </c>
      <c r="AI393" t="n">
        <v>78871360</v>
      </c>
      <c r="AJ393" t="n">
        <v>429</v>
      </c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ROW(Source!A755)</f>
        <v/>
      </c>
      <c r="B394" t="n">
        <v>78871367</v>
      </c>
      <c r="C394" t="n">
        <v>78871359</v>
      </c>
      <c r="D394" t="n">
        <v>29172703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042900</t>
        </is>
      </c>
      <c r="J394" t="inlineStr">
        <is>
          <t>ТСЭМ Московской обл., 042900, приказ Минстроя России №675/пр от 28.02.2017 № 264/пр</t>
        </is>
      </c>
      <c r="K3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X394" t="n">
        <v>1.5</v>
      </c>
      <c r="Y394" t="n">
        <v>0</v>
      </c>
      <c r="Z394" t="n">
        <v>29.67</v>
      </c>
      <c r="AA394" t="n">
        <v>0</v>
      </c>
      <c r="AB394" t="n">
        <v>0</v>
      </c>
      <c r="AC394" t="n">
        <v>0</v>
      </c>
      <c r="AD394" t="n">
        <v>1</v>
      </c>
      <c r="AE394" t="n">
        <v>0</v>
      </c>
      <c r="AF394" t="inlineStr">
        <is>
          <t>)*9</t>
        </is>
      </c>
      <c r="AG394" t="n">
        <v>13.5</v>
      </c>
      <c r="AH394" t="n">
        <v>2</v>
      </c>
      <c r="AI394" t="n">
        <v>78871361</v>
      </c>
      <c r="AJ394" t="n">
        <v>430</v>
      </c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ROW(Source!A755)</f>
        <v/>
      </c>
      <c r="B395" t="n">
        <v>78871368</v>
      </c>
      <c r="C395" t="n">
        <v>78871359</v>
      </c>
      <c r="D395" t="n">
        <v>29110398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101-0388</t>
        </is>
      </c>
      <c r="J395" t="inlineStr">
        <is>
          <t>ТССЦ Московской обл., 101-0388, приказ Минстроя России №675/пр от 28.02.2017 № 254/пр</t>
        </is>
      </c>
      <c r="K395" t="inlineStr">
        <is>
          <t>Краски масляные земляные марки МА-0115 мумия, сурик железный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5e-05</v>
      </c>
      <c r="Y395" t="n">
        <v>15118.99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>
        <is>
          <t>)*9</t>
        </is>
      </c>
      <c r="AG395" t="n">
        <v>0.00045</v>
      </c>
      <c r="AH395" t="n">
        <v>2</v>
      </c>
      <c r="AI395" t="n">
        <v>78871362</v>
      </c>
      <c r="AJ395" t="n">
        <v>431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ROW(Source!A755)</f>
        <v/>
      </c>
      <c r="B396" t="n">
        <v>78871369</v>
      </c>
      <c r="C396" t="n">
        <v>78871359</v>
      </c>
      <c r="D396" t="n">
        <v>29110573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101-0628</t>
        </is>
      </c>
      <c r="J396" t="inlineStr">
        <is>
          <t>ТССЦ Московской обл., 101-0628, приказ Минстроя России №675/пр от 28.02.2017 № 254/пр</t>
        </is>
      </c>
      <c r="K396" t="inlineStr">
        <is>
          <t>Олифа комбинированная, марки К-3</t>
        </is>
      </c>
      <c r="L396" t="n">
        <v>1348</v>
      </c>
      <c r="N396" t="n">
        <v>1009</v>
      </c>
      <c r="O396" t="inlineStr">
        <is>
          <t>т</t>
        </is>
      </c>
      <c r="P396" t="inlineStr">
        <is>
          <t>т</t>
        </is>
      </c>
      <c r="Q396" t="n">
        <v>1000</v>
      </c>
      <c r="X396" t="n">
        <v>2e-05</v>
      </c>
      <c r="Y396" t="n">
        <v>16950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>
        <is>
          <t>)*9</t>
        </is>
      </c>
      <c r="AG396" t="n">
        <v>0.00018</v>
      </c>
      <c r="AH396" t="n">
        <v>2</v>
      </c>
      <c r="AI396" t="n">
        <v>78871363</v>
      </c>
      <c r="AJ396" t="n">
        <v>432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ROW(Source!A755)</f>
        <v/>
      </c>
      <c r="B397" t="n">
        <v>78871370</v>
      </c>
      <c r="C397" t="n">
        <v>78871359</v>
      </c>
      <c r="D397" t="n">
        <v>29107963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101-1669</t>
        </is>
      </c>
      <c r="J397" t="inlineStr">
        <is>
          <t>ТССЦ Московской обл., 101-1669, приказ Минстроя России №675/пр от 28.02.2017 № 254/пр</t>
        </is>
      </c>
      <c r="K397" t="inlineStr">
        <is>
          <t>Очес льняной</t>
        </is>
      </c>
      <c r="L397" t="n">
        <v>1346</v>
      </c>
      <c r="N397" t="n">
        <v>1009</v>
      </c>
      <c r="O397" t="inlineStr">
        <is>
          <t>кг</t>
        </is>
      </c>
      <c r="P397" t="inlineStr">
        <is>
          <t>кг</t>
        </is>
      </c>
      <c r="Q397" t="n">
        <v>1</v>
      </c>
      <c r="X397" t="n">
        <v>0.02</v>
      </c>
      <c r="Y397" t="n">
        <v>37.29</v>
      </c>
      <c r="Z397" t="n">
        <v>0</v>
      </c>
      <c r="AA397" t="n">
        <v>0</v>
      </c>
      <c r="AB397" t="n">
        <v>0</v>
      </c>
      <c r="AC397" t="n">
        <v>0</v>
      </c>
      <c r="AD397" t="n">
        <v>1</v>
      </c>
      <c r="AE397" t="n">
        <v>0</v>
      </c>
      <c r="AF397" t="inlineStr">
        <is>
          <t>)*9</t>
        </is>
      </c>
      <c r="AG397" t="n">
        <v>0.18</v>
      </c>
      <c r="AH397" t="n">
        <v>2</v>
      </c>
      <c r="AI397" t="n">
        <v>78871364</v>
      </c>
      <c r="AJ397" t="n">
        <v>433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ROW(Source!A755)</f>
        <v/>
      </c>
      <c r="B398" t="n">
        <v>78871371</v>
      </c>
      <c r="C398" t="n">
        <v>78871359</v>
      </c>
      <c r="D398" t="n">
        <v>29150040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411-0001</t>
        </is>
      </c>
      <c r="J398" t="inlineStr">
        <is>
          <t>ТССЦ Московской обл., 411-0001, приказ Минстроя России №675/пр от 28.02.2017 № 257/пр</t>
        </is>
      </c>
      <c r="K398" t="inlineStr">
        <is>
          <t>Вода</t>
        </is>
      </c>
      <c r="L398" t="n">
        <v>1339</v>
      </c>
      <c r="N398" t="n">
        <v>1007</v>
      </c>
      <c r="O398" t="inlineStr">
        <is>
          <t>м3</t>
        </is>
      </c>
      <c r="P398" t="inlineStr">
        <is>
          <t>м3</t>
        </is>
      </c>
      <c r="Q398" t="n">
        <v>1</v>
      </c>
      <c r="X398" t="n">
        <v>1</v>
      </c>
      <c r="Y398" t="n">
        <v>2.44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0</v>
      </c>
      <c r="AF398" t="inlineStr">
        <is>
          <t>)*9</t>
        </is>
      </c>
      <c r="AG398" t="n">
        <v>9</v>
      </c>
      <c r="AH398" t="n">
        <v>2</v>
      </c>
      <c r="AI398" t="n">
        <v>78871365</v>
      </c>
      <c r="AJ398" t="n">
        <v>434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ROW(Source!A756)</f>
        <v/>
      </c>
      <c r="B399" t="n">
        <v>78871373</v>
      </c>
      <c r="C399" t="n">
        <v>78871372</v>
      </c>
      <c r="D399" t="n">
        <v>18409850</v>
      </c>
      <c r="E399" t="n">
        <v>1</v>
      </c>
      <c r="F399" t="n">
        <v>1</v>
      </c>
      <c r="G399" t="n">
        <v>1</v>
      </c>
      <c r="H399" t="n">
        <v>1</v>
      </c>
      <c r="I399" t="inlineStr">
        <is>
          <t>1-1035-90</t>
        </is>
      </c>
      <c r="J399" t="inlineStr"/>
      <c r="K399" t="inlineStr">
        <is>
          <t>Рабочий строитель среднего разряда 3,5</t>
        </is>
      </c>
      <c r="L399" t="n">
        <v>1369</v>
      </c>
      <c r="N399" t="n">
        <v>1013</v>
      </c>
      <c r="O399" t="inlineStr">
        <is>
          <t>чел.-ч</t>
        </is>
      </c>
      <c r="P399" t="inlineStr">
        <is>
          <t>чел.-ч</t>
        </is>
      </c>
      <c r="Q399" t="n">
        <v>1</v>
      </c>
      <c r="X399" t="n">
        <v>81</v>
      </c>
      <c r="Y399" t="n">
        <v>0</v>
      </c>
      <c r="Z399" t="n">
        <v>0</v>
      </c>
      <c r="AA399" t="n">
        <v>0</v>
      </c>
      <c r="AB399" t="n">
        <v>9.07</v>
      </c>
      <c r="AC399" t="n">
        <v>0</v>
      </c>
      <c r="AD399" t="n">
        <v>1</v>
      </c>
      <c r="AE399" t="n">
        <v>1</v>
      </c>
      <c r="AF399" t="inlineStr"/>
      <c r="AG399" t="n">
        <v>81</v>
      </c>
      <c r="AH399" t="n">
        <v>2</v>
      </c>
      <c r="AI399" t="n">
        <v>78871373</v>
      </c>
      <c r="AJ399" t="n">
        <v>435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ROW(Source!A756)</f>
        <v/>
      </c>
      <c r="B400" t="n">
        <v>78871374</v>
      </c>
      <c r="C400" t="n">
        <v>78871372</v>
      </c>
      <c r="D400" t="n">
        <v>29174913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400001</t>
        </is>
      </c>
      <c r="J400" t="inlineStr">
        <is>
          <t>ТСЭМ Московской обл., 400001, приказ Минстроя России №675/пр от 28.02.2017 № 264/пр</t>
        </is>
      </c>
      <c r="K400" t="inlineStr">
        <is>
          <t>Автомобили бортовые, грузоподъемность до 5 т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0.05</v>
      </c>
      <c r="Y400" t="n">
        <v>0</v>
      </c>
      <c r="Z400" t="n">
        <v>87.17</v>
      </c>
      <c r="AA400" t="n">
        <v>11.6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0.05</v>
      </c>
      <c r="AH400" t="n">
        <v>2</v>
      </c>
      <c r="AI400" t="n">
        <v>78871374</v>
      </c>
      <c r="AJ400" t="n">
        <v>436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ROW(Source!A756)</f>
        <v/>
      </c>
      <c r="B401" t="n">
        <v>78871375</v>
      </c>
      <c r="C401" t="n">
        <v>78871372</v>
      </c>
      <c r="D401" t="n">
        <v>29110398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101-0388</t>
        </is>
      </c>
      <c r="J401" t="inlineStr">
        <is>
          <t>ТССЦ Московской обл., 101-0388, приказ Минстроя России №675/пр от 28.02.2017 № 254/пр</t>
        </is>
      </c>
      <c r="K401" t="inlineStr">
        <is>
          <t>Краски масляные земляные марки МА-0115 мумия, сурик железный</t>
        </is>
      </c>
      <c r="L401" t="n">
        <v>1348</v>
      </c>
      <c r="N401" t="n">
        <v>1009</v>
      </c>
      <c r="O401" t="inlineStr">
        <is>
          <t>т</t>
        </is>
      </c>
      <c r="P401" t="inlineStr">
        <is>
          <t>т</t>
        </is>
      </c>
      <c r="Q401" t="n">
        <v>1000</v>
      </c>
      <c r="X401" t="n">
        <v>0.0014</v>
      </c>
      <c r="Y401" t="n">
        <v>15118.99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0.0014</v>
      </c>
      <c r="AH401" t="n">
        <v>2</v>
      </c>
      <c r="AI401" t="n">
        <v>78871375</v>
      </c>
      <c r="AJ401" t="n">
        <v>437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ROW(Source!A756)</f>
        <v/>
      </c>
      <c r="B402" t="n">
        <v>78871376</v>
      </c>
      <c r="C402" t="n">
        <v>78871372</v>
      </c>
      <c r="D402" t="n">
        <v>29110573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101-0628</t>
        </is>
      </c>
      <c r="J402" t="inlineStr">
        <is>
          <t>ТССЦ Московской обл., 101-0628, приказ Минстроя России №675/пр от 28.02.2017 № 254/пр</t>
        </is>
      </c>
      <c r="K402" t="inlineStr">
        <is>
          <t>Олифа комбинированная, марки К-3</t>
        </is>
      </c>
      <c r="L402" t="n">
        <v>1348</v>
      </c>
      <c r="N402" t="n">
        <v>1009</v>
      </c>
      <c r="O402" t="inlineStr">
        <is>
          <t>т</t>
        </is>
      </c>
      <c r="P402" t="inlineStr">
        <is>
          <t>т</t>
        </is>
      </c>
      <c r="Q402" t="n">
        <v>1000</v>
      </c>
      <c r="X402" t="n">
        <v>0.0007</v>
      </c>
      <c r="Y402" t="n">
        <v>16950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0.0007</v>
      </c>
      <c r="AH402" t="n">
        <v>2</v>
      </c>
      <c r="AI402" t="n">
        <v>78871376</v>
      </c>
      <c r="AJ402" t="n">
        <v>438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ROW(Source!A756)</f>
        <v/>
      </c>
      <c r="B403" t="n">
        <v>78871377</v>
      </c>
      <c r="C403" t="n">
        <v>78871372</v>
      </c>
      <c r="D403" t="n">
        <v>29107963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101-1669</t>
        </is>
      </c>
      <c r="J403" t="inlineStr">
        <is>
          <t>ТССЦ Московской обл., 101-1669, приказ Минстроя России №675/пр от 28.02.2017 № 254/пр</t>
        </is>
      </c>
      <c r="K403" t="inlineStr">
        <is>
          <t>Очес льняной</t>
        </is>
      </c>
      <c r="L403" t="n">
        <v>1346</v>
      </c>
      <c r="N403" t="n">
        <v>1009</v>
      </c>
      <c r="O403" t="inlineStr">
        <is>
          <t>кг</t>
        </is>
      </c>
      <c r="P403" t="inlineStr">
        <is>
          <t>кг</t>
        </is>
      </c>
      <c r="Q403" t="n">
        <v>1</v>
      </c>
      <c r="X403" t="n">
        <v>0.7</v>
      </c>
      <c r="Y403" t="n">
        <v>37.29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0.7</v>
      </c>
      <c r="AH403" t="n">
        <v>2</v>
      </c>
      <c r="AI403" t="n">
        <v>78871377</v>
      </c>
      <c r="AJ403" t="n">
        <v>439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ROW(Source!A756)</f>
        <v/>
      </c>
      <c r="B404" t="n">
        <v>78871378</v>
      </c>
      <c r="C404" t="n">
        <v>78871372</v>
      </c>
      <c r="D404" t="n">
        <v>29142465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302-1342</t>
        </is>
      </c>
      <c r="J404" t="inlineStr">
        <is>
          <t>ТССЦ Московской обл., 302-1342, приказ Минстроя России №675/пр от 28.02.2017 № 256/пр</t>
        </is>
      </c>
      <c r="K404" t="inlineStr">
        <is>
          <t>Вентили проходные муфтовые 15кч18п для воды давлением 1,6 МПа (16 кгс/см2), диаметром 20 мм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X404" t="n">
        <v>100</v>
      </c>
      <c r="Y404" t="n">
        <v>21.81</v>
      </c>
      <c r="Z404" t="n">
        <v>0</v>
      </c>
      <c r="AA404" t="n">
        <v>0</v>
      </c>
      <c r="AB404" t="n">
        <v>0</v>
      </c>
      <c r="AC404" t="n">
        <v>0</v>
      </c>
      <c r="AD404" t="n">
        <v>1</v>
      </c>
      <c r="AE404" t="n">
        <v>0</v>
      </c>
      <c r="AF404" t="inlineStr"/>
      <c r="AG404" t="n">
        <v>100</v>
      </c>
      <c r="AH404" t="n">
        <v>2</v>
      </c>
      <c r="AI404" t="n">
        <v>78871378</v>
      </c>
      <c r="AJ404" t="n">
        <v>441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ROW(Source!A756)</f>
        <v/>
      </c>
      <c r="B405" t="n">
        <v>78871379</v>
      </c>
      <c r="C405" t="n">
        <v>78871372</v>
      </c>
      <c r="D405" t="n">
        <v>29164350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509-9899</t>
        </is>
      </c>
      <c r="J405" t="inlineStr">
        <is>
          <t>ТССЦ Московской обл., 509-9899, приказ Минстроя России №675/пр от 28.02.2017 № 258/пр</t>
        </is>
      </c>
      <c r="K405" t="inlineStr">
        <is>
          <t>Строительный мусор и масса возвратных материалов</t>
        </is>
      </c>
      <c r="L405" t="n">
        <v>1348</v>
      </c>
      <c r="N405" t="n">
        <v>1009</v>
      </c>
      <c r="O405" t="inlineStr">
        <is>
          <t>т</t>
        </is>
      </c>
      <c r="P405" t="inlineStr">
        <is>
          <t>т</t>
        </is>
      </c>
      <c r="Q405" t="n">
        <v>1000</v>
      </c>
      <c r="X405" t="n">
        <v>0.04</v>
      </c>
      <c r="Y405" t="n">
        <v>0</v>
      </c>
      <c r="Z405" t="n">
        <v>0</v>
      </c>
      <c r="AA405" t="n">
        <v>0</v>
      </c>
      <c r="AB405" t="n">
        <v>0</v>
      </c>
      <c r="AC405" t="n">
        <v>0</v>
      </c>
      <c r="AD405" t="n">
        <v>0</v>
      </c>
      <c r="AE405" t="n">
        <v>0</v>
      </c>
      <c r="AF405" t="inlineStr"/>
      <c r="AG405" t="n">
        <v>0.04</v>
      </c>
      <c r="AH405" t="n">
        <v>2</v>
      </c>
      <c r="AI405" t="n">
        <v>78871379</v>
      </c>
      <c r="AJ405" t="n">
        <v>442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ROW(Source!A797)</f>
        <v/>
      </c>
      <c r="B406" t="n">
        <v>78871485</v>
      </c>
      <c r="C406" t="n">
        <v>78871481</v>
      </c>
      <c r="D406" t="n">
        <v>18407150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1-1030-90</t>
        </is>
      </c>
      <c r="J406" t="inlineStr"/>
      <c r="K406" t="inlineStr">
        <is>
          <t>Рабочий строитель среднего разряда 3</t>
        </is>
      </c>
      <c r="L406" t="n">
        <v>1369</v>
      </c>
      <c r="N406" t="n">
        <v>1013</v>
      </c>
      <c r="O406" t="inlineStr">
        <is>
          <t>чел.-ч</t>
        </is>
      </c>
      <c r="P406" t="inlineStr">
        <is>
          <t>чел.-ч</t>
        </is>
      </c>
      <c r="Q406" t="n">
        <v>1</v>
      </c>
      <c r="X406" t="n">
        <v>13.9</v>
      </c>
      <c r="Y406" t="n">
        <v>0</v>
      </c>
      <c r="Z406" t="n">
        <v>0</v>
      </c>
      <c r="AA406" t="n">
        <v>0</v>
      </c>
      <c r="AB406" t="n">
        <v>8.529999999999999</v>
      </c>
      <c r="AC406" t="n">
        <v>0</v>
      </c>
      <c r="AD406" t="n">
        <v>1</v>
      </c>
      <c r="AE406" t="n">
        <v>1</v>
      </c>
      <c r="AF406" t="inlineStr"/>
      <c r="AG406" t="n">
        <v>13.9</v>
      </c>
      <c r="AH406" t="n">
        <v>2</v>
      </c>
      <c r="AI406" t="n">
        <v>78871482</v>
      </c>
      <c r="AJ406" t="n">
        <v>443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ROW(Source!A797)</f>
        <v/>
      </c>
      <c r="B407" t="n">
        <v>78871486</v>
      </c>
      <c r="C407" t="n">
        <v>78871481</v>
      </c>
      <c r="D407" t="n">
        <v>29169821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509-0696</t>
        </is>
      </c>
      <c r="J407" t="inlineStr">
        <is>
          <t>ТССЦ Московской обл., 509-0696, приказ Минстроя России №675/пр от 28.02.2017 № 258/пр</t>
        </is>
      </c>
      <c r="K407" t="inlineStr">
        <is>
          <t>Лампы люминесцентные ртутные низкого давления типа ЛБ, ЛД, ЛДЦ, ЛТВ, ЛБХ 20</t>
        </is>
      </c>
      <c r="L407" t="n">
        <v>1358</v>
      </c>
      <c r="N407" t="n">
        <v>1010</v>
      </c>
      <c r="O407" t="inlineStr">
        <is>
          <t>10 шт.</t>
        </is>
      </c>
      <c r="P407" t="inlineStr">
        <is>
          <t>10 шт.</t>
        </is>
      </c>
      <c r="Q407" t="n">
        <v>10</v>
      </c>
      <c r="X407" t="n">
        <v>10</v>
      </c>
      <c r="Y407" t="n">
        <v>85.2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10</v>
      </c>
      <c r="AH407" t="n">
        <v>2</v>
      </c>
      <c r="AI407" t="n">
        <v>78871483</v>
      </c>
      <c r="AJ407" t="n">
        <v>444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ROW(Source!A799)</f>
        <v/>
      </c>
      <c r="B408" t="n">
        <v>78871495</v>
      </c>
      <c r="C408" t="n">
        <v>78871488</v>
      </c>
      <c r="D408" t="n">
        <v>18442827</v>
      </c>
      <c r="E408" t="n">
        <v>1</v>
      </c>
      <c r="F408" t="n">
        <v>1</v>
      </c>
      <c r="G408" t="n">
        <v>1</v>
      </c>
      <c r="H408" t="n">
        <v>1</v>
      </c>
      <c r="I408" t="inlineStr">
        <is>
          <t>1-1053-90</t>
        </is>
      </c>
      <c r="J408" t="inlineStr"/>
      <c r="K408" t="inlineStr">
        <is>
          <t>Рабочий строитель среднего разряда 5,3</t>
        </is>
      </c>
      <c r="L408" t="n">
        <v>1369</v>
      </c>
      <c r="N408" t="n">
        <v>1013</v>
      </c>
      <c r="O408" t="inlineStr">
        <is>
          <t>чел.-ч</t>
        </is>
      </c>
      <c r="P408" t="inlineStr">
        <is>
          <t>чел.-ч</t>
        </is>
      </c>
      <c r="Q408" t="n">
        <v>1</v>
      </c>
      <c r="X408" t="n">
        <v>5.01</v>
      </c>
      <c r="Y408" t="n">
        <v>0</v>
      </c>
      <c r="Z408" t="n">
        <v>0</v>
      </c>
      <c r="AA408" t="n">
        <v>0</v>
      </c>
      <c r="AB408" t="n">
        <v>11.64</v>
      </c>
      <c r="AC408" t="n">
        <v>0</v>
      </c>
      <c r="AD408" t="n">
        <v>1</v>
      </c>
      <c r="AE408" t="n">
        <v>1</v>
      </c>
      <c r="AF408" t="inlineStr">
        <is>
          <t>)*5</t>
        </is>
      </c>
      <c r="AG408" t="n">
        <v>25.05</v>
      </c>
      <c r="AH408" t="n">
        <v>2</v>
      </c>
      <c r="AI408" t="n">
        <v>78871489</v>
      </c>
      <c r="AJ408" t="n">
        <v>446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ROW(Source!A799)</f>
        <v/>
      </c>
      <c r="B409" t="n">
        <v>78871496</v>
      </c>
      <c r="C409" t="n">
        <v>78871488</v>
      </c>
      <c r="D409" t="n">
        <v>29172703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042900</t>
        </is>
      </c>
      <c r="J409" t="inlineStr">
        <is>
          <t>ТСЭМ Московской обл., 042900, приказ Минстроя России №675/пр от 28.02.2017 № 264/пр</t>
        </is>
      </c>
      <c r="K40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1.5</v>
      </c>
      <c r="Y409" t="n">
        <v>0</v>
      </c>
      <c r="Z409" t="n">
        <v>29.67</v>
      </c>
      <c r="AA409" t="n">
        <v>0</v>
      </c>
      <c r="AB409" t="n">
        <v>0</v>
      </c>
      <c r="AC409" t="n">
        <v>0</v>
      </c>
      <c r="AD409" t="n">
        <v>1</v>
      </c>
      <c r="AE409" t="n">
        <v>0</v>
      </c>
      <c r="AF409" t="inlineStr">
        <is>
          <t>)*5</t>
        </is>
      </c>
      <c r="AG409" t="n">
        <v>7.5</v>
      </c>
      <c r="AH409" t="n">
        <v>2</v>
      </c>
      <c r="AI409" t="n">
        <v>78871490</v>
      </c>
      <c r="AJ409" t="n">
        <v>447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ROW(Source!A799)</f>
        <v/>
      </c>
      <c r="B410" t="n">
        <v>78871497</v>
      </c>
      <c r="C410" t="n">
        <v>78871488</v>
      </c>
      <c r="D410" t="n">
        <v>29110398</v>
      </c>
      <c r="E410" t="n">
        <v>1</v>
      </c>
      <c r="F410" t="n">
        <v>1</v>
      </c>
      <c r="G410" t="n">
        <v>1</v>
      </c>
      <c r="H410" t="n">
        <v>3</v>
      </c>
      <c r="I410" t="inlineStr">
        <is>
          <t>101-0388</t>
        </is>
      </c>
      <c r="J410" t="inlineStr">
        <is>
          <t>ТССЦ Московской обл., 101-0388, приказ Минстроя России №675/пр от 28.02.2017 № 254/пр</t>
        </is>
      </c>
      <c r="K410" t="inlineStr">
        <is>
          <t>Краски масляные земляные марки МА-0115 мумия, сурик железный</t>
        </is>
      </c>
      <c r="L410" t="n">
        <v>1348</v>
      </c>
      <c r="N410" t="n">
        <v>1009</v>
      </c>
      <c r="O410" t="inlineStr">
        <is>
          <t>т</t>
        </is>
      </c>
      <c r="P410" t="inlineStr">
        <is>
          <t>т</t>
        </is>
      </c>
      <c r="Q410" t="n">
        <v>1000</v>
      </c>
      <c r="X410" t="n">
        <v>5e-05</v>
      </c>
      <c r="Y410" t="n">
        <v>15118.99</v>
      </c>
      <c r="Z410" t="n">
        <v>0</v>
      </c>
      <c r="AA410" t="n">
        <v>0</v>
      </c>
      <c r="AB410" t="n">
        <v>0</v>
      </c>
      <c r="AC410" t="n">
        <v>0</v>
      </c>
      <c r="AD410" t="n">
        <v>1</v>
      </c>
      <c r="AE410" t="n">
        <v>0</v>
      </c>
      <c r="AF410" t="inlineStr">
        <is>
          <t>)*5</t>
        </is>
      </c>
      <c r="AG410" t="n">
        <v>0.00025</v>
      </c>
      <c r="AH410" t="n">
        <v>2</v>
      </c>
      <c r="AI410" t="n">
        <v>78871491</v>
      </c>
      <c r="AJ410" t="n">
        <v>448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ROW(Source!A799)</f>
        <v/>
      </c>
      <c r="B411" t="n">
        <v>78871498</v>
      </c>
      <c r="C411" t="n">
        <v>78871488</v>
      </c>
      <c r="D411" t="n">
        <v>29110573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101-0628</t>
        </is>
      </c>
      <c r="J411" t="inlineStr">
        <is>
          <t>ТССЦ Московской обл., 101-0628, приказ Минстроя России №675/пр от 28.02.2017 № 254/пр</t>
        </is>
      </c>
      <c r="K411" t="inlineStr">
        <is>
          <t>Олифа комбинированная, марки К-3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2e-05</v>
      </c>
      <c r="Y411" t="n">
        <v>16950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>
        <is>
          <t>)*5</t>
        </is>
      </c>
      <c r="AG411" t="n">
        <v>0.0001</v>
      </c>
      <c r="AH411" t="n">
        <v>2</v>
      </c>
      <c r="AI411" t="n">
        <v>78871492</v>
      </c>
      <c r="AJ411" t="n">
        <v>449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ROW(Source!A799)</f>
        <v/>
      </c>
      <c r="B412" t="n">
        <v>78871499</v>
      </c>
      <c r="C412" t="n">
        <v>78871488</v>
      </c>
      <c r="D412" t="n">
        <v>29107963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101-1669</t>
        </is>
      </c>
      <c r="J412" t="inlineStr">
        <is>
          <t>ТССЦ Московской обл., 101-1669, приказ Минстроя России №675/пр от 28.02.2017 № 254/пр</t>
        </is>
      </c>
      <c r="K412" t="inlineStr">
        <is>
          <t>Очес льняной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0.02</v>
      </c>
      <c r="Y412" t="n">
        <v>37.29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>
        <is>
          <t>)*5</t>
        </is>
      </c>
      <c r="AG412" t="n">
        <v>0.1</v>
      </c>
      <c r="AH412" t="n">
        <v>2</v>
      </c>
      <c r="AI412" t="n">
        <v>78871493</v>
      </c>
      <c r="AJ412" t="n">
        <v>450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ROW(Source!A799)</f>
        <v/>
      </c>
      <c r="B413" t="n">
        <v>78871500</v>
      </c>
      <c r="C413" t="n">
        <v>78871488</v>
      </c>
      <c r="D413" t="n">
        <v>29150040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411-0001</t>
        </is>
      </c>
      <c r="J413" t="inlineStr">
        <is>
          <t>ТССЦ Московской обл., 411-0001, приказ Минстроя России №675/пр от 28.02.2017 № 257/пр</t>
        </is>
      </c>
      <c r="K413" t="inlineStr">
        <is>
          <t>Вода</t>
        </is>
      </c>
      <c r="L413" t="n">
        <v>1339</v>
      </c>
      <c r="N413" t="n">
        <v>1007</v>
      </c>
      <c r="O413" t="inlineStr">
        <is>
          <t>м3</t>
        </is>
      </c>
      <c r="P413" t="inlineStr">
        <is>
          <t>м3</t>
        </is>
      </c>
      <c r="Q413" t="n">
        <v>1</v>
      </c>
      <c r="X413" t="n">
        <v>1</v>
      </c>
      <c r="Y413" t="n">
        <v>2.44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>
        <is>
          <t>)*5</t>
        </is>
      </c>
      <c r="AG413" t="n">
        <v>5</v>
      </c>
      <c r="AH413" t="n">
        <v>2</v>
      </c>
      <c r="AI413" t="n">
        <v>78871494</v>
      </c>
      <c r="AJ413" t="n">
        <v>451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ROW(Source!A838)</f>
        <v/>
      </c>
      <c r="B414" t="n">
        <v>78871570</v>
      </c>
      <c r="C414" t="n">
        <v>78871564</v>
      </c>
      <c r="D414" t="n">
        <v>18408291</v>
      </c>
      <c r="E414" t="n">
        <v>1</v>
      </c>
      <c r="F414" t="n">
        <v>1</v>
      </c>
      <c r="G414" t="n">
        <v>1</v>
      </c>
      <c r="H414" t="n">
        <v>1</v>
      </c>
      <c r="I414" t="inlineStr">
        <is>
          <t>1-1025-90</t>
        </is>
      </c>
      <c r="J414" t="inlineStr"/>
      <c r="K414" t="inlineStr">
        <is>
          <t>Рабочий строитель среднего разряда 2,5</t>
        </is>
      </c>
      <c r="L414" t="n">
        <v>1369</v>
      </c>
      <c r="N414" t="n">
        <v>1013</v>
      </c>
      <c r="O414" t="inlineStr">
        <is>
          <t>чел.-ч</t>
        </is>
      </c>
      <c r="P414" t="inlineStr">
        <is>
          <t>чел.-ч</t>
        </is>
      </c>
      <c r="Q414" t="n">
        <v>1</v>
      </c>
      <c r="X414" t="n">
        <v>32.2</v>
      </c>
      <c r="Y414" t="n">
        <v>0</v>
      </c>
      <c r="Z414" t="n">
        <v>0</v>
      </c>
      <c r="AA414" t="n">
        <v>0</v>
      </c>
      <c r="AB414" t="n">
        <v>8.17</v>
      </c>
      <c r="AC414" t="n">
        <v>0</v>
      </c>
      <c r="AD414" t="n">
        <v>1</v>
      </c>
      <c r="AE414" t="n">
        <v>1</v>
      </c>
      <c r="AF414" t="inlineStr"/>
      <c r="AG414" t="n">
        <v>32.2</v>
      </c>
      <c r="AH414" t="n">
        <v>2</v>
      </c>
      <c r="AI414" t="n">
        <v>78871565</v>
      </c>
      <c r="AJ414" t="n">
        <v>452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ROW(Source!A838)</f>
        <v/>
      </c>
      <c r="B415" t="n">
        <v>78871571</v>
      </c>
      <c r="C415" t="n">
        <v>78871564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X415" t="n">
        <v>0.01</v>
      </c>
      <c r="Y415" t="n">
        <v>0</v>
      </c>
      <c r="Z415" t="n">
        <v>87.17</v>
      </c>
      <c r="AA415" t="n">
        <v>11.6</v>
      </c>
      <c r="AB415" t="n">
        <v>0</v>
      </c>
      <c r="AC415" t="n">
        <v>0</v>
      </c>
      <c r="AD415" t="n">
        <v>1</v>
      </c>
      <c r="AE415" t="n">
        <v>0</v>
      </c>
      <c r="AF415" t="inlineStr"/>
      <c r="AG415" t="n">
        <v>0.01</v>
      </c>
      <c r="AH415" t="n">
        <v>2</v>
      </c>
      <c r="AI415" t="n">
        <v>78871566</v>
      </c>
      <c r="AJ415" t="n">
        <v>453</v>
      </c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ROW(Source!A838)</f>
        <v/>
      </c>
      <c r="B416" t="n">
        <v>78871572</v>
      </c>
      <c r="C416" t="n">
        <v>78871564</v>
      </c>
      <c r="D416" t="n">
        <v>29110139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101-1703</t>
        </is>
      </c>
      <c r="J416" t="inlineStr">
        <is>
          <t>ТССЦ Московской обл., 101-1703, приказ Минстроя России №675/пр от 28.02.2017 № 254/пр</t>
        </is>
      </c>
      <c r="K416" t="inlineStr">
        <is>
          <t>Прокладки резиновые (пластина техническая прессованная)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2</v>
      </c>
      <c r="Y416" t="n">
        <v>23.09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2</v>
      </c>
      <c r="AH416" t="n">
        <v>2</v>
      </c>
      <c r="AI416" t="n">
        <v>78871567</v>
      </c>
      <c r="AJ416" t="n">
        <v>454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ROW(Source!A838)</f>
        <v/>
      </c>
      <c r="B417" t="n">
        <v>78871573</v>
      </c>
      <c r="C417" t="n">
        <v>78871564</v>
      </c>
      <c r="D417" t="n">
        <v>29114240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101-2576</t>
        </is>
      </c>
      <c r="J417" t="inlineStr">
        <is>
          <t>ТССЦ Московской обл., 101-2576, приказ Минстроя России №675/пр от 28.02.2017 № 254/пр</t>
        </is>
      </c>
      <c r="K417" t="inlineStr">
        <is>
          <t>Болты с гайками и шайбами для санитарно-технических работ диаметром 16 мм</t>
        </is>
      </c>
      <c r="L417" t="n">
        <v>1348</v>
      </c>
      <c r="N417" t="n">
        <v>1009</v>
      </c>
      <c r="O417" t="inlineStr">
        <is>
          <t>т</t>
        </is>
      </c>
      <c r="P417" t="inlineStr">
        <is>
          <t>т</t>
        </is>
      </c>
      <c r="Q417" t="n">
        <v>1000</v>
      </c>
      <c r="X417" t="n">
        <v>0.005</v>
      </c>
      <c r="Y417" t="n">
        <v>14830</v>
      </c>
      <c r="Z417" t="n">
        <v>0</v>
      </c>
      <c r="AA417" t="n">
        <v>0</v>
      </c>
      <c r="AB417" t="n">
        <v>0</v>
      </c>
      <c r="AC417" t="n">
        <v>0</v>
      </c>
      <c r="AD417" t="n">
        <v>1</v>
      </c>
      <c r="AE417" t="n">
        <v>0</v>
      </c>
      <c r="AF417" t="inlineStr"/>
      <c r="AG417" t="n">
        <v>0.005</v>
      </c>
      <c r="AH417" t="n">
        <v>2</v>
      </c>
      <c r="AI417" t="n">
        <v>78871568</v>
      </c>
      <c r="AJ417" t="n">
        <v>455</v>
      </c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ROW(Source!A838)</f>
        <v/>
      </c>
      <c r="B418" t="n">
        <v>78871574</v>
      </c>
      <c r="C418" t="n">
        <v>78871564</v>
      </c>
      <c r="D418" t="n">
        <v>29150040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411-0001</t>
        </is>
      </c>
      <c r="J418" t="inlineStr">
        <is>
          <t>ТССЦ Московской обл., 411-0001, приказ Минстроя России №675/пр от 28.02.2017 № 257/пр</t>
        </is>
      </c>
      <c r="K418" t="inlineStr">
        <is>
          <t>Вода</t>
        </is>
      </c>
      <c r="L418" t="n">
        <v>1339</v>
      </c>
      <c r="N418" t="n">
        <v>1007</v>
      </c>
      <c r="O418" t="inlineStr">
        <is>
          <t>м3</t>
        </is>
      </c>
      <c r="P418" t="inlineStr">
        <is>
          <t>м3</t>
        </is>
      </c>
      <c r="Q418" t="n">
        <v>1</v>
      </c>
      <c r="X418" t="n">
        <v>7.8</v>
      </c>
      <c r="Y418" t="n">
        <v>2.44</v>
      </c>
      <c r="Z418" t="n">
        <v>0</v>
      </c>
      <c r="AA418" t="n">
        <v>0</v>
      </c>
      <c r="AB418" t="n">
        <v>0</v>
      </c>
      <c r="AC418" t="n">
        <v>0</v>
      </c>
      <c r="AD418" t="n">
        <v>1</v>
      </c>
      <c r="AE418" t="n">
        <v>0</v>
      </c>
      <c r="AF418" t="inlineStr"/>
      <c r="AG418" t="n">
        <v>7.8</v>
      </c>
      <c r="AH418" t="n">
        <v>2</v>
      </c>
      <c r="AI418" t="n">
        <v>78871569</v>
      </c>
      <c r="AJ418" t="n">
        <v>456</v>
      </c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ROW(Source!A839)</f>
        <v/>
      </c>
      <c r="B419" t="n">
        <v>78871584</v>
      </c>
      <c r="C419" t="n">
        <v>78871575</v>
      </c>
      <c r="D419" t="n">
        <v>18409850</v>
      </c>
      <c r="E419" t="n">
        <v>1</v>
      </c>
      <c r="F419" t="n">
        <v>1</v>
      </c>
      <c r="G419" t="n">
        <v>1</v>
      </c>
      <c r="H419" t="n">
        <v>1</v>
      </c>
      <c r="I419" t="inlineStr">
        <is>
          <t>1-1035-90</t>
        </is>
      </c>
      <c r="J419" t="inlineStr"/>
      <c r="K419" t="inlineStr">
        <is>
          <t>Рабочий строитель среднего разряда 3,5</t>
        </is>
      </c>
      <c r="L419" t="n">
        <v>1369</v>
      </c>
      <c r="N419" t="n">
        <v>1013</v>
      </c>
      <c r="O419" t="inlineStr">
        <is>
          <t>чел.-ч</t>
        </is>
      </c>
      <c r="P419" t="inlineStr">
        <is>
          <t>чел.-ч</t>
        </is>
      </c>
      <c r="Q419" t="n">
        <v>1</v>
      </c>
      <c r="X419" t="n">
        <v>81</v>
      </c>
      <c r="Y419" t="n">
        <v>0</v>
      </c>
      <c r="Z419" t="n">
        <v>0</v>
      </c>
      <c r="AA419" t="n">
        <v>0</v>
      </c>
      <c r="AB419" t="n">
        <v>9.07</v>
      </c>
      <c r="AC419" t="n">
        <v>0</v>
      </c>
      <c r="AD419" t="n">
        <v>1</v>
      </c>
      <c r="AE419" t="n">
        <v>1</v>
      </c>
      <c r="AF419" t="inlineStr"/>
      <c r="AG419" t="n">
        <v>81</v>
      </c>
      <c r="AH419" t="n">
        <v>2</v>
      </c>
      <c r="AI419" t="n">
        <v>78871576</v>
      </c>
      <c r="AJ419" t="n">
        <v>457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ROW(Source!A839)</f>
        <v/>
      </c>
      <c r="B420" t="n">
        <v>78871585</v>
      </c>
      <c r="C420" t="n">
        <v>78871575</v>
      </c>
      <c r="D420" t="n">
        <v>29174913</v>
      </c>
      <c r="E420" t="n">
        <v>1</v>
      </c>
      <c r="F420" t="n">
        <v>1</v>
      </c>
      <c r="G420" t="n">
        <v>1</v>
      </c>
      <c r="H420" t="n">
        <v>2</v>
      </c>
      <c r="I420" t="inlineStr">
        <is>
          <t>400001</t>
        </is>
      </c>
      <c r="J420" t="inlineStr">
        <is>
          <t>ТСЭМ Московской обл., 400001, приказ Минстроя России №675/пр от 28.02.2017 № 264/пр</t>
        </is>
      </c>
      <c r="K420" t="inlineStr">
        <is>
          <t>Автомобили бортовые, грузоподъемность до 5 т</t>
        </is>
      </c>
      <c r="L420" t="n">
        <v>1368</v>
      </c>
      <c r="N420" t="n">
        <v>1011</v>
      </c>
      <c r="O420" t="inlineStr">
        <is>
          <t>маш.-ч</t>
        </is>
      </c>
      <c r="P420" t="inlineStr">
        <is>
          <t>маш.-ч</t>
        </is>
      </c>
      <c r="Q420" t="n">
        <v>1</v>
      </c>
      <c r="X420" t="n">
        <v>0.05</v>
      </c>
      <c r="Y420" t="n">
        <v>0</v>
      </c>
      <c r="Z420" t="n">
        <v>87.17</v>
      </c>
      <c r="AA420" t="n">
        <v>11.6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0.05</v>
      </c>
      <c r="AH420" t="n">
        <v>2</v>
      </c>
      <c r="AI420" t="n">
        <v>78871577</v>
      </c>
      <c r="AJ420" t="n">
        <v>458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ROW(Source!A839)</f>
        <v/>
      </c>
      <c r="B421" t="n">
        <v>78871586</v>
      </c>
      <c r="C421" t="n">
        <v>78871575</v>
      </c>
      <c r="D421" t="n">
        <v>29110398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101-0388</t>
        </is>
      </c>
      <c r="J421" t="inlineStr">
        <is>
          <t>ТССЦ Московской обл., 101-0388, приказ Минстроя России №675/пр от 28.02.2017 № 254/пр</t>
        </is>
      </c>
      <c r="K421" t="inlineStr">
        <is>
          <t>Краски масляные земляные марки МА-0115 мумия, сурик железный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X421" t="n">
        <v>0.0014</v>
      </c>
      <c r="Y421" t="n">
        <v>15118.99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0.0014</v>
      </c>
      <c r="AH421" t="n">
        <v>2</v>
      </c>
      <c r="AI421" t="n">
        <v>78871578</v>
      </c>
      <c r="AJ421" t="n">
        <v>459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ROW(Source!A839)</f>
        <v/>
      </c>
      <c r="B422" t="n">
        <v>78871587</v>
      </c>
      <c r="C422" t="n">
        <v>78871575</v>
      </c>
      <c r="D422" t="n">
        <v>29110573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101-0628</t>
        </is>
      </c>
      <c r="J422" t="inlineStr">
        <is>
          <t>ТССЦ Московской обл., 101-0628, приказ Минстроя России №675/пр от 28.02.2017 № 254/пр</t>
        </is>
      </c>
      <c r="K422" t="inlineStr">
        <is>
          <t>Олифа комбинированная, марки К-3</t>
        </is>
      </c>
      <c r="L422" t="n">
        <v>1348</v>
      </c>
      <c r="N422" t="n">
        <v>1009</v>
      </c>
      <c r="O422" t="inlineStr">
        <is>
          <t>т</t>
        </is>
      </c>
      <c r="P422" t="inlineStr">
        <is>
          <t>т</t>
        </is>
      </c>
      <c r="Q422" t="n">
        <v>1000</v>
      </c>
      <c r="X422" t="n">
        <v>0.0007</v>
      </c>
      <c r="Y422" t="n">
        <v>16950</v>
      </c>
      <c r="Z422" t="n">
        <v>0</v>
      </c>
      <c r="AA422" t="n">
        <v>0</v>
      </c>
      <c r="AB422" t="n">
        <v>0</v>
      </c>
      <c r="AC422" t="n">
        <v>0</v>
      </c>
      <c r="AD422" t="n">
        <v>1</v>
      </c>
      <c r="AE422" t="n">
        <v>0</v>
      </c>
      <c r="AF422" t="inlineStr"/>
      <c r="AG422" t="n">
        <v>0.0007</v>
      </c>
      <c r="AH422" t="n">
        <v>2</v>
      </c>
      <c r="AI422" t="n">
        <v>78871579</v>
      </c>
      <c r="AJ422" t="n">
        <v>460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ROW(Source!A839)</f>
        <v/>
      </c>
      <c r="B423" t="n">
        <v>78871588</v>
      </c>
      <c r="C423" t="n">
        <v>78871575</v>
      </c>
      <c r="D423" t="n">
        <v>29107963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101-1669</t>
        </is>
      </c>
      <c r="J423" t="inlineStr">
        <is>
          <t>ТССЦ Московской обл., 101-1669, приказ Минстроя России №675/пр от 28.02.2017 № 254/пр</t>
        </is>
      </c>
      <c r="K423" t="inlineStr">
        <is>
          <t>Очес льняной</t>
        </is>
      </c>
      <c r="L423" t="n">
        <v>1346</v>
      </c>
      <c r="N423" t="n">
        <v>1009</v>
      </c>
      <c r="O423" t="inlineStr">
        <is>
          <t>кг</t>
        </is>
      </c>
      <c r="P423" t="inlineStr">
        <is>
          <t>кг</t>
        </is>
      </c>
      <c r="Q423" t="n">
        <v>1</v>
      </c>
      <c r="X423" t="n">
        <v>0.7</v>
      </c>
      <c r="Y423" t="n">
        <v>37.29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0</v>
      </c>
      <c r="AF423" t="inlineStr"/>
      <c r="AG423" t="n">
        <v>0.7</v>
      </c>
      <c r="AH423" t="n">
        <v>2</v>
      </c>
      <c r="AI423" t="n">
        <v>78871580</v>
      </c>
      <c r="AJ423" t="n">
        <v>461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ROW(Source!A839)</f>
        <v/>
      </c>
      <c r="B424" t="n">
        <v>78871589</v>
      </c>
      <c r="C424" t="n">
        <v>78871575</v>
      </c>
      <c r="D424" t="n">
        <v>29142465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302-1342</t>
        </is>
      </c>
      <c r="J424" t="inlineStr">
        <is>
          <t>ТССЦ Московской обл., 302-1342, приказ Минстроя России №675/пр от 28.02.2017 № 256/пр</t>
        </is>
      </c>
      <c r="K424" t="inlineStr">
        <is>
          <t>Вентили проходные муфтовые 15кч18п для воды давлением 1,6 МПа (16 кгс/см2), диаметром 20 мм</t>
        </is>
      </c>
      <c r="L424" t="n">
        <v>1354</v>
      </c>
      <c r="N424" t="n">
        <v>1010</v>
      </c>
      <c r="O424" t="inlineStr">
        <is>
          <t>шт.</t>
        </is>
      </c>
      <c r="P424" t="inlineStr">
        <is>
          <t>шт.</t>
        </is>
      </c>
      <c r="Q424" t="n">
        <v>1</v>
      </c>
      <c r="X424" t="n">
        <v>100</v>
      </c>
      <c r="Y424" t="n">
        <v>21.81</v>
      </c>
      <c r="Z424" t="n">
        <v>0</v>
      </c>
      <c r="AA424" t="n">
        <v>0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100</v>
      </c>
      <c r="AH424" t="n">
        <v>2</v>
      </c>
      <c r="AI424" t="n">
        <v>78871582</v>
      </c>
      <c r="AJ424" t="n">
        <v>465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ROW(Source!A839)</f>
        <v/>
      </c>
      <c r="B425" t="n">
        <v>78871590</v>
      </c>
      <c r="C425" t="n">
        <v>78871575</v>
      </c>
      <c r="D425" t="n">
        <v>29164350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509-9899</t>
        </is>
      </c>
      <c r="J425" t="inlineStr">
        <is>
          <t>ТССЦ Московской обл., 509-9899, приказ Минстроя России №675/пр от 28.02.2017 № 258/пр</t>
        </is>
      </c>
      <c r="K425" t="inlineStr">
        <is>
          <t>Строительный мусор и масса возвратных материалов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0.04</v>
      </c>
      <c r="Y425" t="n">
        <v>0</v>
      </c>
      <c r="Z425" t="n">
        <v>0</v>
      </c>
      <c r="AA425" t="n">
        <v>0</v>
      </c>
      <c r="AB425" t="n">
        <v>0</v>
      </c>
      <c r="AC425" t="n">
        <v>0</v>
      </c>
      <c r="AD425" t="n">
        <v>0</v>
      </c>
      <c r="AE425" t="n">
        <v>0</v>
      </c>
      <c r="AF425" t="inlineStr"/>
      <c r="AG425" t="n">
        <v>0.04</v>
      </c>
      <c r="AH425" t="n">
        <v>2</v>
      </c>
      <c r="AI425" t="n">
        <v>78871583</v>
      </c>
      <c r="AJ425" t="n">
        <v>467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ROW(Source!A845)</f>
        <v/>
      </c>
      <c r="B426" t="n">
        <v>78871644</v>
      </c>
      <c r="C426" t="n">
        <v>78871613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X426" t="n">
        <v>71</v>
      </c>
      <c r="Y426" t="n">
        <v>0</v>
      </c>
      <c r="Z426" t="n">
        <v>0</v>
      </c>
      <c r="AA426" t="n">
        <v>0</v>
      </c>
      <c r="AB426" t="n">
        <v>9.51</v>
      </c>
      <c r="AC426" t="n">
        <v>0</v>
      </c>
      <c r="AD426" t="n">
        <v>1</v>
      </c>
      <c r="AE426" t="n">
        <v>1</v>
      </c>
      <c r="AF426" t="inlineStr"/>
      <c r="AG426" t="n">
        <v>71</v>
      </c>
      <c r="AH426" t="n">
        <v>2</v>
      </c>
      <c r="AI426" t="n">
        <v>78871644</v>
      </c>
      <c r="AJ426" t="n">
        <v>468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ROW(Source!A845)</f>
        <v/>
      </c>
      <c r="B427" t="n">
        <v>78871645</v>
      </c>
      <c r="C427" t="n">
        <v>78871613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X427" t="n">
        <v>0.11</v>
      </c>
      <c r="Y427" t="n">
        <v>0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2</v>
      </c>
      <c r="AF427" t="inlineStr"/>
      <c r="AG427" t="n">
        <v>0.11</v>
      </c>
      <c r="AH427" t="n">
        <v>2</v>
      </c>
      <c r="AI427" t="n">
        <v>78871645</v>
      </c>
      <c r="AJ427" t="n">
        <v>469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ROW(Source!A845)</f>
        <v/>
      </c>
      <c r="B428" t="n">
        <v>78871646</v>
      </c>
      <c r="C428" t="n">
        <v>78871613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X428" t="n">
        <v>0.11</v>
      </c>
      <c r="Y428" t="n">
        <v>0</v>
      </c>
      <c r="Z428" t="n">
        <v>31.26</v>
      </c>
      <c r="AA428" t="n">
        <v>13.5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0.11</v>
      </c>
      <c r="AH428" t="n">
        <v>2</v>
      </c>
      <c r="AI428" t="n">
        <v>78871646</v>
      </c>
      <c r="AJ428" t="n">
        <v>470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ROW(Source!A845)</f>
        <v/>
      </c>
      <c r="B429" t="n">
        <v>78871647</v>
      </c>
      <c r="C429" t="n">
        <v>78871613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X429" t="n">
        <v>0.0013</v>
      </c>
      <c r="Y429" t="n">
        <v>15118.99</v>
      </c>
      <c r="Z429" t="n">
        <v>0</v>
      </c>
      <c r="AA429" t="n">
        <v>0</v>
      </c>
      <c r="AB429" t="n">
        <v>0</v>
      </c>
      <c r="AC429" t="n">
        <v>0</v>
      </c>
      <c r="AD429" t="n">
        <v>1</v>
      </c>
      <c r="AE429" t="n">
        <v>0</v>
      </c>
      <c r="AF429" t="inlineStr"/>
      <c r="AG429" t="n">
        <v>0.0013</v>
      </c>
      <c r="AH429" t="n">
        <v>2</v>
      </c>
      <c r="AI429" t="n">
        <v>78871647</v>
      </c>
      <c r="AJ429" t="n">
        <v>471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ROW(Source!A845)</f>
        <v/>
      </c>
      <c r="B430" t="n">
        <v>78871648</v>
      </c>
      <c r="C430" t="n">
        <v>78871613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X430" t="n">
        <v>0.0024</v>
      </c>
      <c r="Y430" t="n">
        <v>16950</v>
      </c>
      <c r="Z430" t="n">
        <v>0</v>
      </c>
      <c r="AA430" t="n">
        <v>0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0.0024</v>
      </c>
      <c r="AH430" t="n">
        <v>2</v>
      </c>
      <c r="AI430" t="n">
        <v>78871648</v>
      </c>
      <c r="AJ430" t="n">
        <v>472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ROW(Source!A845)</f>
        <v/>
      </c>
      <c r="B431" t="n">
        <v>78871649</v>
      </c>
      <c r="C431" t="n">
        <v>78871613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X431" t="n">
        <v>0.5600000000000001</v>
      </c>
      <c r="Y431" t="n">
        <v>37.29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0.5600000000000001</v>
      </c>
      <c r="AH431" t="n">
        <v>2</v>
      </c>
      <c r="AI431" t="n">
        <v>78871649</v>
      </c>
      <c r="AJ431" t="n">
        <v>473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ROW(Source!A845)</f>
        <v/>
      </c>
      <c r="B432" t="n">
        <v>78871650</v>
      </c>
      <c r="C432" t="n">
        <v>78871613</v>
      </c>
      <c r="D432" t="n">
        <v>29144224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302-1241</t>
        </is>
      </c>
      <c r="J432" t="inlineStr">
        <is>
          <t>ТССЦ Московской обл., 302-1241, приказ Минстроя России №675/пр от 28.02.2017 № 256/пр</t>
        </is>
      </c>
      <c r="K432" t="inlineStr">
        <is>
          <t>Сгоны стальные с муфтой и контргайкой, диаметром 50 мм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X432" t="n">
        <v>100</v>
      </c>
      <c r="Y432" t="n">
        <v>28.58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100</v>
      </c>
      <c r="AH432" t="n">
        <v>2</v>
      </c>
      <c r="AI432" t="n">
        <v>78871650</v>
      </c>
      <c r="AJ432" t="n">
        <v>475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ROW(Source!A848)</f>
        <v/>
      </c>
      <c r="B433" t="n">
        <v>78871600</v>
      </c>
      <c r="C433" t="n">
        <v>78871593</v>
      </c>
      <c r="D433" t="n">
        <v>18442827</v>
      </c>
      <c r="E433" t="n">
        <v>1</v>
      </c>
      <c r="F433" t="n">
        <v>1</v>
      </c>
      <c r="G433" t="n">
        <v>1</v>
      </c>
      <c r="H433" t="n">
        <v>1</v>
      </c>
      <c r="I433" t="inlineStr">
        <is>
          <t>1-1053-90</t>
        </is>
      </c>
      <c r="J433" t="inlineStr"/>
      <c r="K433" t="inlineStr">
        <is>
          <t>Рабочий строитель среднего разряда 5,3</t>
        </is>
      </c>
      <c r="L433" t="n">
        <v>1369</v>
      </c>
      <c r="N433" t="n">
        <v>1013</v>
      </c>
      <c r="O433" t="inlineStr">
        <is>
          <t>чел.-ч</t>
        </is>
      </c>
      <c r="P433" t="inlineStr">
        <is>
          <t>чел.-ч</t>
        </is>
      </c>
      <c r="Q433" t="n">
        <v>1</v>
      </c>
      <c r="X433" t="n">
        <v>5.01</v>
      </c>
      <c r="Y433" t="n">
        <v>0</v>
      </c>
      <c r="Z433" t="n">
        <v>0</v>
      </c>
      <c r="AA433" t="n">
        <v>0</v>
      </c>
      <c r="AB433" t="n">
        <v>11.64</v>
      </c>
      <c r="AC433" t="n">
        <v>0</v>
      </c>
      <c r="AD433" t="n">
        <v>1</v>
      </c>
      <c r="AE433" t="n">
        <v>1</v>
      </c>
      <c r="AF433" t="inlineStr">
        <is>
          <t>)*9</t>
        </is>
      </c>
      <c r="AG433" t="n">
        <v>45.09</v>
      </c>
      <c r="AH433" t="n">
        <v>2</v>
      </c>
      <c r="AI433" t="n">
        <v>78871594</v>
      </c>
      <c r="AJ433" t="n">
        <v>476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ROW(Source!A848)</f>
        <v/>
      </c>
      <c r="B434" t="n">
        <v>78871601</v>
      </c>
      <c r="C434" t="n">
        <v>78871593</v>
      </c>
      <c r="D434" t="n">
        <v>29172703</v>
      </c>
      <c r="E434" t="n">
        <v>1</v>
      </c>
      <c r="F434" t="n">
        <v>1</v>
      </c>
      <c r="G434" t="n">
        <v>1</v>
      </c>
      <c r="H434" t="n">
        <v>2</v>
      </c>
      <c r="I434" t="inlineStr">
        <is>
          <t>042900</t>
        </is>
      </c>
      <c r="J434" t="inlineStr">
        <is>
          <t>ТСЭМ Московской обл., 042900, приказ Минстроя России №675/пр от 28.02.2017 № 264/пр</t>
        </is>
      </c>
      <c r="K43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4" t="n">
        <v>1368</v>
      </c>
      <c r="N434" t="n">
        <v>1011</v>
      </c>
      <c r="O434" t="inlineStr">
        <is>
          <t>маш.-ч</t>
        </is>
      </c>
      <c r="P434" t="inlineStr">
        <is>
          <t>маш.-ч</t>
        </is>
      </c>
      <c r="Q434" t="n">
        <v>1</v>
      </c>
      <c r="X434" t="n">
        <v>1.5</v>
      </c>
      <c r="Y434" t="n">
        <v>0</v>
      </c>
      <c r="Z434" t="n">
        <v>29.67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>
        <is>
          <t>)*9</t>
        </is>
      </c>
      <c r="AG434" t="n">
        <v>13.5</v>
      </c>
      <c r="AH434" t="n">
        <v>2</v>
      </c>
      <c r="AI434" t="n">
        <v>78871595</v>
      </c>
      <c r="AJ434" t="n">
        <v>477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ROW(Source!A848)</f>
        <v/>
      </c>
      <c r="B435" t="n">
        <v>78871602</v>
      </c>
      <c r="C435" t="n">
        <v>78871593</v>
      </c>
      <c r="D435" t="n">
        <v>29110398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101-0388</t>
        </is>
      </c>
      <c r="J435" t="inlineStr">
        <is>
          <t>ТССЦ Московской обл., 101-0388, приказ Минстроя России №675/пр от 28.02.2017 № 254/пр</t>
        </is>
      </c>
      <c r="K435" t="inlineStr">
        <is>
          <t>Краски масляные земляные марки МА-0115 мумия, сурик железный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5e-05</v>
      </c>
      <c r="Y435" t="n">
        <v>15118.99</v>
      </c>
      <c r="Z435" t="n">
        <v>0</v>
      </c>
      <c r="AA435" t="n">
        <v>0</v>
      </c>
      <c r="AB435" t="n">
        <v>0</v>
      </c>
      <c r="AC435" t="n">
        <v>0</v>
      </c>
      <c r="AD435" t="n">
        <v>1</v>
      </c>
      <c r="AE435" t="n">
        <v>0</v>
      </c>
      <c r="AF435" t="inlineStr">
        <is>
          <t>)*9</t>
        </is>
      </c>
      <c r="AG435" t="n">
        <v>0.00045</v>
      </c>
      <c r="AH435" t="n">
        <v>2</v>
      </c>
      <c r="AI435" t="n">
        <v>78871596</v>
      </c>
      <c r="AJ435" t="n">
        <v>478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ROW(Source!A848)</f>
        <v/>
      </c>
      <c r="B436" t="n">
        <v>78871603</v>
      </c>
      <c r="C436" t="n">
        <v>78871593</v>
      </c>
      <c r="D436" t="n">
        <v>29110573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101-0628</t>
        </is>
      </c>
      <c r="J436" t="inlineStr">
        <is>
          <t>ТССЦ Московской обл., 101-0628, приказ Минстроя России №675/пр от 28.02.2017 № 254/пр</t>
        </is>
      </c>
      <c r="K436" t="inlineStr">
        <is>
          <t>Олифа комбинированная, марки К-3</t>
        </is>
      </c>
      <c r="L436" t="n">
        <v>1348</v>
      </c>
      <c r="N436" t="n">
        <v>1009</v>
      </c>
      <c r="O436" t="inlineStr">
        <is>
          <t>т</t>
        </is>
      </c>
      <c r="P436" t="inlineStr">
        <is>
          <t>т</t>
        </is>
      </c>
      <c r="Q436" t="n">
        <v>1000</v>
      </c>
      <c r="X436" t="n">
        <v>2e-05</v>
      </c>
      <c r="Y436" t="n">
        <v>16950</v>
      </c>
      <c r="Z436" t="n">
        <v>0</v>
      </c>
      <c r="AA436" t="n">
        <v>0</v>
      </c>
      <c r="AB436" t="n">
        <v>0</v>
      </c>
      <c r="AC436" t="n">
        <v>0</v>
      </c>
      <c r="AD436" t="n">
        <v>1</v>
      </c>
      <c r="AE436" t="n">
        <v>0</v>
      </c>
      <c r="AF436" t="inlineStr">
        <is>
          <t>)*9</t>
        </is>
      </c>
      <c r="AG436" t="n">
        <v>0.00018</v>
      </c>
      <c r="AH436" t="n">
        <v>2</v>
      </c>
      <c r="AI436" t="n">
        <v>78871597</v>
      </c>
      <c r="AJ436" t="n">
        <v>479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ROW(Source!A848)</f>
        <v/>
      </c>
      <c r="B437" t="n">
        <v>78871604</v>
      </c>
      <c r="C437" t="n">
        <v>78871593</v>
      </c>
      <c r="D437" t="n">
        <v>29107963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101-1669</t>
        </is>
      </c>
      <c r="J437" t="inlineStr">
        <is>
          <t>ТССЦ Московской обл., 101-1669, приказ Минстроя России №675/пр от 28.02.2017 № 254/пр</t>
        </is>
      </c>
      <c r="K437" t="inlineStr">
        <is>
          <t>Очес льняной</t>
        </is>
      </c>
      <c r="L437" t="n">
        <v>1346</v>
      </c>
      <c r="N437" t="n">
        <v>1009</v>
      </c>
      <c r="O437" t="inlineStr">
        <is>
          <t>кг</t>
        </is>
      </c>
      <c r="P437" t="inlineStr">
        <is>
          <t>кг</t>
        </is>
      </c>
      <c r="Q437" t="n">
        <v>1</v>
      </c>
      <c r="X437" t="n">
        <v>0.02</v>
      </c>
      <c r="Y437" t="n">
        <v>37.29</v>
      </c>
      <c r="Z437" t="n">
        <v>0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>
        <is>
          <t>)*9</t>
        </is>
      </c>
      <c r="AG437" t="n">
        <v>0.18</v>
      </c>
      <c r="AH437" t="n">
        <v>2</v>
      </c>
      <c r="AI437" t="n">
        <v>78871598</v>
      </c>
      <c r="AJ437" t="n">
        <v>480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ROW(Source!A848)</f>
        <v/>
      </c>
      <c r="B438" t="n">
        <v>78871605</v>
      </c>
      <c r="C438" t="n">
        <v>78871593</v>
      </c>
      <c r="D438" t="n">
        <v>29150040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411-0001</t>
        </is>
      </c>
      <c r="J438" t="inlineStr">
        <is>
          <t>ТССЦ Московской обл., 411-0001, приказ Минстроя России №675/пр от 28.02.2017 № 257/пр</t>
        </is>
      </c>
      <c r="K438" t="inlineStr">
        <is>
          <t>Вода</t>
        </is>
      </c>
      <c r="L438" t="n">
        <v>1339</v>
      </c>
      <c r="N438" t="n">
        <v>1007</v>
      </c>
      <c r="O438" t="inlineStr">
        <is>
          <t>м3</t>
        </is>
      </c>
      <c r="P438" t="inlineStr">
        <is>
          <t>м3</t>
        </is>
      </c>
      <c r="Q438" t="n">
        <v>1</v>
      </c>
      <c r="X438" t="n">
        <v>1</v>
      </c>
      <c r="Y438" t="n">
        <v>2.44</v>
      </c>
      <c r="Z438" t="n">
        <v>0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>
        <is>
          <t>)*9</t>
        </is>
      </c>
      <c r="AG438" t="n">
        <v>9</v>
      </c>
      <c r="AH438" t="n">
        <v>2</v>
      </c>
      <c r="AI438" t="n">
        <v>78871599</v>
      </c>
      <c r="AJ438" t="n">
        <v>481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ROW(Source!A887)</f>
        <v/>
      </c>
      <c r="B439" t="n">
        <v>78871723</v>
      </c>
      <c r="C439" t="n">
        <v>78871717</v>
      </c>
      <c r="D439" t="n">
        <v>18408291</v>
      </c>
      <c r="E439" t="n">
        <v>1</v>
      </c>
      <c r="F439" t="n">
        <v>1</v>
      </c>
      <c r="G439" t="n">
        <v>1</v>
      </c>
      <c r="H439" t="n">
        <v>1</v>
      </c>
      <c r="I439" t="inlineStr">
        <is>
          <t>1-1025-90</t>
        </is>
      </c>
      <c r="J439" t="inlineStr"/>
      <c r="K439" t="inlineStr">
        <is>
          <t>Рабочий строитель среднего разряда 2,5</t>
        </is>
      </c>
      <c r="L439" t="n">
        <v>1369</v>
      </c>
      <c r="N439" t="n">
        <v>1013</v>
      </c>
      <c r="O439" t="inlineStr">
        <is>
          <t>чел.-ч</t>
        </is>
      </c>
      <c r="P439" t="inlineStr">
        <is>
          <t>чел.-ч</t>
        </is>
      </c>
      <c r="Q439" t="n">
        <v>1</v>
      </c>
      <c r="X439" t="n">
        <v>32.2</v>
      </c>
      <c r="Y439" t="n">
        <v>0</v>
      </c>
      <c r="Z439" t="n">
        <v>0</v>
      </c>
      <c r="AA439" t="n">
        <v>0</v>
      </c>
      <c r="AB439" t="n">
        <v>8.17</v>
      </c>
      <c r="AC439" t="n">
        <v>0</v>
      </c>
      <c r="AD439" t="n">
        <v>1</v>
      </c>
      <c r="AE439" t="n">
        <v>1</v>
      </c>
      <c r="AF439" t="inlineStr"/>
      <c r="AG439" t="n">
        <v>32.2</v>
      </c>
      <c r="AH439" t="n">
        <v>2</v>
      </c>
      <c r="AI439" t="n">
        <v>78871718</v>
      </c>
      <c r="AJ439" t="n">
        <v>482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ROW(Source!A887)</f>
        <v/>
      </c>
      <c r="B440" t="n">
        <v>78871724</v>
      </c>
      <c r="C440" t="n">
        <v>78871717</v>
      </c>
      <c r="D440" t="n">
        <v>29174913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400001</t>
        </is>
      </c>
      <c r="J440" t="inlineStr">
        <is>
          <t>ТСЭМ Московской обл., 400001, приказ Минстроя России №675/пр от 28.02.2017 № 264/пр</t>
        </is>
      </c>
      <c r="K440" t="inlineStr">
        <is>
          <t>Автомобили бортовые, грузоподъемность до 5 т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0.01</v>
      </c>
      <c r="Y440" t="n">
        <v>0</v>
      </c>
      <c r="Z440" t="n">
        <v>87.17</v>
      </c>
      <c r="AA440" t="n">
        <v>11.6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0.01</v>
      </c>
      <c r="AH440" t="n">
        <v>2</v>
      </c>
      <c r="AI440" t="n">
        <v>78871719</v>
      </c>
      <c r="AJ440" t="n">
        <v>483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ROW(Source!A887)</f>
        <v/>
      </c>
      <c r="B441" t="n">
        <v>78871725</v>
      </c>
      <c r="C441" t="n">
        <v>78871717</v>
      </c>
      <c r="D441" t="n">
        <v>29110139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101-1703</t>
        </is>
      </c>
      <c r="J441" t="inlineStr">
        <is>
          <t>ТССЦ Московской обл., 101-1703, приказ Минстроя России №675/пр от 28.02.2017 № 254/пр</t>
        </is>
      </c>
      <c r="K441" t="inlineStr">
        <is>
          <t>Прокладки резиновые (пластина техническая прессованная)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X441" t="n">
        <v>2</v>
      </c>
      <c r="Y441" t="n">
        <v>23.09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2</v>
      </c>
      <c r="AH441" t="n">
        <v>2</v>
      </c>
      <c r="AI441" t="n">
        <v>78871720</v>
      </c>
      <c r="AJ441" t="n">
        <v>484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ROW(Source!A887)</f>
        <v/>
      </c>
      <c r="B442" t="n">
        <v>78871726</v>
      </c>
      <c r="C442" t="n">
        <v>78871717</v>
      </c>
      <c r="D442" t="n">
        <v>29114240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101-2576</t>
        </is>
      </c>
      <c r="J442" t="inlineStr">
        <is>
          <t>ТССЦ Московской обл., 101-2576, приказ Минстроя России №675/пр от 28.02.2017 № 254/пр</t>
        </is>
      </c>
      <c r="K442" t="inlineStr">
        <is>
          <t>Болты с гайками и шайбами для санитарно-технических работ диаметром 16 мм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X442" t="n">
        <v>0.005</v>
      </c>
      <c r="Y442" t="n">
        <v>14830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0.005</v>
      </c>
      <c r="AH442" t="n">
        <v>2</v>
      </c>
      <c r="AI442" t="n">
        <v>78871721</v>
      </c>
      <c r="AJ442" t="n">
        <v>485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ROW(Source!A887)</f>
        <v/>
      </c>
      <c r="B443" t="n">
        <v>78871727</v>
      </c>
      <c r="C443" t="n">
        <v>78871717</v>
      </c>
      <c r="D443" t="n">
        <v>29150040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411-0001</t>
        </is>
      </c>
      <c r="J443" t="inlineStr">
        <is>
          <t>ТССЦ Московской обл., 411-0001, приказ Минстроя России №675/пр от 28.02.2017 № 257/пр</t>
        </is>
      </c>
      <c r="K443" t="inlineStr">
        <is>
          <t>Вода</t>
        </is>
      </c>
      <c r="L443" t="n">
        <v>1339</v>
      </c>
      <c r="N443" t="n">
        <v>1007</v>
      </c>
      <c r="O443" t="inlineStr">
        <is>
          <t>м3</t>
        </is>
      </c>
      <c r="P443" t="inlineStr">
        <is>
          <t>м3</t>
        </is>
      </c>
      <c r="Q443" t="n">
        <v>1</v>
      </c>
      <c r="X443" t="n">
        <v>7.8</v>
      </c>
      <c r="Y443" t="n">
        <v>2.44</v>
      </c>
      <c r="Z443" t="n">
        <v>0</v>
      </c>
      <c r="AA443" t="n">
        <v>0</v>
      </c>
      <c r="AB443" t="n">
        <v>0</v>
      </c>
      <c r="AC443" t="n">
        <v>0</v>
      </c>
      <c r="AD443" t="n">
        <v>1</v>
      </c>
      <c r="AE443" t="n">
        <v>0</v>
      </c>
      <c r="AF443" t="inlineStr"/>
      <c r="AG443" t="n">
        <v>7.8</v>
      </c>
      <c r="AH443" t="n">
        <v>2</v>
      </c>
      <c r="AI443" t="n">
        <v>78871722</v>
      </c>
      <c r="AJ443" t="n">
        <v>486</v>
      </c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ROW(Source!A888)</f>
        <v/>
      </c>
      <c r="B444" t="n">
        <v>78871735</v>
      </c>
      <c r="C444" t="n">
        <v>78871728</v>
      </c>
      <c r="D444" t="n">
        <v>18442827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1-1053-90</t>
        </is>
      </c>
      <c r="J444" t="inlineStr"/>
      <c r="K444" t="inlineStr">
        <is>
          <t>Рабочий строитель среднего разряда 5,3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5.01</v>
      </c>
      <c r="Y444" t="n">
        <v>0</v>
      </c>
      <c r="Z444" t="n">
        <v>0</v>
      </c>
      <c r="AA444" t="n">
        <v>0</v>
      </c>
      <c r="AB444" t="n">
        <v>11.64</v>
      </c>
      <c r="AC444" t="n">
        <v>0</v>
      </c>
      <c r="AD444" t="n">
        <v>1</v>
      </c>
      <c r="AE444" t="n">
        <v>1</v>
      </c>
      <c r="AF444" t="inlineStr">
        <is>
          <t>)*8</t>
        </is>
      </c>
      <c r="AG444" t="n">
        <v>40.08</v>
      </c>
      <c r="AH444" t="n">
        <v>2</v>
      </c>
      <c r="AI444" t="n">
        <v>78871729</v>
      </c>
      <c r="AJ444" t="n">
        <v>487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ROW(Source!A888)</f>
        <v/>
      </c>
      <c r="B445" t="n">
        <v>78871736</v>
      </c>
      <c r="C445" t="n">
        <v>78871728</v>
      </c>
      <c r="D445" t="n">
        <v>29172703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042900</t>
        </is>
      </c>
      <c r="J445" t="inlineStr">
        <is>
          <t>ТСЭМ Московской обл., 042900, приказ Минстроя России №675/пр от 28.02.2017 № 264/пр</t>
        </is>
      </c>
      <c r="K44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X445" t="n">
        <v>1.5</v>
      </c>
      <c r="Y445" t="n">
        <v>0</v>
      </c>
      <c r="Z445" t="n">
        <v>29.67</v>
      </c>
      <c r="AA445" t="n">
        <v>0</v>
      </c>
      <c r="AB445" t="n">
        <v>0</v>
      </c>
      <c r="AC445" t="n">
        <v>0</v>
      </c>
      <c r="AD445" t="n">
        <v>1</v>
      </c>
      <c r="AE445" t="n">
        <v>0</v>
      </c>
      <c r="AF445" t="inlineStr">
        <is>
          <t>)*8</t>
        </is>
      </c>
      <c r="AG445" t="n">
        <v>12</v>
      </c>
      <c r="AH445" t="n">
        <v>2</v>
      </c>
      <c r="AI445" t="n">
        <v>78871730</v>
      </c>
      <c r="AJ445" t="n">
        <v>488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ROW(Source!A888)</f>
        <v/>
      </c>
      <c r="B446" t="n">
        <v>78871737</v>
      </c>
      <c r="C446" t="n">
        <v>78871728</v>
      </c>
      <c r="D446" t="n">
        <v>29110398</v>
      </c>
      <c r="E446" t="n">
        <v>1</v>
      </c>
      <c r="F446" t="n">
        <v>1</v>
      </c>
      <c r="G446" t="n">
        <v>1</v>
      </c>
      <c r="H446" t="n">
        <v>3</v>
      </c>
      <c r="I446" t="inlineStr">
        <is>
          <t>101-0388</t>
        </is>
      </c>
      <c r="J446" t="inlineStr">
        <is>
          <t>ТССЦ Московской обл., 101-0388, приказ Минстроя России №675/пр от 28.02.2017 № 254/пр</t>
        </is>
      </c>
      <c r="K446" t="inlineStr">
        <is>
          <t>Краски масляные земляные марки МА-0115 мумия, сурик железный</t>
        </is>
      </c>
      <c r="L446" t="n">
        <v>1348</v>
      </c>
      <c r="N446" t="n">
        <v>1009</v>
      </c>
      <c r="O446" t="inlineStr">
        <is>
          <t>т</t>
        </is>
      </c>
      <c r="P446" t="inlineStr">
        <is>
          <t>т</t>
        </is>
      </c>
      <c r="Q446" t="n">
        <v>1000</v>
      </c>
      <c r="X446" t="n">
        <v>5e-05</v>
      </c>
      <c r="Y446" t="n">
        <v>15118.99</v>
      </c>
      <c r="Z446" t="n">
        <v>0</v>
      </c>
      <c r="AA446" t="n">
        <v>0</v>
      </c>
      <c r="AB446" t="n">
        <v>0</v>
      </c>
      <c r="AC446" t="n">
        <v>0</v>
      </c>
      <c r="AD446" t="n">
        <v>1</v>
      </c>
      <c r="AE446" t="n">
        <v>0</v>
      </c>
      <c r="AF446" t="inlineStr">
        <is>
          <t>)*8</t>
        </is>
      </c>
      <c r="AG446" t="n">
        <v>0.0004</v>
      </c>
      <c r="AH446" t="n">
        <v>2</v>
      </c>
      <c r="AI446" t="n">
        <v>78871731</v>
      </c>
      <c r="AJ446" t="n">
        <v>489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ROW(Source!A888)</f>
        <v/>
      </c>
      <c r="B447" t="n">
        <v>78871738</v>
      </c>
      <c r="C447" t="n">
        <v>78871728</v>
      </c>
      <c r="D447" t="n">
        <v>29110573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101-0628</t>
        </is>
      </c>
      <c r="J447" t="inlineStr">
        <is>
          <t>ТССЦ Московской обл., 101-0628, приказ Минстроя России №675/пр от 28.02.2017 № 254/пр</t>
        </is>
      </c>
      <c r="K447" t="inlineStr">
        <is>
          <t>Олифа комбинированная, марки К-3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2e-05</v>
      </c>
      <c r="Y447" t="n">
        <v>16950</v>
      </c>
      <c r="Z447" t="n">
        <v>0</v>
      </c>
      <c r="AA447" t="n">
        <v>0</v>
      </c>
      <c r="AB447" t="n">
        <v>0</v>
      </c>
      <c r="AC447" t="n">
        <v>0</v>
      </c>
      <c r="AD447" t="n">
        <v>1</v>
      </c>
      <c r="AE447" t="n">
        <v>0</v>
      </c>
      <c r="AF447" t="inlineStr">
        <is>
          <t>)*8</t>
        </is>
      </c>
      <c r="AG447" t="n">
        <v>0.00016</v>
      </c>
      <c r="AH447" t="n">
        <v>2</v>
      </c>
      <c r="AI447" t="n">
        <v>78871732</v>
      </c>
      <c r="AJ447" t="n">
        <v>490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ROW(Source!A888)</f>
        <v/>
      </c>
      <c r="B448" t="n">
        <v>78871739</v>
      </c>
      <c r="C448" t="n">
        <v>78871728</v>
      </c>
      <c r="D448" t="n">
        <v>29107963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101-1669</t>
        </is>
      </c>
      <c r="J448" t="inlineStr">
        <is>
          <t>ТССЦ Московской обл., 101-1669, приказ Минстроя России №675/пр от 28.02.2017 № 254/пр</t>
        </is>
      </c>
      <c r="K448" t="inlineStr">
        <is>
          <t>Очес льняной</t>
        </is>
      </c>
      <c r="L448" t="n">
        <v>1346</v>
      </c>
      <c r="N448" t="n">
        <v>1009</v>
      </c>
      <c r="O448" t="inlineStr">
        <is>
          <t>кг</t>
        </is>
      </c>
      <c r="P448" t="inlineStr">
        <is>
          <t>кг</t>
        </is>
      </c>
      <c r="Q448" t="n">
        <v>1</v>
      </c>
      <c r="X448" t="n">
        <v>0.02</v>
      </c>
      <c r="Y448" t="n">
        <v>37.29</v>
      </c>
      <c r="Z448" t="n">
        <v>0</v>
      </c>
      <c r="AA448" t="n">
        <v>0</v>
      </c>
      <c r="AB448" t="n">
        <v>0</v>
      </c>
      <c r="AC448" t="n">
        <v>0</v>
      </c>
      <c r="AD448" t="n">
        <v>1</v>
      </c>
      <c r="AE448" t="n">
        <v>0</v>
      </c>
      <c r="AF448" t="inlineStr">
        <is>
          <t>)*8</t>
        </is>
      </c>
      <c r="AG448" t="n">
        <v>0.16</v>
      </c>
      <c r="AH448" t="n">
        <v>2</v>
      </c>
      <c r="AI448" t="n">
        <v>78871733</v>
      </c>
      <c r="AJ448" t="n">
        <v>491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ROW(Source!A888)</f>
        <v/>
      </c>
      <c r="B449" t="n">
        <v>78871740</v>
      </c>
      <c r="C449" t="n">
        <v>78871728</v>
      </c>
      <c r="D449" t="n">
        <v>29150040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411-0001</t>
        </is>
      </c>
      <c r="J449" t="inlineStr">
        <is>
          <t>ТССЦ Московской обл., 411-0001, приказ Минстроя России №675/пр от 28.02.2017 № 257/пр</t>
        </is>
      </c>
      <c r="K449" t="inlineStr">
        <is>
          <t>Вода</t>
        </is>
      </c>
      <c r="L449" t="n">
        <v>1339</v>
      </c>
      <c r="N449" t="n">
        <v>1007</v>
      </c>
      <c r="O449" t="inlineStr">
        <is>
          <t>м3</t>
        </is>
      </c>
      <c r="P449" t="inlineStr">
        <is>
          <t>м3</t>
        </is>
      </c>
      <c r="Q449" t="n">
        <v>1</v>
      </c>
      <c r="X449" t="n">
        <v>1</v>
      </c>
      <c r="Y449" t="n">
        <v>2.44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0</v>
      </c>
      <c r="AF449" t="inlineStr">
        <is>
          <t>)*8</t>
        </is>
      </c>
      <c r="AG449" t="n">
        <v>8</v>
      </c>
      <c r="AH449" t="n">
        <v>2</v>
      </c>
      <c r="AI449" t="n">
        <v>78871734</v>
      </c>
      <c r="AJ449" t="n">
        <v>492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ROW(Source!A927)</f>
        <v/>
      </c>
      <c r="B450" t="n">
        <v>78871808</v>
      </c>
      <c r="C450" t="n">
        <v>78871804</v>
      </c>
      <c r="D450" t="n">
        <v>18407150</v>
      </c>
      <c r="E450" t="n">
        <v>1</v>
      </c>
      <c r="F450" t="n">
        <v>1</v>
      </c>
      <c r="G450" t="n">
        <v>1</v>
      </c>
      <c r="H450" t="n">
        <v>1</v>
      </c>
      <c r="I450" t="inlineStr">
        <is>
          <t>1-1030-90</t>
        </is>
      </c>
      <c r="J450" t="inlineStr"/>
      <c r="K450" t="inlineStr">
        <is>
          <t>Рабочий строитель среднего разряда 3</t>
        </is>
      </c>
      <c r="L450" t="n">
        <v>1369</v>
      </c>
      <c r="N450" t="n">
        <v>1013</v>
      </c>
      <c r="O450" t="inlineStr">
        <is>
          <t>чел.-ч</t>
        </is>
      </c>
      <c r="P450" t="inlineStr">
        <is>
          <t>чел.-ч</t>
        </is>
      </c>
      <c r="Q450" t="n">
        <v>1</v>
      </c>
      <c r="X450" t="n">
        <v>13.9</v>
      </c>
      <c r="Y450" t="n">
        <v>0</v>
      </c>
      <c r="Z450" t="n">
        <v>0</v>
      </c>
      <c r="AA450" t="n">
        <v>0</v>
      </c>
      <c r="AB450" t="n">
        <v>8.529999999999999</v>
      </c>
      <c r="AC450" t="n">
        <v>0</v>
      </c>
      <c r="AD450" t="n">
        <v>1</v>
      </c>
      <c r="AE450" t="n">
        <v>1</v>
      </c>
      <c r="AF450" t="inlineStr"/>
      <c r="AG450" t="n">
        <v>13.9</v>
      </c>
      <c r="AH450" t="n">
        <v>2</v>
      </c>
      <c r="AI450" t="n">
        <v>78871805</v>
      </c>
      <c r="AJ450" t="n">
        <v>493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ROW(Source!A927)</f>
        <v/>
      </c>
      <c r="B451" t="n">
        <v>78871809</v>
      </c>
      <c r="C451" t="n">
        <v>78871804</v>
      </c>
      <c r="D451" t="n">
        <v>29169821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509-0696</t>
        </is>
      </c>
      <c r="J451" t="inlineStr">
        <is>
          <t>ТССЦ Московской обл., 509-0696, приказ Минстроя России №675/пр от 28.02.2017 № 258/пр</t>
        </is>
      </c>
      <c r="K451" t="inlineStr">
        <is>
          <t>Лампы люминесцентные ртутные низкого давления типа ЛБ, ЛД, ЛДЦ, ЛТВ, ЛБХ 20</t>
        </is>
      </c>
      <c r="L451" t="n">
        <v>1358</v>
      </c>
      <c r="N451" t="n">
        <v>1010</v>
      </c>
      <c r="O451" t="inlineStr">
        <is>
          <t>10 шт.</t>
        </is>
      </c>
      <c r="P451" t="inlineStr">
        <is>
          <t>10 шт.</t>
        </is>
      </c>
      <c r="Q451" t="n">
        <v>10</v>
      </c>
      <c r="X451" t="n">
        <v>10</v>
      </c>
      <c r="Y451" t="n">
        <v>85.2</v>
      </c>
      <c r="Z451" t="n">
        <v>0</v>
      </c>
      <c r="AA451" t="n">
        <v>0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10</v>
      </c>
      <c r="AH451" t="n">
        <v>2</v>
      </c>
      <c r="AI451" t="n">
        <v>78871806</v>
      </c>
      <c r="AJ451" t="n">
        <v>494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ROW(Source!A967)</f>
        <v/>
      </c>
      <c r="B452" t="n">
        <v>78871989</v>
      </c>
      <c r="C452" t="n">
        <v>78871982</v>
      </c>
      <c r="D452" t="n">
        <v>18413627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1-1042-90</t>
        </is>
      </c>
      <c r="J452" t="inlineStr"/>
      <c r="K452" t="inlineStr">
        <is>
          <t>Рабочий строитель среднего разряда 4,2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X452" t="n">
        <v>2.31</v>
      </c>
      <c r="Y452" t="n">
        <v>0</v>
      </c>
      <c r="Z452" t="n">
        <v>0</v>
      </c>
      <c r="AA452" t="n">
        <v>0</v>
      </c>
      <c r="AB452" t="n">
        <v>9.92</v>
      </c>
      <c r="AC452" t="n">
        <v>0</v>
      </c>
      <c r="AD452" t="n">
        <v>1</v>
      </c>
      <c r="AE452" t="n">
        <v>1</v>
      </c>
      <c r="AF452" t="inlineStr"/>
      <c r="AG452" t="n">
        <v>2.31</v>
      </c>
      <c r="AH452" t="n">
        <v>2</v>
      </c>
      <c r="AI452" t="n">
        <v>78871983</v>
      </c>
      <c r="AJ452" t="n">
        <v>496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ROW(Source!A967)</f>
        <v/>
      </c>
      <c r="B453" t="n">
        <v>78871990</v>
      </c>
      <c r="C453" t="n">
        <v>78871982</v>
      </c>
      <c r="D453" t="n">
        <v>29172669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041000</t>
        </is>
      </c>
      <c r="J453" t="inlineStr">
        <is>
          <t>ТСЭМ Московской обл., 041000, приказ Минстроя России №675/пр от 28.02.2017 № 264/пр</t>
        </is>
      </c>
      <c r="K453" t="inlineStr">
        <is>
          <t>Преобразователи сварочные с номинальным сварочным током 315-500 А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0.67</v>
      </c>
      <c r="Y453" t="n">
        <v>0</v>
      </c>
      <c r="Z453" t="n">
        <v>12.31</v>
      </c>
      <c r="AA453" t="n">
        <v>0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0.67</v>
      </c>
      <c r="AH453" t="n">
        <v>2</v>
      </c>
      <c r="AI453" t="n">
        <v>78871984</v>
      </c>
      <c r="AJ453" t="n">
        <v>497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ROW(Source!A967)</f>
        <v/>
      </c>
      <c r="B454" t="n">
        <v>78871991</v>
      </c>
      <c r="C454" t="n">
        <v>78871982</v>
      </c>
      <c r="D454" t="n">
        <v>29172679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041400</t>
        </is>
      </c>
      <c r="J454" t="inlineStr">
        <is>
          <t>ТСЭМ Московской обл., 041400, приказ Минстроя России №675/пр от 28.02.2017 № 264/пр</t>
        </is>
      </c>
      <c r="K454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X454" t="n">
        <v>0.17</v>
      </c>
      <c r="Y454" t="n">
        <v>0</v>
      </c>
      <c r="Z454" t="n">
        <v>6.7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0.17</v>
      </c>
      <c r="AH454" t="n">
        <v>2</v>
      </c>
      <c r="AI454" t="n">
        <v>78871985</v>
      </c>
      <c r="AJ454" t="n">
        <v>498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ROW(Source!A967)</f>
        <v/>
      </c>
      <c r="B455" t="n">
        <v>78871992</v>
      </c>
      <c r="C455" t="n">
        <v>78871982</v>
      </c>
      <c r="D455" t="n">
        <v>29174507</v>
      </c>
      <c r="E455" t="n">
        <v>1</v>
      </c>
      <c r="F455" t="n">
        <v>1</v>
      </c>
      <c r="G455" t="n">
        <v>1</v>
      </c>
      <c r="H455" t="n">
        <v>2</v>
      </c>
      <c r="I455" t="inlineStr">
        <is>
          <t>330301</t>
        </is>
      </c>
      <c r="J455" t="inlineStr">
        <is>
          <t>ТСЭМ Московской обл., 330301, приказ Минстроя России №675/пр от 28.02.2017 № 264/пр</t>
        </is>
      </c>
      <c r="K455" t="inlineStr">
        <is>
          <t>Машины шлифовальные электрические</t>
        </is>
      </c>
      <c r="L455" t="n">
        <v>1368</v>
      </c>
      <c r="N455" t="n">
        <v>1011</v>
      </c>
      <c r="O455" t="inlineStr">
        <is>
          <t>маш.-ч</t>
        </is>
      </c>
      <c r="P455" t="inlineStr">
        <is>
          <t>маш.-ч</t>
        </is>
      </c>
      <c r="Q455" t="n">
        <v>1</v>
      </c>
      <c r="X455" t="n">
        <v>1.57</v>
      </c>
      <c r="Y455" t="n">
        <v>0</v>
      </c>
      <c r="Z455" t="n">
        <v>5.13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1.57</v>
      </c>
      <c r="AH455" t="n">
        <v>2</v>
      </c>
      <c r="AI455" t="n">
        <v>78871986</v>
      </c>
      <c r="AJ455" t="n">
        <v>499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ROW(Source!A967)</f>
        <v/>
      </c>
      <c r="B456" t="n">
        <v>78871993</v>
      </c>
      <c r="C456" t="n">
        <v>78871982</v>
      </c>
      <c r="D456" t="n">
        <v>29113946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101-0802</t>
        </is>
      </c>
      <c r="J456" t="inlineStr">
        <is>
          <t>ТССЦ Московской обл., 101-0802, приказ Минстроя России №675/пр от 28.02.2017 № 254/пр</t>
        </is>
      </c>
      <c r="K456" t="inlineStr">
        <is>
          <t>Проволока порошковая для дуговой сварки</t>
        </is>
      </c>
      <c r="L456" t="n">
        <v>1348</v>
      </c>
      <c r="N456" t="n">
        <v>1009</v>
      </c>
      <c r="O456" t="inlineStr">
        <is>
          <t>т</t>
        </is>
      </c>
      <c r="P456" t="inlineStr">
        <is>
          <t>т</t>
        </is>
      </c>
      <c r="Q456" t="n">
        <v>1000</v>
      </c>
      <c r="X456" t="n">
        <v>0.00066</v>
      </c>
      <c r="Y456" t="n">
        <v>15200.01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0.00066</v>
      </c>
      <c r="AH456" t="n">
        <v>2</v>
      </c>
      <c r="AI456" t="n">
        <v>78871987</v>
      </c>
      <c r="AJ456" t="n">
        <v>500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ROW(Source!A967)</f>
        <v/>
      </c>
      <c r="B457" t="n">
        <v>78871994</v>
      </c>
      <c r="C457" t="n">
        <v>78871982</v>
      </c>
      <c r="D457" t="n">
        <v>29113990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101-1515</t>
        </is>
      </c>
      <c r="J457" t="inlineStr">
        <is>
          <t>ТССЦ Московской обл., 101-1515, приказ Минстроя России №675/пр от 28.02.2017 № 254/пр</t>
        </is>
      </c>
      <c r="K457" t="inlineStr">
        <is>
          <t>Электроды диаметром 4 мм Э46</t>
        </is>
      </c>
      <c r="L457" t="n">
        <v>1348</v>
      </c>
      <c r="N457" t="n">
        <v>1009</v>
      </c>
      <c r="O457" t="inlineStr">
        <is>
          <t>т</t>
        </is>
      </c>
      <c r="P457" t="inlineStr">
        <is>
          <t>т</t>
        </is>
      </c>
      <c r="Q457" t="n">
        <v>1000</v>
      </c>
      <c r="X457" t="n">
        <v>0.001</v>
      </c>
      <c r="Y457" t="n">
        <v>10169.99</v>
      </c>
      <c r="Z457" t="n">
        <v>0</v>
      </c>
      <c r="AA457" t="n">
        <v>0</v>
      </c>
      <c r="AB457" t="n">
        <v>0</v>
      </c>
      <c r="AC457" t="n">
        <v>0</v>
      </c>
      <c r="AD457" t="n">
        <v>1</v>
      </c>
      <c r="AE457" t="n">
        <v>0</v>
      </c>
      <c r="AF457" t="inlineStr"/>
      <c r="AG457" t="n">
        <v>0.001</v>
      </c>
      <c r="AH457" t="n">
        <v>2</v>
      </c>
      <c r="AI457" t="n">
        <v>78871988</v>
      </c>
      <c r="AJ457" t="n">
        <v>501</v>
      </c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ROW(Source!A968)</f>
        <v/>
      </c>
      <c r="B458" t="n">
        <v>78872002</v>
      </c>
      <c r="C458" t="n">
        <v>78871995</v>
      </c>
      <c r="D458" t="n">
        <v>18442827</v>
      </c>
      <c r="E458" t="n">
        <v>1</v>
      </c>
      <c r="F458" t="n">
        <v>1</v>
      </c>
      <c r="G458" t="n">
        <v>1</v>
      </c>
      <c r="H458" t="n">
        <v>1</v>
      </c>
      <c r="I458" t="inlineStr">
        <is>
          <t>1-1053-90</t>
        </is>
      </c>
      <c r="J458" t="inlineStr"/>
      <c r="K458" t="inlineStr">
        <is>
          <t>Рабочий строитель среднего разряда 5,3</t>
        </is>
      </c>
      <c r="L458" t="n">
        <v>1369</v>
      </c>
      <c r="N458" t="n">
        <v>1013</v>
      </c>
      <c r="O458" t="inlineStr">
        <is>
          <t>чел.-ч</t>
        </is>
      </c>
      <c r="P458" t="inlineStr">
        <is>
          <t>чел.-ч</t>
        </is>
      </c>
      <c r="Q458" t="n">
        <v>1</v>
      </c>
      <c r="X458" t="n">
        <v>5.01</v>
      </c>
      <c r="Y458" t="n">
        <v>0</v>
      </c>
      <c r="Z458" t="n">
        <v>0</v>
      </c>
      <c r="AA458" t="n">
        <v>0</v>
      </c>
      <c r="AB458" t="n">
        <v>11.64</v>
      </c>
      <c r="AC458" t="n">
        <v>0</v>
      </c>
      <c r="AD458" t="n">
        <v>1</v>
      </c>
      <c r="AE458" t="n">
        <v>1</v>
      </c>
      <c r="AF458" t="inlineStr"/>
      <c r="AG458" t="n">
        <v>5.01</v>
      </c>
      <c r="AH458" t="n">
        <v>2</v>
      </c>
      <c r="AI458" t="n">
        <v>78871996</v>
      </c>
      <c r="AJ458" t="n">
        <v>502</v>
      </c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ROW(Source!A968)</f>
        <v/>
      </c>
      <c r="B459" t="n">
        <v>78872003</v>
      </c>
      <c r="C459" t="n">
        <v>78871995</v>
      </c>
      <c r="D459" t="n">
        <v>29172703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042900</t>
        </is>
      </c>
      <c r="J459" t="inlineStr">
        <is>
          <t>ТСЭМ Московской обл., 042900, приказ Минстроя России №675/пр от 28.02.2017 № 264/пр</t>
        </is>
      </c>
      <c r="K4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X459" t="n">
        <v>1.5</v>
      </c>
      <c r="Y459" t="n">
        <v>0</v>
      </c>
      <c r="Z459" t="n">
        <v>29.67</v>
      </c>
      <c r="AA459" t="n">
        <v>0</v>
      </c>
      <c r="AB459" t="n">
        <v>0</v>
      </c>
      <c r="AC459" t="n">
        <v>0</v>
      </c>
      <c r="AD459" t="n">
        <v>1</v>
      </c>
      <c r="AE459" t="n">
        <v>0</v>
      </c>
      <c r="AF459" t="inlineStr"/>
      <c r="AG459" t="n">
        <v>1.5</v>
      </c>
      <c r="AH459" t="n">
        <v>2</v>
      </c>
      <c r="AI459" t="n">
        <v>78871997</v>
      </c>
      <c r="AJ459" t="n">
        <v>503</v>
      </c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ROW(Source!A968)</f>
        <v/>
      </c>
      <c r="B460" t="n">
        <v>78872004</v>
      </c>
      <c r="C460" t="n">
        <v>78871995</v>
      </c>
      <c r="D460" t="n">
        <v>29110398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101-0388</t>
        </is>
      </c>
      <c r="J460" t="inlineStr">
        <is>
          <t>ТССЦ Московской обл., 101-0388, приказ Минстроя России №675/пр от 28.02.2017 № 254/пр</t>
        </is>
      </c>
      <c r="K460" t="inlineStr">
        <is>
          <t>Краски масляные земляные марки МА-0115 мумия, сурик железный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X460" t="n">
        <v>5e-05</v>
      </c>
      <c r="Y460" t="n">
        <v>15118.99</v>
      </c>
      <c r="Z460" t="n">
        <v>0</v>
      </c>
      <c r="AA460" t="n">
        <v>0</v>
      </c>
      <c r="AB460" t="n">
        <v>0</v>
      </c>
      <c r="AC460" t="n">
        <v>0</v>
      </c>
      <c r="AD460" t="n">
        <v>1</v>
      </c>
      <c r="AE460" t="n">
        <v>0</v>
      </c>
      <c r="AF460" t="inlineStr"/>
      <c r="AG460" t="n">
        <v>5e-05</v>
      </c>
      <c r="AH460" t="n">
        <v>2</v>
      </c>
      <c r="AI460" t="n">
        <v>78871998</v>
      </c>
      <c r="AJ460" t="n">
        <v>504</v>
      </c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ROW(Source!A968)</f>
        <v/>
      </c>
      <c r="B461" t="n">
        <v>78872005</v>
      </c>
      <c r="C461" t="n">
        <v>78871995</v>
      </c>
      <c r="D461" t="n">
        <v>29110573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101-0628</t>
        </is>
      </c>
      <c r="J461" t="inlineStr">
        <is>
          <t>ТССЦ Московской обл., 101-0628, приказ Минстроя России №675/пр от 28.02.2017 № 254/пр</t>
        </is>
      </c>
      <c r="K461" t="inlineStr">
        <is>
          <t>Олифа комбинированная, марки К-3</t>
        </is>
      </c>
      <c r="L461" t="n">
        <v>1348</v>
      </c>
      <c r="N461" t="n">
        <v>1009</v>
      </c>
      <c r="O461" t="inlineStr">
        <is>
          <t>т</t>
        </is>
      </c>
      <c r="P461" t="inlineStr">
        <is>
          <t>т</t>
        </is>
      </c>
      <c r="Q461" t="n">
        <v>1000</v>
      </c>
      <c r="X461" t="n">
        <v>2e-05</v>
      </c>
      <c r="Y461" t="n">
        <v>16950</v>
      </c>
      <c r="Z461" t="n">
        <v>0</v>
      </c>
      <c r="AA461" t="n">
        <v>0</v>
      </c>
      <c r="AB461" t="n">
        <v>0</v>
      </c>
      <c r="AC461" t="n">
        <v>0</v>
      </c>
      <c r="AD461" t="n">
        <v>1</v>
      </c>
      <c r="AE461" t="n">
        <v>0</v>
      </c>
      <c r="AF461" t="inlineStr"/>
      <c r="AG461" t="n">
        <v>2e-05</v>
      </c>
      <c r="AH461" t="n">
        <v>2</v>
      </c>
      <c r="AI461" t="n">
        <v>78871999</v>
      </c>
      <c r="AJ461" t="n">
        <v>505</v>
      </c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ROW(Source!A968)</f>
        <v/>
      </c>
      <c r="B462" t="n">
        <v>78872006</v>
      </c>
      <c r="C462" t="n">
        <v>78871995</v>
      </c>
      <c r="D462" t="n">
        <v>29107963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101-1669</t>
        </is>
      </c>
      <c r="J462" t="inlineStr">
        <is>
          <t>ТССЦ Московской обл., 101-1669, приказ Минстроя России №675/пр от 28.02.2017 № 254/пр</t>
        </is>
      </c>
      <c r="K462" t="inlineStr">
        <is>
          <t>Очес льняной</t>
        </is>
      </c>
      <c r="L462" t="n">
        <v>1346</v>
      </c>
      <c r="N462" t="n">
        <v>1009</v>
      </c>
      <c r="O462" t="inlineStr">
        <is>
          <t>кг</t>
        </is>
      </c>
      <c r="P462" t="inlineStr">
        <is>
          <t>кг</t>
        </is>
      </c>
      <c r="Q462" t="n">
        <v>1</v>
      </c>
      <c r="X462" t="n">
        <v>0.02</v>
      </c>
      <c r="Y462" t="n">
        <v>37.29</v>
      </c>
      <c r="Z462" t="n">
        <v>0</v>
      </c>
      <c r="AA462" t="n">
        <v>0</v>
      </c>
      <c r="AB462" t="n">
        <v>0</v>
      </c>
      <c r="AC462" t="n">
        <v>0</v>
      </c>
      <c r="AD462" t="n">
        <v>1</v>
      </c>
      <c r="AE462" t="n">
        <v>0</v>
      </c>
      <c r="AF462" t="inlineStr"/>
      <c r="AG462" t="n">
        <v>0.02</v>
      </c>
      <c r="AH462" t="n">
        <v>2</v>
      </c>
      <c r="AI462" t="n">
        <v>78872000</v>
      </c>
      <c r="AJ462" t="n">
        <v>506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ROW(Source!A968)</f>
        <v/>
      </c>
      <c r="B463" t="n">
        <v>78872007</v>
      </c>
      <c r="C463" t="n">
        <v>78871995</v>
      </c>
      <c r="D463" t="n">
        <v>29150040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411-0001</t>
        </is>
      </c>
      <c r="J463" t="inlineStr">
        <is>
          <t>ТССЦ Московской обл., 411-0001, приказ Минстроя России №675/пр от 28.02.2017 № 257/пр</t>
        </is>
      </c>
      <c r="K463" t="inlineStr">
        <is>
          <t>Вода</t>
        </is>
      </c>
      <c r="L463" t="n">
        <v>1339</v>
      </c>
      <c r="N463" t="n">
        <v>1007</v>
      </c>
      <c r="O463" t="inlineStr">
        <is>
          <t>м3</t>
        </is>
      </c>
      <c r="P463" t="inlineStr">
        <is>
          <t>м3</t>
        </is>
      </c>
      <c r="Q463" t="n">
        <v>1</v>
      </c>
      <c r="X463" t="n">
        <v>1</v>
      </c>
      <c r="Y463" t="n">
        <v>2.44</v>
      </c>
      <c r="Z463" t="n">
        <v>0</v>
      </c>
      <c r="AA463" t="n">
        <v>0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1</v>
      </c>
      <c r="AH463" t="n">
        <v>2</v>
      </c>
      <c r="AI463" t="n">
        <v>78872001</v>
      </c>
      <c r="AJ463" t="n">
        <v>507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ROW(Source!A1007)</f>
        <v/>
      </c>
      <c r="B464" t="n">
        <v>78872077</v>
      </c>
      <c r="C464" t="n">
        <v>78872071</v>
      </c>
      <c r="D464" t="n">
        <v>18408291</v>
      </c>
      <c r="E464" t="n">
        <v>1</v>
      </c>
      <c r="F464" t="n">
        <v>1</v>
      </c>
      <c r="G464" t="n">
        <v>1</v>
      </c>
      <c r="H464" t="n">
        <v>1</v>
      </c>
      <c r="I464" t="inlineStr">
        <is>
          <t>1-1025-90</t>
        </is>
      </c>
      <c r="J464" t="inlineStr"/>
      <c r="K464" t="inlineStr">
        <is>
          <t>Рабочий строитель среднего разряда 2,5</t>
        </is>
      </c>
      <c r="L464" t="n">
        <v>1369</v>
      </c>
      <c r="N464" t="n">
        <v>1013</v>
      </c>
      <c r="O464" t="inlineStr">
        <is>
          <t>чел.-ч</t>
        </is>
      </c>
      <c r="P464" t="inlineStr">
        <is>
          <t>чел.-ч</t>
        </is>
      </c>
      <c r="Q464" t="n">
        <v>1</v>
      </c>
      <c r="X464" t="n">
        <v>32.2</v>
      </c>
      <c r="Y464" t="n">
        <v>0</v>
      </c>
      <c r="Z464" t="n">
        <v>0</v>
      </c>
      <c r="AA464" t="n">
        <v>0</v>
      </c>
      <c r="AB464" t="n">
        <v>8.17</v>
      </c>
      <c r="AC464" t="n">
        <v>0</v>
      </c>
      <c r="AD464" t="n">
        <v>1</v>
      </c>
      <c r="AE464" t="n">
        <v>1</v>
      </c>
      <c r="AF464" t="inlineStr"/>
      <c r="AG464" t="n">
        <v>32.2</v>
      </c>
      <c r="AH464" t="n">
        <v>2</v>
      </c>
      <c r="AI464" t="n">
        <v>78872072</v>
      </c>
      <c r="AJ464" t="n">
        <v>508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ROW(Source!A1007)</f>
        <v/>
      </c>
      <c r="B465" t="n">
        <v>78872078</v>
      </c>
      <c r="C465" t="n">
        <v>78872071</v>
      </c>
      <c r="D465" t="n">
        <v>29174913</v>
      </c>
      <c r="E465" t="n">
        <v>1</v>
      </c>
      <c r="F465" t="n">
        <v>1</v>
      </c>
      <c r="G465" t="n">
        <v>1</v>
      </c>
      <c r="H465" t="n">
        <v>2</v>
      </c>
      <c r="I465" t="inlineStr">
        <is>
          <t>400001</t>
        </is>
      </c>
      <c r="J465" t="inlineStr">
        <is>
          <t>ТСЭМ Московской обл., 400001, приказ Минстроя России №675/пр от 28.02.2017 № 264/пр</t>
        </is>
      </c>
      <c r="K465" t="inlineStr">
        <is>
          <t>Автомобили бортовые, грузоподъемность до 5 т</t>
        </is>
      </c>
      <c r="L465" t="n">
        <v>1368</v>
      </c>
      <c r="N465" t="n">
        <v>1011</v>
      </c>
      <c r="O465" t="inlineStr">
        <is>
          <t>маш.-ч</t>
        </is>
      </c>
      <c r="P465" t="inlineStr">
        <is>
          <t>маш.-ч</t>
        </is>
      </c>
      <c r="Q465" t="n">
        <v>1</v>
      </c>
      <c r="X465" t="n">
        <v>0.01</v>
      </c>
      <c r="Y465" t="n">
        <v>0</v>
      </c>
      <c r="Z465" t="n">
        <v>87.17</v>
      </c>
      <c r="AA465" t="n">
        <v>11.6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0.01</v>
      </c>
      <c r="AH465" t="n">
        <v>2</v>
      </c>
      <c r="AI465" t="n">
        <v>78872073</v>
      </c>
      <c r="AJ465" t="n">
        <v>509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ROW(Source!A1007)</f>
        <v/>
      </c>
      <c r="B466" t="n">
        <v>78872079</v>
      </c>
      <c r="C466" t="n">
        <v>78872071</v>
      </c>
      <c r="D466" t="n">
        <v>29110139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101-1703</t>
        </is>
      </c>
      <c r="J466" t="inlineStr">
        <is>
          <t>ТССЦ Московской обл., 101-1703, приказ Минстроя России №675/пр от 28.02.2017 № 254/пр</t>
        </is>
      </c>
      <c r="K466" t="inlineStr">
        <is>
          <t>Прокладки резиновые (пластина техническая прессованная)</t>
        </is>
      </c>
      <c r="L466" t="n">
        <v>1346</v>
      </c>
      <c r="N466" t="n">
        <v>1009</v>
      </c>
      <c r="O466" t="inlineStr">
        <is>
          <t>кг</t>
        </is>
      </c>
      <c r="P466" t="inlineStr">
        <is>
          <t>кг</t>
        </is>
      </c>
      <c r="Q466" t="n">
        <v>1</v>
      </c>
      <c r="X466" t="n">
        <v>2</v>
      </c>
      <c r="Y466" t="n">
        <v>23.09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2</v>
      </c>
      <c r="AH466" t="n">
        <v>2</v>
      </c>
      <c r="AI466" t="n">
        <v>78872074</v>
      </c>
      <c r="AJ466" t="n">
        <v>510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ROW(Source!A1007)</f>
        <v/>
      </c>
      <c r="B467" t="n">
        <v>78872080</v>
      </c>
      <c r="C467" t="n">
        <v>78872071</v>
      </c>
      <c r="D467" t="n">
        <v>29114240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101-2576</t>
        </is>
      </c>
      <c r="J467" t="inlineStr">
        <is>
          <t>ТССЦ Московской обл., 101-2576, приказ Минстроя России №675/пр от 28.02.2017 № 254/пр</t>
        </is>
      </c>
      <c r="K467" t="inlineStr">
        <is>
          <t>Болты с гайками и шайбами для санитарно-технических работ диаметром 16 мм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X467" t="n">
        <v>0.005</v>
      </c>
      <c r="Y467" t="n">
        <v>14830</v>
      </c>
      <c r="Z467" t="n">
        <v>0</v>
      </c>
      <c r="AA467" t="n">
        <v>0</v>
      </c>
      <c r="AB467" t="n">
        <v>0</v>
      </c>
      <c r="AC467" t="n">
        <v>0</v>
      </c>
      <c r="AD467" t="n">
        <v>1</v>
      </c>
      <c r="AE467" t="n">
        <v>0</v>
      </c>
      <c r="AF467" t="inlineStr"/>
      <c r="AG467" t="n">
        <v>0.005</v>
      </c>
      <c r="AH467" t="n">
        <v>2</v>
      </c>
      <c r="AI467" t="n">
        <v>78872075</v>
      </c>
      <c r="AJ467" t="n">
        <v>511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ROW(Source!A1007)</f>
        <v/>
      </c>
      <c r="B468" t="n">
        <v>78872081</v>
      </c>
      <c r="C468" t="n">
        <v>78872071</v>
      </c>
      <c r="D468" t="n">
        <v>29150040</v>
      </c>
      <c r="E468" t="n">
        <v>1</v>
      </c>
      <c r="F468" t="n">
        <v>1</v>
      </c>
      <c r="G468" t="n">
        <v>1</v>
      </c>
      <c r="H468" t="n">
        <v>3</v>
      </c>
      <c r="I468" t="inlineStr">
        <is>
          <t>411-0001</t>
        </is>
      </c>
      <c r="J468" t="inlineStr">
        <is>
          <t>ТССЦ Московской обл., 411-0001, приказ Минстроя России №675/пр от 28.02.2017 № 257/пр</t>
        </is>
      </c>
      <c r="K468" t="inlineStr">
        <is>
          <t>Вода</t>
        </is>
      </c>
      <c r="L468" t="n">
        <v>1339</v>
      </c>
      <c r="N468" t="n">
        <v>1007</v>
      </c>
      <c r="O468" t="inlineStr">
        <is>
          <t>м3</t>
        </is>
      </c>
      <c r="P468" t="inlineStr">
        <is>
          <t>м3</t>
        </is>
      </c>
      <c r="Q468" t="n">
        <v>1</v>
      </c>
      <c r="X468" t="n">
        <v>7.8</v>
      </c>
      <c r="Y468" t="n">
        <v>2.44</v>
      </c>
      <c r="Z468" t="n">
        <v>0</v>
      </c>
      <c r="AA468" t="n">
        <v>0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7.8</v>
      </c>
      <c r="AH468" t="n">
        <v>2</v>
      </c>
      <c r="AI468" t="n">
        <v>78872076</v>
      </c>
      <c r="AJ468" t="n">
        <v>512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ROW(Source!A1046)</f>
        <v/>
      </c>
      <c r="B469" t="n">
        <v>78872145</v>
      </c>
      <c r="C469" t="n">
        <v>78872139</v>
      </c>
      <c r="D469" t="n">
        <v>18408291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1-1025-90</t>
        </is>
      </c>
      <c r="J469" t="inlineStr"/>
      <c r="K469" t="inlineStr">
        <is>
          <t>Рабочий строитель среднего разряда 2,5</t>
        </is>
      </c>
      <c r="L469" t="n">
        <v>1369</v>
      </c>
      <c r="N469" t="n">
        <v>1013</v>
      </c>
      <c r="O469" t="inlineStr">
        <is>
          <t>чел.-ч</t>
        </is>
      </c>
      <c r="P469" t="inlineStr">
        <is>
          <t>чел.-ч</t>
        </is>
      </c>
      <c r="Q469" t="n">
        <v>1</v>
      </c>
      <c r="X469" t="n">
        <v>32.2</v>
      </c>
      <c r="Y469" t="n">
        <v>0</v>
      </c>
      <c r="Z469" t="n">
        <v>0</v>
      </c>
      <c r="AA469" t="n">
        <v>0</v>
      </c>
      <c r="AB469" t="n">
        <v>8.17</v>
      </c>
      <c r="AC469" t="n">
        <v>0</v>
      </c>
      <c r="AD469" t="n">
        <v>1</v>
      </c>
      <c r="AE469" t="n">
        <v>1</v>
      </c>
      <c r="AF469" t="inlineStr"/>
      <c r="AG469" t="n">
        <v>32.2</v>
      </c>
      <c r="AH469" t="n">
        <v>2</v>
      </c>
      <c r="AI469" t="n">
        <v>78872140</v>
      </c>
      <c r="AJ469" t="n">
        <v>513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ROW(Source!A1046)</f>
        <v/>
      </c>
      <c r="B470" t="n">
        <v>78872146</v>
      </c>
      <c r="C470" t="n">
        <v>78872139</v>
      </c>
      <c r="D470" t="n">
        <v>29174913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400001</t>
        </is>
      </c>
      <c r="J470" t="inlineStr">
        <is>
          <t>ТСЭМ Московской обл., 400001, приказ Минстроя России №675/пр от 28.02.2017 № 264/пр</t>
        </is>
      </c>
      <c r="K470" t="inlineStr">
        <is>
          <t>Автомобили бортовые, грузоподъемность до 5 т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X470" t="n">
        <v>0.01</v>
      </c>
      <c r="Y470" t="n">
        <v>0</v>
      </c>
      <c r="Z470" t="n">
        <v>87.17</v>
      </c>
      <c r="AA470" t="n">
        <v>11.6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0.01</v>
      </c>
      <c r="AH470" t="n">
        <v>2</v>
      </c>
      <c r="AI470" t="n">
        <v>78872141</v>
      </c>
      <c r="AJ470" t="n">
        <v>514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ROW(Source!A1046)</f>
        <v/>
      </c>
      <c r="B471" t="n">
        <v>78872147</v>
      </c>
      <c r="C471" t="n">
        <v>78872139</v>
      </c>
      <c r="D471" t="n">
        <v>29110139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101-1703</t>
        </is>
      </c>
      <c r="J471" t="inlineStr">
        <is>
          <t>ТССЦ Московской обл., 101-1703, приказ Минстроя России №675/пр от 28.02.2017 № 254/пр</t>
        </is>
      </c>
      <c r="K471" t="inlineStr">
        <is>
          <t>Прокладки резиновые (пластина техническая прессованная)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2</v>
      </c>
      <c r="Y471" t="n">
        <v>23.09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2</v>
      </c>
      <c r="AH471" t="n">
        <v>2</v>
      </c>
      <c r="AI471" t="n">
        <v>78872142</v>
      </c>
      <c r="AJ471" t="n">
        <v>515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ROW(Source!A1046)</f>
        <v/>
      </c>
      <c r="B472" t="n">
        <v>78872148</v>
      </c>
      <c r="C472" t="n">
        <v>78872139</v>
      </c>
      <c r="D472" t="n">
        <v>29114240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101-2576</t>
        </is>
      </c>
      <c r="J472" t="inlineStr">
        <is>
          <t>ТССЦ Московской обл., 101-2576, приказ Минстроя России №675/пр от 28.02.2017 № 254/пр</t>
        </is>
      </c>
      <c r="K472" t="inlineStr">
        <is>
          <t>Болты с гайками и шайбами для санитарно-технических работ диаметром 16 мм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X472" t="n">
        <v>0.005</v>
      </c>
      <c r="Y472" t="n">
        <v>14830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0.005</v>
      </c>
      <c r="AH472" t="n">
        <v>2</v>
      </c>
      <c r="AI472" t="n">
        <v>78872143</v>
      </c>
      <c r="AJ472" t="n">
        <v>516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ROW(Source!A1046)</f>
        <v/>
      </c>
      <c r="B473" t="n">
        <v>78872149</v>
      </c>
      <c r="C473" t="n">
        <v>78872139</v>
      </c>
      <c r="D473" t="n">
        <v>29150040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411-0001</t>
        </is>
      </c>
      <c r="J473" t="inlineStr">
        <is>
          <t>ТССЦ Московской обл., 411-0001, приказ Минстроя России №675/пр от 28.02.2017 № 257/пр</t>
        </is>
      </c>
      <c r="K473" t="inlineStr">
        <is>
          <t>Вода</t>
        </is>
      </c>
      <c r="L473" t="n">
        <v>1339</v>
      </c>
      <c r="N473" t="n">
        <v>1007</v>
      </c>
      <c r="O473" t="inlineStr">
        <is>
          <t>м3</t>
        </is>
      </c>
      <c r="P473" t="inlineStr">
        <is>
          <t>м3</t>
        </is>
      </c>
      <c r="Q473" t="n">
        <v>1</v>
      </c>
      <c r="X473" t="n">
        <v>7.8</v>
      </c>
      <c r="Y473" t="n">
        <v>2.44</v>
      </c>
      <c r="Z473" t="n">
        <v>0</v>
      </c>
      <c r="AA473" t="n">
        <v>0</v>
      </c>
      <c r="AB473" t="n">
        <v>0</v>
      </c>
      <c r="AC473" t="n">
        <v>0</v>
      </c>
      <c r="AD473" t="n">
        <v>1</v>
      </c>
      <c r="AE473" t="n">
        <v>0</v>
      </c>
      <c r="AF473" t="inlineStr"/>
      <c r="AG473" t="n">
        <v>7.8</v>
      </c>
      <c r="AH473" t="n">
        <v>2</v>
      </c>
      <c r="AI473" t="n">
        <v>78872144</v>
      </c>
      <c r="AJ473" t="n">
        <v>517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ROW(Source!A1086)</f>
        <v/>
      </c>
      <c r="B474" t="n">
        <v>78872247</v>
      </c>
      <c r="C474" t="n">
        <v>78872240</v>
      </c>
      <c r="D474" t="n">
        <v>18442827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1-1053-90</t>
        </is>
      </c>
      <c r="J474" t="inlineStr"/>
      <c r="K474" t="inlineStr">
        <is>
          <t>Рабочий строитель среднего разряда 5,3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5.01</v>
      </c>
      <c r="Y474" t="n">
        <v>0</v>
      </c>
      <c r="Z474" t="n">
        <v>0</v>
      </c>
      <c r="AA474" t="n">
        <v>0</v>
      </c>
      <c r="AB474" t="n">
        <v>11.64</v>
      </c>
      <c r="AC474" t="n">
        <v>0</v>
      </c>
      <c r="AD474" t="n">
        <v>1</v>
      </c>
      <c r="AE474" t="n">
        <v>1</v>
      </c>
      <c r="AF474" t="inlineStr"/>
      <c r="AG474" t="n">
        <v>5.01</v>
      </c>
      <c r="AH474" t="n">
        <v>2</v>
      </c>
      <c r="AI474" t="n">
        <v>78872241</v>
      </c>
      <c r="AJ474" t="n">
        <v>518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ROW(Source!A1086)</f>
        <v/>
      </c>
      <c r="B475" t="n">
        <v>78872248</v>
      </c>
      <c r="C475" t="n">
        <v>78872240</v>
      </c>
      <c r="D475" t="n">
        <v>29172703</v>
      </c>
      <c r="E475" t="n">
        <v>1</v>
      </c>
      <c r="F475" t="n">
        <v>1</v>
      </c>
      <c r="G475" t="n">
        <v>1</v>
      </c>
      <c r="H475" t="n">
        <v>2</v>
      </c>
      <c r="I475" t="inlineStr">
        <is>
          <t>042900</t>
        </is>
      </c>
      <c r="J475" t="inlineStr">
        <is>
          <t>ТСЭМ Московской обл., 042900, приказ Минстроя России №675/пр от 28.02.2017 № 264/пр</t>
        </is>
      </c>
      <c r="K4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5" t="n">
        <v>1368</v>
      </c>
      <c r="N475" t="n">
        <v>1011</v>
      </c>
      <c r="O475" t="inlineStr">
        <is>
          <t>маш.-ч</t>
        </is>
      </c>
      <c r="P475" t="inlineStr">
        <is>
          <t>маш.-ч</t>
        </is>
      </c>
      <c r="Q475" t="n">
        <v>1</v>
      </c>
      <c r="X475" t="n">
        <v>1.5</v>
      </c>
      <c r="Y475" t="n">
        <v>0</v>
      </c>
      <c r="Z475" t="n">
        <v>29.67</v>
      </c>
      <c r="AA475" t="n">
        <v>0</v>
      </c>
      <c r="AB475" t="n">
        <v>0</v>
      </c>
      <c r="AC475" t="n">
        <v>0</v>
      </c>
      <c r="AD475" t="n">
        <v>1</v>
      </c>
      <c r="AE475" t="n">
        <v>0</v>
      </c>
      <c r="AF475" t="inlineStr"/>
      <c r="AG475" t="n">
        <v>1.5</v>
      </c>
      <c r="AH475" t="n">
        <v>2</v>
      </c>
      <c r="AI475" t="n">
        <v>78872242</v>
      </c>
      <c r="AJ475" t="n">
        <v>519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ROW(Source!A1086)</f>
        <v/>
      </c>
      <c r="B476" t="n">
        <v>78872249</v>
      </c>
      <c r="C476" t="n">
        <v>78872240</v>
      </c>
      <c r="D476" t="n">
        <v>29110398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101-0388</t>
        </is>
      </c>
      <c r="J476" t="inlineStr">
        <is>
          <t>ТССЦ Московской обл., 101-0388, приказ Минстроя России №675/пр от 28.02.2017 № 254/пр</t>
        </is>
      </c>
      <c r="K476" t="inlineStr">
        <is>
          <t>Краски масляные земляные марки МА-0115 мумия, сурик железный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X476" t="n">
        <v>5e-05</v>
      </c>
      <c r="Y476" t="n">
        <v>15118.99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0</v>
      </c>
      <c r="AF476" t="inlineStr"/>
      <c r="AG476" t="n">
        <v>5e-05</v>
      </c>
      <c r="AH476" t="n">
        <v>2</v>
      </c>
      <c r="AI476" t="n">
        <v>78872243</v>
      </c>
      <c r="AJ476" t="n">
        <v>520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ROW(Source!A1086)</f>
        <v/>
      </c>
      <c r="B477" t="n">
        <v>78872250</v>
      </c>
      <c r="C477" t="n">
        <v>78872240</v>
      </c>
      <c r="D477" t="n">
        <v>29110573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101-0628</t>
        </is>
      </c>
      <c r="J477" t="inlineStr">
        <is>
          <t>ТССЦ Московской обл., 101-0628, приказ Минстроя России №675/пр от 28.02.2017 № 254/пр</t>
        </is>
      </c>
      <c r="K477" t="inlineStr">
        <is>
          <t>Олифа комбинированная, марки К-3</t>
        </is>
      </c>
      <c r="L477" t="n">
        <v>1348</v>
      </c>
      <c r="N477" t="n">
        <v>1009</v>
      </c>
      <c r="O477" t="inlineStr">
        <is>
          <t>т</t>
        </is>
      </c>
      <c r="P477" t="inlineStr">
        <is>
          <t>т</t>
        </is>
      </c>
      <c r="Q477" t="n">
        <v>1000</v>
      </c>
      <c r="X477" t="n">
        <v>2e-05</v>
      </c>
      <c r="Y477" t="n">
        <v>16950</v>
      </c>
      <c r="Z477" t="n">
        <v>0</v>
      </c>
      <c r="AA477" t="n">
        <v>0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2e-05</v>
      </c>
      <c r="AH477" t="n">
        <v>2</v>
      </c>
      <c r="AI477" t="n">
        <v>78872244</v>
      </c>
      <c r="AJ477" t="n">
        <v>521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ROW(Source!A1086)</f>
        <v/>
      </c>
      <c r="B478" t="n">
        <v>78872251</v>
      </c>
      <c r="C478" t="n">
        <v>78872240</v>
      </c>
      <c r="D478" t="n">
        <v>29107963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101-1669</t>
        </is>
      </c>
      <c r="J478" t="inlineStr">
        <is>
          <t>ТССЦ Московской обл., 101-1669, приказ Минстроя России №675/пр от 28.02.2017 № 254/пр</t>
        </is>
      </c>
      <c r="K478" t="inlineStr">
        <is>
          <t>Очес льняной</t>
        </is>
      </c>
      <c r="L478" t="n">
        <v>1346</v>
      </c>
      <c r="N478" t="n">
        <v>1009</v>
      </c>
      <c r="O478" t="inlineStr">
        <is>
          <t>кг</t>
        </is>
      </c>
      <c r="P478" t="inlineStr">
        <is>
          <t>кг</t>
        </is>
      </c>
      <c r="Q478" t="n">
        <v>1</v>
      </c>
      <c r="X478" t="n">
        <v>0.02</v>
      </c>
      <c r="Y478" t="n">
        <v>37.29</v>
      </c>
      <c r="Z478" t="n">
        <v>0</v>
      </c>
      <c r="AA478" t="n">
        <v>0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0.02</v>
      </c>
      <c r="AH478" t="n">
        <v>2</v>
      </c>
      <c r="AI478" t="n">
        <v>78872245</v>
      </c>
      <c r="AJ478" t="n">
        <v>522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ROW(Source!A1086)</f>
        <v/>
      </c>
      <c r="B479" t="n">
        <v>78872252</v>
      </c>
      <c r="C479" t="n">
        <v>78872240</v>
      </c>
      <c r="D479" t="n">
        <v>29150040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411-0001</t>
        </is>
      </c>
      <c r="J479" t="inlineStr">
        <is>
          <t>ТССЦ Московской обл., 411-0001, приказ Минстроя России №675/пр от 28.02.2017 № 257/пр</t>
        </is>
      </c>
      <c r="K479" t="inlineStr">
        <is>
          <t>Вода</t>
        </is>
      </c>
      <c r="L479" t="n">
        <v>1339</v>
      </c>
      <c r="N479" t="n">
        <v>1007</v>
      </c>
      <c r="O479" t="inlineStr">
        <is>
          <t>м3</t>
        </is>
      </c>
      <c r="P479" t="inlineStr">
        <is>
          <t>м3</t>
        </is>
      </c>
      <c r="Q479" t="n">
        <v>1</v>
      </c>
      <c r="X479" t="n">
        <v>1</v>
      </c>
      <c r="Y479" t="n">
        <v>2.44</v>
      </c>
      <c r="Z479" t="n">
        <v>0</v>
      </c>
      <c r="AA479" t="n">
        <v>0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1</v>
      </c>
      <c r="AH479" t="n">
        <v>2</v>
      </c>
      <c r="AI479" t="n">
        <v>78872246</v>
      </c>
      <c r="AJ479" t="n">
        <v>523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ROW(Source!A1125)</f>
        <v/>
      </c>
      <c r="B480" t="n">
        <v>78872322</v>
      </c>
      <c r="C480" t="n">
        <v>78872316</v>
      </c>
      <c r="D480" t="n">
        <v>18408291</v>
      </c>
      <c r="E480" t="n">
        <v>1</v>
      </c>
      <c r="F480" t="n">
        <v>1</v>
      </c>
      <c r="G480" t="n">
        <v>1</v>
      </c>
      <c r="H480" t="n">
        <v>1</v>
      </c>
      <c r="I480" t="inlineStr">
        <is>
          <t>1-1025-90</t>
        </is>
      </c>
      <c r="J480" t="inlineStr"/>
      <c r="K480" t="inlineStr">
        <is>
          <t>Рабочий строитель среднего разряда 2,5</t>
        </is>
      </c>
      <c r="L480" t="n">
        <v>1369</v>
      </c>
      <c r="N480" t="n">
        <v>1013</v>
      </c>
      <c r="O480" t="inlineStr">
        <is>
          <t>чел.-ч</t>
        </is>
      </c>
      <c r="P480" t="inlineStr">
        <is>
          <t>чел.-ч</t>
        </is>
      </c>
      <c r="Q480" t="n">
        <v>1</v>
      </c>
      <c r="X480" t="n">
        <v>32.2</v>
      </c>
      <c r="Y480" t="n">
        <v>0</v>
      </c>
      <c r="Z480" t="n">
        <v>0</v>
      </c>
      <c r="AA480" t="n">
        <v>0</v>
      </c>
      <c r="AB480" t="n">
        <v>8.17</v>
      </c>
      <c r="AC480" t="n">
        <v>0</v>
      </c>
      <c r="AD480" t="n">
        <v>1</v>
      </c>
      <c r="AE480" t="n">
        <v>1</v>
      </c>
      <c r="AF480" t="inlineStr"/>
      <c r="AG480" t="n">
        <v>32.2</v>
      </c>
      <c r="AH480" t="n">
        <v>2</v>
      </c>
      <c r="AI480" t="n">
        <v>78872317</v>
      </c>
      <c r="AJ480" t="n">
        <v>524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ROW(Source!A1125)</f>
        <v/>
      </c>
      <c r="B481" t="n">
        <v>78872323</v>
      </c>
      <c r="C481" t="n">
        <v>78872316</v>
      </c>
      <c r="D481" t="n">
        <v>29174913</v>
      </c>
      <c r="E481" t="n">
        <v>1</v>
      </c>
      <c r="F481" t="n">
        <v>1</v>
      </c>
      <c r="G481" t="n">
        <v>1</v>
      </c>
      <c r="H481" t="n">
        <v>2</v>
      </c>
      <c r="I481" t="inlineStr">
        <is>
          <t>400001</t>
        </is>
      </c>
      <c r="J481" t="inlineStr">
        <is>
          <t>ТСЭМ Московской обл., 400001, приказ Минстроя России №675/пр от 28.02.2017 № 264/пр</t>
        </is>
      </c>
      <c r="K481" t="inlineStr">
        <is>
          <t>Автомобили бортовые, грузоподъемность до 5 т</t>
        </is>
      </c>
      <c r="L481" t="n">
        <v>1368</v>
      </c>
      <c r="N481" t="n">
        <v>1011</v>
      </c>
      <c r="O481" t="inlineStr">
        <is>
          <t>маш.-ч</t>
        </is>
      </c>
      <c r="P481" t="inlineStr">
        <is>
          <t>маш.-ч</t>
        </is>
      </c>
      <c r="Q481" t="n">
        <v>1</v>
      </c>
      <c r="X481" t="n">
        <v>0.01</v>
      </c>
      <c r="Y481" t="n">
        <v>0</v>
      </c>
      <c r="Z481" t="n">
        <v>87.17</v>
      </c>
      <c r="AA481" t="n">
        <v>11.6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0.01</v>
      </c>
      <c r="AH481" t="n">
        <v>2</v>
      </c>
      <c r="AI481" t="n">
        <v>78872318</v>
      </c>
      <c r="AJ481" t="n">
        <v>525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ROW(Source!A1125)</f>
        <v/>
      </c>
      <c r="B482" t="n">
        <v>78872324</v>
      </c>
      <c r="C482" t="n">
        <v>78872316</v>
      </c>
      <c r="D482" t="n">
        <v>29110139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101-1703</t>
        </is>
      </c>
      <c r="J482" t="inlineStr">
        <is>
          <t>ТССЦ Московской обл., 101-1703, приказ Минстроя России №675/пр от 28.02.2017 № 254/пр</t>
        </is>
      </c>
      <c r="K482" t="inlineStr">
        <is>
          <t>Прокладки резиновые (пластина техническая прессованная)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2</v>
      </c>
      <c r="Y482" t="n">
        <v>23.09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2</v>
      </c>
      <c r="AH482" t="n">
        <v>2</v>
      </c>
      <c r="AI482" t="n">
        <v>78872319</v>
      </c>
      <c r="AJ482" t="n">
        <v>526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ROW(Source!A1125)</f>
        <v/>
      </c>
      <c r="B483" t="n">
        <v>78872325</v>
      </c>
      <c r="C483" t="n">
        <v>78872316</v>
      </c>
      <c r="D483" t="n">
        <v>29114240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101-2576</t>
        </is>
      </c>
      <c r="J483" t="inlineStr">
        <is>
          <t>ТССЦ Московской обл., 101-2576, приказ Минстроя России №675/пр от 28.02.2017 № 254/пр</t>
        </is>
      </c>
      <c r="K483" t="inlineStr">
        <is>
          <t>Болты с гайками и шайбами для санитарно-технических работ диаметром 16 мм</t>
        </is>
      </c>
      <c r="L483" t="n">
        <v>1348</v>
      </c>
      <c r="N483" t="n">
        <v>1009</v>
      </c>
      <c r="O483" t="inlineStr">
        <is>
          <t>т</t>
        </is>
      </c>
      <c r="P483" t="inlineStr">
        <is>
          <t>т</t>
        </is>
      </c>
      <c r="Q483" t="n">
        <v>1000</v>
      </c>
      <c r="X483" t="n">
        <v>0.005</v>
      </c>
      <c r="Y483" t="n">
        <v>14830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0.005</v>
      </c>
      <c r="AH483" t="n">
        <v>2</v>
      </c>
      <c r="AI483" t="n">
        <v>78872320</v>
      </c>
      <c r="AJ483" t="n">
        <v>527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ROW(Source!A1125)</f>
        <v/>
      </c>
      <c r="B484" t="n">
        <v>78872326</v>
      </c>
      <c r="C484" t="n">
        <v>78872316</v>
      </c>
      <c r="D484" t="n">
        <v>29150040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411-0001</t>
        </is>
      </c>
      <c r="J484" t="inlineStr">
        <is>
          <t>ТССЦ Московской обл., 411-0001, приказ Минстроя России №675/пр от 28.02.2017 № 257/пр</t>
        </is>
      </c>
      <c r="K484" t="inlineStr">
        <is>
          <t>Вода</t>
        </is>
      </c>
      <c r="L484" t="n">
        <v>1339</v>
      </c>
      <c r="N484" t="n">
        <v>1007</v>
      </c>
      <c r="O484" t="inlineStr">
        <is>
          <t>м3</t>
        </is>
      </c>
      <c r="P484" t="inlineStr">
        <is>
          <t>м3</t>
        </is>
      </c>
      <c r="Q484" t="n">
        <v>1</v>
      </c>
      <c r="X484" t="n">
        <v>7.8</v>
      </c>
      <c r="Y484" t="n">
        <v>2.44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7.8</v>
      </c>
      <c r="AH484" t="n">
        <v>2</v>
      </c>
      <c r="AI484" t="n">
        <v>78872321</v>
      </c>
      <c r="AJ484" t="n">
        <v>528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ROW(Source!A1126)</f>
        <v/>
      </c>
      <c r="B485" t="n">
        <v>78872334</v>
      </c>
      <c r="C485" t="n">
        <v>78872327</v>
      </c>
      <c r="D485" t="n">
        <v>18442827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1-1053-90</t>
        </is>
      </c>
      <c r="J485" t="inlineStr"/>
      <c r="K485" t="inlineStr">
        <is>
          <t>Рабочий строитель среднего разряда 5,3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X485" t="n">
        <v>5.01</v>
      </c>
      <c r="Y485" t="n">
        <v>0</v>
      </c>
      <c r="Z485" t="n">
        <v>0</v>
      </c>
      <c r="AA485" t="n">
        <v>0</v>
      </c>
      <c r="AB485" t="n">
        <v>11.64</v>
      </c>
      <c r="AC485" t="n">
        <v>0</v>
      </c>
      <c r="AD485" t="n">
        <v>1</v>
      </c>
      <c r="AE485" t="n">
        <v>1</v>
      </c>
      <c r="AF485" t="inlineStr">
        <is>
          <t>)*6</t>
        </is>
      </c>
      <c r="AG485" t="n">
        <v>30.06</v>
      </c>
      <c r="AH485" t="n">
        <v>2</v>
      </c>
      <c r="AI485" t="n">
        <v>78872328</v>
      </c>
      <c r="AJ485" t="n">
        <v>529</v>
      </c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ROW(Source!A1126)</f>
        <v/>
      </c>
      <c r="B486" t="n">
        <v>78872335</v>
      </c>
      <c r="C486" t="n">
        <v>78872327</v>
      </c>
      <c r="D486" t="n">
        <v>29172703</v>
      </c>
      <c r="E486" t="n">
        <v>1</v>
      </c>
      <c r="F486" t="n">
        <v>1</v>
      </c>
      <c r="G486" t="n">
        <v>1</v>
      </c>
      <c r="H486" t="n">
        <v>2</v>
      </c>
      <c r="I486" t="inlineStr">
        <is>
          <t>042900</t>
        </is>
      </c>
      <c r="J486" t="inlineStr">
        <is>
          <t>ТСЭМ Московской обл., 042900, приказ Минстроя России №675/пр от 28.02.2017 № 264/пр</t>
        </is>
      </c>
      <c r="K48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6" t="n">
        <v>1368</v>
      </c>
      <c r="N486" t="n">
        <v>1011</v>
      </c>
      <c r="O486" t="inlineStr">
        <is>
          <t>маш.-ч</t>
        </is>
      </c>
      <c r="P486" t="inlineStr">
        <is>
          <t>маш.-ч</t>
        </is>
      </c>
      <c r="Q486" t="n">
        <v>1</v>
      </c>
      <c r="X486" t="n">
        <v>1.5</v>
      </c>
      <c r="Y486" t="n">
        <v>0</v>
      </c>
      <c r="Z486" t="n">
        <v>29.67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>
        <is>
          <t>)*6</t>
        </is>
      </c>
      <c r="AG486" t="n">
        <v>9</v>
      </c>
      <c r="AH486" t="n">
        <v>2</v>
      </c>
      <c r="AI486" t="n">
        <v>78872329</v>
      </c>
      <c r="AJ486" t="n">
        <v>530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ROW(Source!A1126)</f>
        <v/>
      </c>
      <c r="B487" t="n">
        <v>78872336</v>
      </c>
      <c r="C487" t="n">
        <v>78872327</v>
      </c>
      <c r="D487" t="n">
        <v>29110398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101-0388</t>
        </is>
      </c>
      <c r="J487" t="inlineStr">
        <is>
          <t>ТССЦ Московской обл., 101-0388, приказ Минстроя России №675/пр от 28.02.2017 № 254/пр</t>
        </is>
      </c>
      <c r="K487" t="inlineStr">
        <is>
          <t>Краски масляные земляные марки МА-0115 мумия, сурик железный</t>
        </is>
      </c>
      <c r="L487" t="n">
        <v>1348</v>
      </c>
      <c r="N487" t="n">
        <v>1009</v>
      </c>
      <c r="O487" t="inlineStr">
        <is>
          <t>т</t>
        </is>
      </c>
      <c r="P487" t="inlineStr">
        <is>
          <t>т</t>
        </is>
      </c>
      <c r="Q487" t="n">
        <v>1000</v>
      </c>
      <c r="X487" t="n">
        <v>5e-05</v>
      </c>
      <c r="Y487" t="n">
        <v>15118.99</v>
      </c>
      <c r="Z487" t="n">
        <v>0</v>
      </c>
      <c r="AA487" t="n">
        <v>0</v>
      </c>
      <c r="AB487" t="n">
        <v>0</v>
      </c>
      <c r="AC487" t="n">
        <v>0</v>
      </c>
      <c r="AD487" t="n">
        <v>1</v>
      </c>
      <c r="AE487" t="n">
        <v>0</v>
      </c>
      <c r="AF487" t="inlineStr">
        <is>
          <t>)*6</t>
        </is>
      </c>
      <c r="AG487" t="n">
        <v>0.0003</v>
      </c>
      <c r="AH487" t="n">
        <v>2</v>
      </c>
      <c r="AI487" t="n">
        <v>78872330</v>
      </c>
      <c r="AJ487" t="n">
        <v>531</v>
      </c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ROW(Source!A1126)</f>
        <v/>
      </c>
      <c r="B488" t="n">
        <v>78872337</v>
      </c>
      <c r="C488" t="n">
        <v>78872327</v>
      </c>
      <c r="D488" t="n">
        <v>29110573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101-0628</t>
        </is>
      </c>
      <c r="J488" t="inlineStr">
        <is>
          <t>ТССЦ Московской обл., 101-0628, приказ Минстроя России №675/пр от 28.02.2017 № 254/пр</t>
        </is>
      </c>
      <c r="K488" t="inlineStr">
        <is>
          <t>Олифа комбинированная, марки К-3</t>
        </is>
      </c>
      <c r="L488" t="n">
        <v>1348</v>
      </c>
      <c r="N488" t="n">
        <v>1009</v>
      </c>
      <c r="O488" t="inlineStr">
        <is>
          <t>т</t>
        </is>
      </c>
      <c r="P488" t="inlineStr">
        <is>
          <t>т</t>
        </is>
      </c>
      <c r="Q488" t="n">
        <v>1000</v>
      </c>
      <c r="X488" t="n">
        <v>2e-05</v>
      </c>
      <c r="Y488" t="n">
        <v>16950</v>
      </c>
      <c r="Z488" t="n">
        <v>0</v>
      </c>
      <c r="AA488" t="n">
        <v>0</v>
      </c>
      <c r="AB488" t="n">
        <v>0</v>
      </c>
      <c r="AC488" t="n">
        <v>0</v>
      </c>
      <c r="AD488" t="n">
        <v>1</v>
      </c>
      <c r="AE488" t="n">
        <v>0</v>
      </c>
      <c r="AF488" t="inlineStr">
        <is>
          <t>)*6</t>
        </is>
      </c>
      <c r="AG488" t="n">
        <v>0.00012</v>
      </c>
      <c r="AH488" t="n">
        <v>2</v>
      </c>
      <c r="AI488" t="n">
        <v>78872331</v>
      </c>
      <c r="AJ488" t="n">
        <v>532</v>
      </c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ROW(Source!A1126)</f>
        <v/>
      </c>
      <c r="B489" t="n">
        <v>78872338</v>
      </c>
      <c r="C489" t="n">
        <v>78872327</v>
      </c>
      <c r="D489" t="n">
        <v>29107963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101-1669</t>
        </is>
      </c>
      <c r="J489" t="inlineStr">
        <is>
          <t>ТССЦ Московской обл., 101-1669, приказ Минстроя России №675/пр от 28.02.2017 № 254/пр</t>
        </is>
      </c>
      <c r="K489" t="inlineStr">
        <is>
          <t>Очес льняной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0.02</v>
      </c>
      <c r="Y489" t="n">
        <v>37.29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>
        <is>
          <t>)*6</t>
        </is>
      </c>
      <c r="AG489" t="n">
        <v>0.12</v>
      </c>
      <c r="AH489" t="n">
        <v>2</v>
      </c>
      <c r="AI489" t="n">
        <v>78872332</v>
      </c>
      <c r="AJ489" t="n">
        <v>533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ROW(Source!A1126)</f>
        <v/>
      </c>
      <c r="B490" t="n">
        <v>78872339</v>
      </c>
      <c r="C490" t="n">
        <v>78872327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>
        <is>
          <t>)*6</t>
        </is>
      </c>
      <c r="AG490" t="n">
        <v>6</v>
      </c>
      <c r="AH490" t="n">
        <v>2</v>
      </c>
      <c r="AI490" t="n">
        <v>78872333</v>
      </c>
      <c r="AJ490" t="n">
        <v>534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ROW(Source!A1127)</f>
        <v/>
      </c>
      <c r="B491" t="n">
        <v>78872344</v>
      </c>
      <c r="C491" t="n">
        <v>78872340</v>
      </c>
      <c r="D491" t="n">
        <v>18407150</v>
      </c>
      <c r="E491" t="n">
        <v>1</v>
      </c>
      <c r="F491" t="n">
        <v>1</v>
      </c>
      <c r="G491" t="n">
        <v>1</v>
      </c>
      <c r="H491" t="n">
        <v>1</v>
      </c>
      <c r="I491" t="inlineStr">
        <is>
          <t>1-1030-90</t>
        </is>
      </c>
      <c r="J491" t="inlineStr"/>
      <c r="K491" t="inlineStr">
        <is>
          <t>Рабочий строитель среднего разряда 3</t>
        </is>
      </c>
      <c r="L491" t="n">
        <v>1369</v>
      </c>
      <c r="N491" t="n">
        <v>1013</v>
      </c>
      <c r="O491" t="inlineStr">
        <is>
          <t>чел.-ч</t>
        </is>
      </c>
      <c r="P491" t="inlineStr">
        <is>
          <t>чел.-ч</t>
        </is>
      </c>
      <c r="Q491" t="n">
        <v>1</v>
      </c>
      <c r="X491" t="n">
        <v>13.9</v>
      </c>
      <c r="Y491" t="n">
        <v>0</v>
      </c>
      <c r="Z491" t="n">
        <v>0</v>
      </c>
      <c r="AA491" t="n">
        <v>0</v>
      </c>
      <c r="AB491" t="n">
        <v>8.529999999999999</v>
      </c>
      <c r="AC491" t="n">
        <v>0</v>
      </c>
      <c r="AD491" t="n">
        <v>1</v>
      </c>
      <c r="AE491" t="n">
        <v>1</v>
      </c>
      <c r="AF491" t="inlineStr"/>
      <c r="AG491" t="n">
        <v>13.9</v>
      </c>
      <c r="AH491" t="n">
        <v>2</v>
      </c>
      <c r="AI491" t="n">
        <v>78872341</v>
      </c>
      <c r="AJ491" t="n">
        <v>535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ROW(Source!A1127)</f>
        <v/>
      </c>
      <c r="B492" t="n">
        <v>78872345</v>
      </c>
      <c r="C492" t="n">
        <v>78872340</v>
      </c>
      <c r="D492" t="n">
        <v>29169821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509-0696</t>
        </is>
      </c>
      <c r="J492" t="inlineStr">
        <is>
          <t>ТССЦ Московской обл., 509-0696, приказ Минстроя России №675/пр от 28.02.2017 № 258/пр</t>
        </is>
      </c>
      <c r="K492" t="inlineStr">
        <is>
          <t>Лампы люминесцентные ртутные низкого давления типа ЛБ, ЛД, ЛДЦ, ЛТВ, ЛБХ 20</t>
        </is>
      </c>
      <c r="L492" t="n">
        <v>1358</v>
      </c>
      <c r="N492" t="n">
        <v>1010</v>
      </c>
      <c r="O492" t="inlineStr">
        <is>
          <t>10 шт.</t>
        </is>
      </c>
      <c r="P492" t="inlineStr">
        <is>
          <t>10 шт.</t>
        </is>
      </c>
      <c r="Q492" t="n">
        <v>10</v>
      </c>
      <c r="X492" t="n">
        <v>10</v>
      </c>
      <c r="Y492" t="n">
        <v>85.2</v>
      </c>
      <c r="Z492" t="n">
        <v>0</v>
      </c>
      <c r="AA492" t="n">
        <v>0</v>
      </c>
      <c r="AB492" t="n">
        <v>0</v>
      </c>
      <c r="AC492" t="n">
        <v>0</v>
      </c>
      <c r="AD492" t="n">
        <v>1</v>
      </c>
      <c r="AE492" t="n">
        <v>0</v>
      </c>
      <c r="AF492" t="inlineStr"/>
      <c r="AG492" t="n">
        <v>10</v>
      </c>
      <c r="AH492" t="n">
        <v>2</v>
      </c>
      <c r="AI492" t="n">
        <v>78872342</v>
      </c>
      <c r="AJ492" t="n">
        <v>536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ROW(Source!A1167)</f>
        <v/>
      </c>
      <c r="B493" t="n">
        <v>78872417</v>
      </c>
      <c r="C493" t="n">
        <v>78872410</v>
      </c>
      <c r="D493" t="n">
        <v>18442827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1-1053-90</t>
        </is>
      </c>
      <c r="J493" t="inlineStr"/>
      <c r="K493" t="inlineStr">
        <is>
          <t>Рабочий строитель среднего разряда 5,3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X493" t="n">
        <v>5.01</v>
      </c>
      <c r="Y493" t="n">
        <v>0</v>
      </c>
      <c r="Z493" t="n">
        <v>0</v>
      </c>
      <c r="AA493" t="n">
        <v>0</v>
      </c>
      <c r="AB493" t="n">
        <v>11.64</v>
      </c>
      <c r="AC493" t="n">
        <v>0</v>
      </c>
      <c r="AD493" t="n">
        <v>1</v>
      </c>
      <c r="AE493" t="n">
        <v>1</v>
      </c>
      <c r="AF493" t="inlineStr">
        <is>
          <t>)*6</t>
        </is>
      </c>
      <c r="AG493" t="n">
        <v>30.06</v>
      </c>
      <c r="AH493" t="n">
        <v>2</v>
      </c>
      <c r="AI493" t="n">
        <v>78872411</v>
      </c>
      <c r="AJ493" t="n">
        <v>538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ROW(Source!A1167)</f>
        <v/>
      </c>
      <c r="B494" t="n">
        <v>78872418</v>
      </c>
      <c r="C494" t="n">
        <v>78872410</v>
      </c>
      <c r="D494" t="n">
        <v>29172703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042900</t>
        </is>
      </c>
      <c r="J494" t="inlineStr">
        <is>
          <t>ТСЭМ Московской обл., 042900, приказ Минстроя России №675/пр от 28.02.2017 № 264/пр</t>
        </is>
      </c>
      <c r="K4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1.5</v>
      </c>
      <c r="Y494" t="n">
        <v>0</v>
      </c>
      <c r="Z494" t="n">
        <v>29.67</v>
      </c>
      <c r="AA494" t="n">
        <v>0</v>
      </c>
      <c r="AB494" t="n">
        <v>0</v>
      </c>
      <c r="AC494" t="n">
        <v>0</v>
      </c>
      <c r="AD494" t="n">
        <v>1</v>
      </c>
      <c r="AE494" t="n">
        <v>0</v>
      </c>
      <c r="AF494" t="inlineStr">
        <is>
          <t>)*6</t>
        </is>
      </c>
      <c r="AG494" t="n">
        <v>9</v>
      </c>
      <c r="AH494" t="n">
        <v>2</v>
      </c>
      <c r="AI494" t="n">
        <v>78872412</v>
      </c>
      <c r="AJ494" t="n">
        <v>539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ROW(Source!A1167)</f>
        <v/>
      </c>
      <c r="B495" t="n">
        <v>78872419</v>
      </c>
      <c r="C495" t="n">
        <v>78872410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5e-05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>
        <is>
          <t>)*6</t>
        </is>
      </c>
      <c r="AG495" t="n">
        <v>0.0003</v>
      </c>
      <c r="AH495" t="n">
        <v>2</v>
      </c>
      <c r="AI495" t="n">
        <v>78872413</v>
      </c>
      <c r="AJ495" t="n">
        <v>540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ROW(Source!A1167)</f>
        <v/>
      </c>
      <c r="B496" t="n">
        <v>78872420</v>
      </c>
      <c r="C496" t="n">
        <v>78872410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2e-05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>
        <is>
          <t>)*6</t>
        </is>
      </c>
      <c r="AG496" t="n">
        <v>0.00012</v>
      </c>
      <c r="AH496" t="n">
        <v>2</v>
      </c>
      <c r="AI496" t="n">
        <v>78872414</v>
      </c>
      <c r="AJ496" t="n">
        <v>541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ROW(Source!A1167)</f>
        <v/>
      </c>
      <c r="B497" t="n">
        <v>78872421</v>
      </c>
      <c r="C497" t="n">
        <v>78872410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0.02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>
        <is>
          <t>)*6</t>
        </is>
      </c>
      <c r="AG497" t="n">
        <v>0.12</v>
      </c>
      <c r="AH497" t="n">
        <v>2</v>
      </c>
      <c r="AI497" t="n">
        <v>78872415</v>
      </c>
      <c r="AJ497" t="n">
        <v>542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ROW(Source!A1167)</f>
        <v/>
      </c>
      <c r="B498" t="n">
        <v>78872422</v>
      </c>
      <c r="C498" t="n">
        <v>78872410</v>
      </c>
      <c r="D498" t="n">
        <v>29150040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411-0001</t>
        </is>
      </c>
      <c r="J498" t="inlineStr">
        <is>
          <t>ТССЦ Московской обл., 411-0001, приказ Минстроя России №675/пр от 28.02.2017 № 257/пр</t>
        </is>
      </c>
      <c r="K498" t="inlineStr">
        <is>
          <t>Вода</t>
        </is>
      </c>
      <c r="L498" t="n">
        <v>1339</v>
      </c>
      <c r="N498" t="n">
        <v>1007</v>
      </c>
      <c r="O498" t="inlineStr">
        <is>
          <t>м3</t>
        </is>
      </c>
      <c r="P498" t="inlineStr">
        <is>
          <t>м3</t>
        </is>
      </c>
      <c r="Q498" t="n">
        <v>1</v>
      </c>
      <c r="X498" t="n">
        <v>1</v>
      </c>
      <c r="Y498" t="n">
        <v>2.44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>
        <is>
          <t>)*6</t>
        </is>
      </c>
      <c r="AG498" t="n">
        <v>6</v>
      </c>
      <c r="AH498" t="n">
        <v>2</v>
      </c>
      <c r="AI498" t="n">
        <v>78872416</v>
      </c>
      <c r="AJ498" t="n">
        <v>543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ROW(Source!A1206)</f>
        <v/>
      </c>
      <c r="B499" t="n">
        <v>78872492</v>
      </c>
      <c r="C499" t="n">
        <v>78872486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78872487</v>
      </c>
      <c r="AJ499" t="n">
        <v>544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ROW(Source!A1206)</f>
        <v/>
      </c>
      <c r="B500" t="n">
        <v>78872493</v>
      </c>
      <c r="C500" t="n">
        <v>78872486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78872488</v>
      </c>
      <c r="AJ500" t="n">
        <v>545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ROW(Source!A1206)</f>
        <v/>
      </c>
      <c r="B501" t="n">
        <v>78872494</v>
      </c>
      <c r="C501" t="n">
        <v>78872486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78872489</v>
      </c>
      <c r="AJ501" t="n">
        <v>546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ROW(Source!A1206)</f>
        <v/>
      </c>
      <c r="B502" t="n">
        <v>78872495</v>
      </c>
      <c r="C502" t="n">
        <v>78872486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78872490</v>
      </c>
      <c r="AJ502" t="n">
        <v>547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ROW(Source!A1206)</f>
        <v/>
      </c>
      <c r="B503" t="n">
        <v>78872496</v>
      </c>
      <c r="C503" t="n">
        <v>78872486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78872491</v>
      </c>
      <c r="AJ503" t="n">
        <v>548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ROW(Source!A1207)</f>
        <v/>
      </c>
      <c r="B504" t="n">
        <v>78872501</v>
      </c>
      <c r="C504" t="n">
        <v>78872497</v>
      </c>
      <c r="D504" t="n">
        <v>18407150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1-1030-90</t>
        </is>
      </c>
      <c r="J504" t="inlineStr"/>
      <c r="K504" t="inlineStr">
        <is>
          <t>Рабочий строитель среднего разряда 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13.9</v>
      </c>
      <c r="Y504" t="n">
        <v>0</v>
      </c>
      <c r="Z504" t="n">
        <v>0</v>
      </c>
      <c r="AA504" t="n">
        <v>0</v>
      </c>
      <c r="AB504" t="n">
        <v>8.529999999999999</v>
      </c>
      <c r="AC504" t="n">
        <v>0</v>
      </c>
      <c r="AD504" t="n">
        <v>1</v>
      </c>
      <c r="AE504" t="n">
        <v>1</v>
      </c>
      <c r="AF504" t="inlineStr"/>
      <c r="AG504" t="n">
        <v>13.9</v>
      </c>
      <c r="AH504" t="n">
        <v>2</v>
      </c>
      <c r="AI504" t="n">
        <v>78872498</v>
      </c>
      <c r="AJ504" t="n">
        <v>549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ROW(Source!A1207)</f>
        <v/>
      </c>
      <c r="B505" t="n">
        <v>78872502</v>
      </c>
      <c r="C505" t="n">
        <v>78872497</v>
      </c>
      <c r="D505" t="n">
        <v>29169821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509-0696</t>
        </is>
      </c>
      <c r="J505" t="inlineStr">
        <is>
          <t>ТССЦ Московской обл., 509-0696, приказ Минстроя России №675/пр от 28.02.2017 № 258/пр</t>
        </is>
      </c>
      <c r="K505" t="inlineStr">
        <is>
          <t>Лампы люминесцентные ртутные низкого давления типа ЛБ, ЛД, ЛДЦ, ЛТВ, ЛБХ 20</t>
        </is>
      </c>
      <c r="L505" t="n">
        <v>1358</v>
      </c>
      <c r="N505" t="n">
        <v>1010</v>
      </c>
      <c r="O505" t="inlineStr">
        <is>
          <t>10 шт.</t>
        </is>
      </c>
      <c r="P505" t="inlineStr">
        <is>
          <t>10 шт.</t>
        </is>
      </c>
      <c r="Q505" t="n">
        <v>10</v>
      </c>
      <c r="X505" t="n">
        <v>10</v>
      </c>
      <c r="Y505" t="n">
        <v>85.2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0</v>
      </c>
      <c r="AF505" t="inlineStr"/>
      <c r="AG505" t="n">
        <v>10</v>
      </c>
      <c r="AH505" t="n">
        <v>2</v>
      </c>
      <c r="AI505" t="n">
        <v>78872499</v>
      </c>
      <c r="AJ505" t="n">
        <v>550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ROW(Source!A1209)</f>
        <v/>
      </c>
      <c r="B506" t="n">
        <v>78872647</v>
      </c>
      <c r="C506" t="n">
        <v>78872644</v>
      </c>
      <c r="D506" t="n">
        <v>18406804</v>
      </c>
      <c r="E506" t="n">
        <v>1</v>
      </c>
      <c r="F506" t="n">
        <v>1</v>
      </c>
      <c r="G506" t="n">
        <v>1</v>
      </c>
      <c r="H506" t="n">
        <v>1</v>
      </c>
      <c r="I506" t="inlineStr">
        <is>
          <t>1-1020-90</t>
        </is>
      </c>
      <c r="J506" t="inlineStr"/>
      <c r="K506" t="inlineStr">
        <is>
          <t>Рабочий строитель среднего разряда 2</t>
        </is>
      </c>
      <c r="L506" t="n">
        <v>1369</v>
      </c>
      <c r="N506" t="n">
        <v>1013</v>
      </c>
      <c r="O506" t="inlineStr">
        <is>
          <t>чел.-ч</t>
        </is>
      </c>
      <c r="P506" t="inlineStr">
        <is>
          <t>чел.-ч</t>
        </is>
      </c>
      <c r="Q506" t="n">
        <v>1</v>
      </c>
      <c r="X506" t="n">
        <v>2.54</v>
      </c>
      <c r="Y506" t="n">
        <v>0</v>
      </c>
      <c r="Z506" t="n">
        <v>0</v>
      </c>
      <c r="AA506" t="n">
        <v>0</v>
      </c>
      <c r="AB506" t="n">
        <v>7.8</v>
      </c>
      <c r="AC506" t="n">
        <v>0</v>
      </c>
      <c r="AD506" t="n">
        <v>1</v>
      </c>
      <c r="AE506" t="n">
        <v>1</v>
      </c>
      <c r="AF506" t="inlineStr"/>
      <c r="AG506" t="n">
        <v>2.54</v>
      </c>
      <c r="AH506" t="n">
        <v>2</v>
      </c>
      <c r="AI506" t="n">
        <v>78872645</v>
      </c>
      <c r="AJ506" t="n">
        <v>552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ROW(Source!A1209)</f>
        <v/>
      </c>
      <c r="B507" t="n">
        <v>78872648</v>
      </c>
      <c r="C507" t="n">
        <v>78872644</v>
      </c>
      <c r="D507" t="n">
        <v>29164349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509-9900</t>
        </is>
      </c>
      <c r="J507" t="inlineStr">
        <is>
          <t>ТССЦ Московской обл., 509-9900, приказ Минстроя России №675/пр от 28.02.2017 № 258/пр</t>
        </is>
      </c>
      <c r="K507" t="inlineStr">
        <is>
          <t>Строительный мусор</t>
        </is>
      </c>
      <c r="L507" t="n">
        <v>1348</v>
      </c>
      <c r="N507" t="n">
        <v>1009</v>
      </c>
      <c r="O507" t="inlineStr">
        <is>
          <t>т</t>
        </is>
      </c>
      <c r="P507" t="inlineStr">
        <is>
          <t>т</t>
        </is>
      </c>
      <c r="Q507" t="n">
        <v>1000</v>
      </c>
      <c r="X507" t="n">
        <v>0.004</v>
      </c>
      <c r="Y507" t="n">
        <v>0</v>
      </c>
      <c r="Z507" t="n">
        <v>0</v>
      </c>
      <c r="AA507" t="n">
        <v>0</v>
      </c>
      <c r="AB507" t="n">
        <v>0</v>
      </c>
      <c r="AC507" t="n">
        <v>0</v>
      </c>
      <c r="AD507" t="n">
        <v>0</v>
      </c>
      <c r="AE507" t="n">
        <v>0</v>
      </c>
      <c r="AF507" t="inlineStr"/>
      <c r="AG507" t="n">
        <v>0.004</v>
      </c>
      <c r="AH507" t="n">
        <v>2</v>
      </c>
      <c r="AI507" t="n">
        <v>78872646</v>
      </c>
      <c r="AJ507" t="n">
        <v>553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ROW(Source!A1211)</f>
        <v/>
      </c>
      <c r="B508" t="n">
        <v>78872633</v>
      </c>
      <c r="C508" t="n">
        <v>78872621</v>
      </c>
      <c r="D508" t="n">
        <v>29361034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1-2038-90</t>
        </is>
      </c>
      <c r="J508" t="inlineStr"/>
      <c r="K508" t="inlineStr">
        <is>
          <t>Рабочий монтажник среднего разряда 3,8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X508" t="n">
        <v>16.5</v>
      </c>
      <c r="Y508" t="n">
        <v>0</v>
      </c>
      <c r="Z508" t="n">
        <v>0</v>
      </c>
      <c r="AA508" t="n">
        <v>0</v>
      </c>
      <c r="AB508" t="n">
        <v>9.4</v>
      </c>
      <c r="AC508" t="n">
        <v>0</v>
      </c>
      <c r="AD508" t="n">
        <v>1</v>
      </c>
      <c r="AE508" t="n">
        <v>1</v>
      </c>
      <c r="AF508" t="inlineStr"/>
      <c r="AG508" t="n">
        <v>16.5</v>
      </c>
      <c r="AH508" t="n">
        <v>2</v>
      </c>
      <c r="AI508" t="n">
        <v>78872622</v>
      </c>
      <c r="AJ508" t="n">
        <v>554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ROW(Source!A1211)</f>
        <v/>
      </c>
      <c r="B509" t="n">
        <v>78872634</v>
      </c>
      <c r="C509" t="n">
        <v>78872621</v>
      </c>
      <c r="D509" t="n">
        <v>121548</v>
      </c>
      <c r="E509" t="n">
        <v>1</v>
      </c>
      <c r="F509" t="n">
        <v>1</v>
      </c>
      <c r="G509" t="n">
        <v>1</v>
      </c>
      <c r="H509" t="n">
        <v>1</v>
      </c>
      <c r="I509" t="inlineStr">
        <is>
          <t>2</t>
        </is>
      </c>
      <c r="J509" t="inlineStr"/>
      <c r="K509" t="inlineStr">
        <is>
          <t>Затраты труда машинистов</t>
        </is>
      </c>
      <c r="L509" t="n">
        <v>608254</v>
      </c>
      <c r="N509" t="n">
        <v>1013</v>
      </c>
      <c r="O509" t="inlineStr">
        <is>
          <t>чел.час</t>
        </is>
      </c>
      <c r="P509" t="inlineStr">
        <is>
          <t>чел.час</t>
        </is>
      </c>
      <c r="Q509" t="n">
        <v>1</v>
      </c>
      <c r="X509" t="n">
        <v>0.02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1</v>
      </c>
      <c r="AE509" t="n">
        <v>2</v>
      </c>
      <c r="AF509" t="inlineStr"/>
      <c r="AG509" t="n">
        <v>0.02</v>
      </c>
      <c r="AH509" t="n">
        <v>2</v>
      </c>
      <c r="AI509" t="n">
        <v>78872623</v>
      </c>
      <c r="AJ509" t="n">
        <v>555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ROW(Source!A1211)</f>
        <v/>
      </c>
      <c r="B510" t="n">
        <v>78872635</v>
      </c>
      <c r="C510" t="n">
        <v>78872621</v>
      </c>
      <c r="D510" t="n">
        <v>29172362</v>
      </c>
      <c r="E510" t="n">
        <v>1</v>
      </c>
      <c r="F510" t="n">
        <v>1</v>
      </c>
      <c r="G510" t="n">
        <v>1</v>
      </c>
      <c r="H510" t="n">
        <v>2</v>
      </c>
      <c r="I510" t="inlineStr">
        <is>
          <t>021102</t>
        </is>
      </c>
      <c r="J510" t="inlineStr">
        <is>
          <t>ТСЭМ Московской обл., 021102, приказ Минстроя России №675/пр от 28.02.2017 № 264/пр</t>
        </is>
      </c>
      <c r="K510" t="inlineStr">
        <is>
          <t>Краны на автомобильном ходу при работе на монтаже технологического оборудования 10 т</t>
        </is>
      </c>
      <c r="L510" t="n">
        <v>1368</v>
      </c>
      <c r="N510" t="n">
        <v>1011</v>
      </c>
      <c r="O510" t="inlineStr">
        <is>
          <t>маш.-ч</t>
        </is>
      </c>
      <c r="P510" t="inlineStr">
        <is>
          <t>маш.-ч</t>
        </is>
      </c>
      <c r="Q510" t="n">
        <v>1</v>
      </c>
      <c r="X510" t="n">
        <v>0.02</v>
      </c>
      <c r="Y510" t="n">
        <v>0</v>
      </c>
      <c r="Z510" t="n">
        <v>134.65</v>
      </c>
      <c r="AA510" t="n">
        <v>13.5</v>
      </c>
      <c r="AB510" t="n">
        <v>0</v>
      </c>
      <c r="AC510" t="n">
        <v>0</v>
      </c>
      <c r="AD510" t="n">
        <v>1</v>
      </c>
      <c r="AE510" t="n">
        <v>0</v>
      </c>
      <c r="AF510" t="inlineStr"/>
      <c r="AG510" t="n">
        <v>0.02</v>
      </c>
      <c r="AH510" t="n">
        <v>2</v>
      </c>
      <c r="AI510" t="n">
        <v>78872624</v>
      </c>
      <c r="AJ510" t="n">
        <v>556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ROW(Source!A1211)</f>
        <v/>
      </c>
      <c r="B511" t="n">
        <v>78872636</v>
      </c>
      <c r="C511" t="n">
        <v>78872621</v>
      </c>
      <c r="D511" t="n">
        <v>29174913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400001</t>
        </is>
      </c>
      <c r="J511" t="inlineStr">
        <is>
          <t>ТСЭМ Московской обл., 400001, приказ Минстроя России №675/пр от 28.02.2017 № 264/пр</t>
        </is>
      </c>
      <c r="K511" t="inlineStr">
        <is>
          <t>Автомобили бортовые, грузоподъемность до 5 т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0.02</v>
      </c>
      <c r="Y511" t="n">
        <v>0</v>
      </c>
      <c r="Z511" t="n">
        <v>87.17</v>
      </c>
      <c r="AA511" t="n">
        <v>11.6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0.02</v>
      </c>
      <c r="AH511" t="n">
        <v>2</v>
      </c>
      <c r="AI511" t="n">
        <v>78872625</v>
      </c>
      <c r="AJ511" t="n">
        <v>557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ROW(Source!A1211)</f>
        <v/>
      </c>
      <c r="B512" t="n">
        <v>78872637</v>
      </c>
      <c r="C512" t="n">
        <v>78872621</v>
      </c>
      <c r="D512" t="n">
        <v>29110426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101-2143</t>
        </is>
      </c>
      <c r="J512" t="inlineStr">
        <is>
          <t>ТССЦ Московской обл., 101-2143, приказ Минстроя России №675/пр от 28.02.2017 № 254/пр</t>
        </is>
      </c>
      <c r="K512" t="inlineStr">
        <is>
          <t>Краска</t>
        </is>
      </c>
      <c r="L512" t="n">
        <v>1346</v>
      </c>
      <c r="N512" t="n">
        <v>1009</v>
      </c>
      <c r="O512" t="inlineStr">
        <is>
          <t>кг</t>
        </is>
      </c>
      <c r="P512" t="inlineStr">
        <is>
          <t>кг</t>
        </is>
      </c>
      <c r="Q512" t="n">
        <v>1</v>
      </c>
      <c r="X512" t="n">
        <v>0.3</v>
      </c>
      <c r="Y512" t="n">
        <v>28.67</v>
      </c>
      <c r="Z512" t="n">
        <v>0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0.3</v>
      </c>
      <c r="AH512" t="n">
        <v>2</v>
      </c>
      <c r="AI512" t="n">
        <v>78872626</v>
      </c>
      <c r="AJ512" t="n">
        <v>558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ROW(Source!A1211)</f>
        <v/>
      </c>
      <c r="B513" t="n">
        <v>78872638</v>
      </c>
      <c r="C513" t="n">
        <v>78872621</v>
      </c>
      <c r="D513" t="n">
        <v>29149204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405-0219</t>
        </is>
      </c>
      <c r="J513" t="inlineStr">
        <is>
          <t>ТССЦ Московской обл., 405-0219, приказ Минстроя России №675/пр от 28.02.2017 № 257/пр</t>
        </is>
      </c>
      <c r="K513" t="inlineStr">
        <is>
          <t>Гипсовые вяжущие, марка Г3</t>
        </is>
      </c>
      <c r="L513" t="n">
        <v>1348</v>
      </c>
      <c r="N513" t="n">
        <v>1009</v>
      </c>
      <c r="O513" t="inlineStr">
        <is>
          <t>т</t>
        </is>
      </c>
      <c r="P513" t="inlineStr">
        <is>
          <t>т</t>
        </is>
      </c>
      <c r="Q513" t="n">
        <v>1000</v>
      </c>
      <c r="X513" t="n">
        <v>0.01</v>
      </c>
      <c r="Y513" t="n">
        <v>729.98</v>
      </c>
      <c r="Z513" t="n">
        <v>0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0.01</v>
      </c>
      <c r="AH513" t="n">
        <v>2</v>
      </c>
      <c r="AI513" t="n">
        <v>78872627</v>
      </c>
      <c r="AJ513" t="n">
        <v>559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ROW(Source!A1211)</f>
        <v/>
      </c>
      <c r="B514" t="n">
        <v>78872639</v>
      </c>
      <c r="C514" t="n">
        <v>78872621</v>
      </c>
      <c r="D514" t="n">
        <v>29159012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507-0700</t>
        </is>
      </c>
      <c r="J514" t="inlineStr">
        <is>
          <t>ТССЦ Московской обл., 507-0700, приказ Минстроя России №675/пр от 28.02.2017 № 258/пр</t>
        </is>
      </c>
      <c r="K514" t="inlineStr">
        <is>
          <t>Трубка поливинилхлоридная ХВТ</t>
        </is>
      </c>
      <c r="L514" t="n">
        <v>1346</v>
      </c>
      <c r="N514" t="n">
        <v>1009</v>
      </c>
      <c r="O514" t="inlineStr">
        <is>
          <t>кг</t>
        </is>
      </c>
      <c r="P514" t="inlineStr">
        <is>
          <t>кг</t>
        </is>
      </c>
      <c r="Q514" t="n">
        <v>1</v>
      </c>
      <c r="X514" t="n">
        <v>0.53</v>
      </c>
      <c r="Y514" t="n">
        <v>41.82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0.53</v>
      </c>
      <c r="AH514" t="n">
        <v>2</v>
      </c>
      <c r="AI514" t="n">
        <v>78872629</v>
      </c>
      <c r="AJ514" t="n">
        <v>561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ROW(Source!A1211)</f>
        <v/>
      </c>
      <c r="B515" t="n">
        <v>78872640</v>
      </c>
      <c r="C515" t="n">
        <v>78872621</v>
      </c>
      <c r="D515" t="n">
        <v>29171808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999-9950</t>
        </is>
      </c>
      <c r="J515" t="inlineStr">
        <is>
          <t>ТССЦ Московской обл., 999-9950, приказ Минстроя России №675/пр от 21.09.2015 г.</t>
        </is>
      </c>
      <c r="K515" t="inlineStr">
        <is>
          <t>Вспомогательные ненормируемые материалы (2% от ОЗП)</t>
        </is>
      </c>
      <c r="L515" t="n">
        <v>1374</v>
      </c>
      <c r="N515" t="n">
        <v>1013</v>
      </c>
      <c r="O515" t="inlineStr">
        <is>
          <t>РУБ</t>
        </is>
      </c>
      <c r="P515" t="inlineStr">
        <is>
          <t>РУБ</t>
        </is>
      </c>
      <c r="Q515" t="n">
        <v>1</v>
      </c>
      <c r="X515" t="n">
        <v>3.1</v>
      </c>
      <c r="Y515" t="n">
        <v>1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3.1</v>
      </c>
      <c r="AH515" t="n">
        <v>2</v>
      </c>
      <c r="AI515" t="n">
        <v>78872632</v>
      </c>
      <c r="AJ515" t="n">
        <v>562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ROW(Source!A1213)</f>
        <v/>
      </c>
      <c r="B516" t="n">
        <v>78872511</v>
      </c>
      <c r="C516" t="n">
        <v>78872504</v>
      </c>
      <c r="D516" t="n">
        <v>18442827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1-1053-90</t>
        </is>
      </c>
      <c r="J516" t="inlineStr"/>
      <c r="K516" t="inlineStr">
        <is>
          <t>Рабочий строитель среднего разряда 5,3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5.01</v>
      </c>
      <c r="Y516" t="n">
        <v>0</v>
      </c>
      <c r="Z516" t="n">
        <v>0</v>
      </c>
      <c r="AA516" t="n">
        <v>0</v>
      </c>
      <c r="AB516" t="n">
        <v>11.64</v>
      </c>
      <c r="AC516" t="n">
        <v>0</v>
      </c>
      <c r="AD516" t="n">
        <v>1</v>
      </c>
      <c r="AE516" t="n">
        <v>1</v>
      </c>
      <c r="AF516" t="inlineStr">
        <is>
          <t>)*7</t>
        </is>
      </c>
      <c r="AG516" t="n">
        <v>35.07</v>
      </c>
      <c r="AH516" t="n">
        <v>2</v>
      </c>
      <c r="AI516" t="n">
        <v>78872505</v>
      </c>
      <c r="AJ516" t="n">
        <v>563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ROW(Source!A1213)</f>
        <v/>
      </c>
      <c r="B517" t="n">
        <v>78872512</v>
      </c>
      <c r="C517" t="n">
        <v>78872504</v>
      </c>
      <c r="D517" t="n">
        <v>29172703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042900</t>
        </is>
      </c>
      <c r="J517" t="inlineStr">
        <is>
          <t>ТСЭМ Московской обл., 042900, приказ Минстроя России №675/пр от 28.02.2017 № 264/пр</t>
        </is>
      </c>
      <c r="K51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1.5</v>
      </c>
      <c r="Y517" t="n">
        <v>0</v>
      </c>
      <c r="Z517" t="n">
        <v>29.67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>
        <is>
          <t>)*7</t>
        </is>
      </c>
      <c r="AG517" t="n">
        <v>10.5</v>
      </c>
      <c r="AH517" t="n">
        <v>2</v>
      </c>
      <c r="AI517" t="n">
        <v>78872506</v>
      </c>
      <c r="AJ517" t="n">
        <v>564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ROW(Source!A1213)</f>
        <v/>
      </c>
      <c r="B518" t="n">
        <v>78872513</v>
      </c>
      <c r="C518" t="n">
        <v>78872504</v>
      </c>
      <c r="D518" t="n">
        <v>29110398</v>
      </c>
      <c r="E518" t="n">
        <v>1</v>
      </c>
      <c r="F518" t="n">
        <v>1</v>
      </c>
      <c r="G518" t="n">
        <v>1</v>
      </c>
      <c r="H518" t="n">
        <v>3</v>
      </c>
      <c r="I518" t="inlineStr">
        <is>
          <t>101-0388</t>
        </is>
      </c>
      <c r="J518" t="inlineStr">
        <is>
          <t>ТССЦ Московской обл., 101-0388, приказ Минстроя России №675/пр от 28.02.2017 № 254/пр</t>
        </is>
      </c>
      <c r="K518" t="inlineStr">
        <is>
          <t>Краски масляные земляные марки МА-0115 мумия, сурик железный</t>
        </is>
      </c>
      <c r="L518" t="n">
        <v>1348</v>
      </c>
      <c r="N518" t="n">
        <v>1009</v>
      </c>
      <c r="O518" t="inlineStr">
        <is>
          <t>т</t>
        </is>
      </c>
      <c r="P518" t="inlineStr">
        <is>
          <t>т</t>
        </is>
      </c>
      <c r="Q518" t="n">
        <v>1000</v>
      </c>
      <c r="X518" t="n">
        <v>5e-05</v>
      </c>
      <c r="Y518" t="n">
        <v>15118.99</v>
      </c>
      <c r="Z518" t="n">
        <v>0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>
        <is>
          <t>)*7</t>
        </is>
      </c>
      <c r="AG518" t="n">
        <v>0.00035</v>
      </c>
      <c r="AH518" t="n">
        <v>2</v>
      </c>
      <c r="AI518" t="n">
        <v>78872507</v>
      </c>
      <c r="AJ518" t="n">
        <v>565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ROW(Source!A1213)</f>
        <v/>
      </c>
      <c r="B519" t="n">
        <v>78872514</v>
      </c>
      <c r="C519" t="n">
        <v>78872504</v>
      </c>
      <c r="D519" t="n">
        <v>29110573</v>
      </c>
      <c r="E519" t="n">
        <v>1</v>
      </c>
      <c r="F519" t="n">
        <v>1</v>
      </c>
      <c r="G519" t="n">
        <v>1</v>
      </c>
      <c r="H519" t="n">
        <v>3</v>
      </c>
      <c r="I519" t="inlineStr">
        <is>
          <t>101-0628</t>
        </is>
      </c>
      <c r="J519" t="inlineStr">
        <is>
          <t>ТССЦ Московской обл., 101-0628, приказ Минстроя России №675/пр от 28.02.2017 № 254/пр</t>
        </is>
      </c>
      <c r="K519" t="inlineStr">
        <is>
          <t>Олифа комбинированная, марки К-3</t>
        </is>
      </c>
      <c r="L519" t="n">
        <v>1348</v>
      </c>
      <c r="N519" t="n">
        <v>1009</v>
      </c>
      <c r="O519" t="inlineStr">
        <is>
          <t>т</t>
        </is>
      </c>
      <c r="P519" t="inlineStr">
        <is>
          <t>т</t>
        </is>
      </c>
      <c r="Q519" t="n">
        <v>1000</v>
      </c>
      <c r="X519" t="n">
        <v>2e-05</v>
      </c>
      <c r="Y519" t="n">
        <v>16950</v>
      </c>
      <c r="Z519" t="n">
        <v>0</v>
      </c>
      <c r="AA519" t="n">
        <v>0</v>
      </c>
      <c r="AB519" t="n">
        <v>0</v>
      </c>
      <c r="AC519" t="n">
        <v>0</v>
      </c>
      <c r="AD519" t="n">
        <v>1</v>
      </c>
      <c r="AE519" t="n">
        <v>0</v>
      </c>
      <c r="AF519" t="inlineStr">
        <is>
          <t>)*7</t>
        </is>
      </c>
      <c r="AG519" t="n">
        <v>0.00014</v>
      </c>
      <c r="AH519" t="n">
        <v>2</v>
      </c>
      <c r="AI519" t="n">
        <v>78872508</v>
      </c>
      <c r="AJ519" t="n">
        <v>566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ROW(Source!A1213)</f>
        <v/>
      </c>
      <c r="B520" t="n">
        <v>78872515</v>
      </c>
      <c r="C520" t="n">
        <v>78872504</v>
      </c>
      <c r="D520" t="n">
        <v>29107963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101-1669</t>
        </is>
      </c>
      <c r="J520" t="inlineStr">
        <is>
          <t>ТССЦ Московской обл., 101-1669, приказ Минстроя России №675/пр от 28.02.2017 № 254/пр</t>
        </is>
      </c>
      <c r="K520" t="inlineStr">
        <is>
          <t>Очес льняной</t>
        </is>
      </c>
      <c r="L520" t="n">
        <v>1346</v>
      </c>
      <c r="N520" t="n">
        <v>1009</v>
      </c>
      <c r="O520" t="inlineStr">
        <is>
          <t>кг</t>
        </is>
      </c>
      <c r="P520" t="inlineStr">
        <is>
          <t>кг</t>
        </is>
      </c>
      <c r="Q520" t="n">
        <v>1</v>
      </c>
      <c r="X520" t="n">
        <v>0.02</v>
      </c>
      <c r="Y520" t="n">
        <v>37.29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>
        <is>
          <t>)*7</t>
        </is>
      </c>
      <c r="AG520" t="n">
        <v>0.14</v>
      </c>
      <c r="AH520" t="n">
        <v>2</v>
      </c>
      <c r="AI520" t="n">
        <v>78872509</v>
      </c>
      <c r="AJ520" t="n">
        <v>567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ROW(Source!A1213)</f>
        <v/>
      </c>
      <c r="B521" t="n">
        <v>78872516</v>
      </c>
      <c r="C521" t="n">
        <v>78872504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1</v>
      </c>
      <c r="Y521" t="n">
        <v>2.44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>
        <is>
          <t>)*7</t>
        </is>
      </c>
      <c r="AG521" t="n">
        <v>7</v>
      </c>
      <c r="AH521" t="n">
        <v>2</v>
      </c>
      <c r="AI521" t="n">
        <v>78872510</v>
      </c>
      <c r="AJ521" t="n">
        <v>568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ROW(Source!A1214)</f>
        <v/>
      </c>
      <c r="B522" t="n">
        <v>78872529</v>
      </c>
      <c r="C522" t="n">
        <v>78872517</v>
      </c>
      <c r="D522" t="n">
        <v>18409850</v>
      </c>
      <c r="E522" t="n">
        <v>1</v>
      </c>
      <c r="F522" t="n">
        <v>1</v>
      </c>
      <c r="G522" t="n">
        <v>1</v>
      </c>
      <c r="H522" t="n">
        <v>1</v>
      </c>
      <c r="I522" t="inlineStr">
        <is>
          <t>1-1035-90</t>
        </is>
      </c>
      <c r="J522" t="inlineStr"/>
      <c r="K522" t="inlineStr">
        <is>
          <t>Рабочий строитель среднего разряда 3,5</t>
        </is>
      </c>
      <c r="L522" t="n">
        <v>1369</v>
      </c>
      <c r="N522" t="n">
        <v>1013</v>
      </c>
      <c r="O522" t="inlineStr">
        <is>
          <t>чел.-ч</t>
        </is>
      </c>
      <c r="P522" t="inlineStr">
        <is>
          <t>чел.-ч</t>
        </is>
      </c>
      <c r="Q522" t="n">
        <v>1</v>
      </c>
      <c r="X522" t="n">
        <v>81</v>
      </c>
      <c r="Y522" t="n">
        <v>0</v>
      </c>
      <c r="Z522" t="n">
        <v>0</v>
      </c>
      <c r="AA522" t="n">
        <v>0</v>
      </c>
      <c r="AB522" t="n">
        <v>9.07</v>
      </c>
      <c r="AC522" t="n">
        <v>0</v>
      </c>
      <c r="AD522" t="n">
        <v>1</v>
      </c>
      <c r="AE522" t="n">
        <v>1</v>
      </c>
      <c r="AF522" t="inlineStr"/>
      <c r="AG522" t="n">
        <v>81</v>
      </c>
      <c r="AH522" t="n">
        <v>2</v>
      </c>
      <c r="AI522" t="n">
        <v>78872518</v>
      </c>
      <c r="AJ522" t="n">
        <v>569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ROW(Source!A1214)</f>
        <v/>
      </c>
      <c r="B523" t="n">
        <v>78872530</v>
      </c>
      <c r="C523" t="n">
        <v>78872517</v>
      </c>
      <c r="D523" t="n">
        <v>29174913</v>
      </c>
      <c r="E523" t="n">
        <v>1</v>
      </c>
      <c r="F523" t="n">
        <v>1</v>
      </c>
      <c r="G523" t="n">
        <v>1</v>
      </c>
      <c r="H523" t="n">
        <v>2</v>
      </c>
      <c r="I523" t="inlineStr">
        <is>
          <t>400001</t>
        </is>
      </c>
      <c r="J523" t="inlineStr">
        <is>
          <t>ТСЭМ Московской обл., 400001, приказ Минстроя России №675/пр от 28.02.2017 № 264/пр</t>
        </is>
      </c>
      <c r="K523" t="inlineStr">
        <is>
          <t>Автомобили бортовые, грузоподъемность до 5 т</t>
        </is>
      </c>
      <c r="L523" t="n">
        <v>1368</v>
      </c>
      <c r="N523" t="n">
        <v>1011</v>
      </c>
      <c r="O523" t="inlineStr">
        <is>
          <t>маш.-ч</t>
        </is>
      </c>
      <c r="P523" t="inlineStr">
        <is>
          <t>маш.-ч</t>
        </is>
      </c>
      <c r="Q523" t="n">
        <v>1</v>
      </c>
      <c r="X523" t="n">
        <v>0.05</v>
      </c>
      <c r="Y523" t="n">
        <v>0</v>
      </c>
      <c r="Z523" t="n">
        <v>87.17</v>
      </c>
      <c r="AA523" t="n">
        <v>11.6</v>
      </c>
      <c r="AB523" t="n">
        <v>0</v>
      </c>
      <c r="AC523" t="n">
        <v>0</v>
      </c>
      <c r="AD523" t="n">
        <v>1</v>
      </c>
      <c r="AE523" t="n">
        <v>0</v>
      </c>
      <c r="AF523" t="inlineStr"/>
      <c r="AG523" t="n">
        <v>0.05</v>
      </c>
      <c r="AH523" t="n">
        <v>2</v>
      </c>
      <c r="AI523" t="n">
        <v>78872519</v>
      </c>
      <c r="AJ523" t="n">
        <v>570</v>
      </c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ROW(Source!A1214)</f>
        <v/>
      </c>
      <c r="B524" t="n">
        <v>78872531</v>
      </c>
      <c r="C524" t="n">
        <v>78872517</v>
      </c>
      <c r="D524" t="n">
        <v>29110398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101-0388</t>
        </is>
      </c>
      <c r="J524" t="inlineStr">
        <is>
          <t>ТССЦ Московской обл., 101-0388, приказ Минстроя России №675/пр от 28.02.2017 № 254/пр</t>
        </is>
      </c>
      <c r="K524" t="inlineStr">
        <is>
          <t>Краски масляные земляные марки МА-0115 мумия, сурик железный</t>
        </is>
      </c>
      <c r="L524" t="n">
        <v>1348</v>
      </c>
      <c r="N524" t="n">
        <v>1009</v>
      </c>
      <c r="O524" t="inlineStr">
        <is>
          <t>т</t>
        </is>
      </c>
      <c r="P524" t="inlineStr">
        <is>
          <t>т</t>
        </is>
      </c>
      <c r="Q524" t="n">
        <v>1000</v>
      </c>
      <c r="X524" t="n">
        <v>0.0014</v>
      </c>
      <c r="Y524" t="n">
        <v>15118.99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0.0014</v>
      </c>
      <c r="AH524" t="n">
        <v>2</v>
      </c>
      <c r="AI524" t="n">
        <v>78872520</v>
      </c>
      <c r="AJ524" t="n">
        <v>571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ROW(Source!A1214)</f>
        <v/>
      </c>
      <c r="B525" t="n">
        <v>78872532</v>
      </c>
      <c r="C525" t="n">
        <v>78872517</v>
      </c>
      <c r="D525" t="n">
        <v>29110573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101-0628</t>
        </is>
      </c>
      <c r="J525" t="inlineStr">
        <is>
          <t>ТССЦ Московской обл., 101-0628, приказ Минстроя России №675/пр от 28.02.2017 № 254/пр</t>
        </is>
      </c>
      <c r="K525" t="inlineStr">
        <is>
          <t>Олифа комбинированная, марки К-3</t>
        </is>
      </c>
      <c r="L525" t="n">
        <v>1348</v>
      </c>
      <c r="N525" t="n">
        <v>1009</v>
      </c>
      <c r="O525" t="inlineStr">
        <is>
          <t>т</t>
        </is>
      </c>
      <c r="P525" t="inlineStr">
        <is>
          <t>т</t>
        </is>
      </c>
      <c r="Q525" t="n">
        <v>1000</v>
      </c>
      <c r="X525" t="n">
        <v>0.0007</v>
      </c>
      <c r="Y525" t="n">
        <v>16950</v>
      </c>
      <c r="Z525" t="n">
        <v>0</v>
      </c>
      <c r="AA525" t="n">
        <v>0</v>
      </c>
      <c r="AB525" t="n">
        <v>0</v>
      </c>
      <c r="AC525" t="n">
        <v>0</v>
      </c>
      <c r="AD525" t="n">
        <v>1</v>
      </c>
      <c r="AE525" t="n">
        <v>0</v>
      </c>
      <c r="AF525" t="inlineStr"/>
      <c r="AG525" t="n">
        <v>0.0007</v>
      </c>
      <c r="AH525" t="n">
        <v>2</v>
      </c>
      <c r="AI525" t="n">
        <v>78872521</v>
      </c>
      <c r="AJ525" t="n">
        <v>572</v>
      </c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ROW(Source!A1214)</f>
        <v/>
      </c>
      <c r="B526" t="n">
        <v>78872533</v>
      </c>
      <c r="C526" t="n">
        <v>78872517</v>
      </c>
      <c r="D526" t="n">
        <v>29107963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101-1669</t>
        </is>
      </c>
      <c r="J526" t="inlineStr">
        <is>
          <t>ТССЦ Московской обл., 101-1669, приказ Минстроя России №675/пр от 28.02.2017 № 254/пр</t>
        </is>
      </c>
      <c r="K526" t="inlineStr">
        <is>
          <t>Очес льняной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X526" t="n">
        <v>0.7</v>
      </c>
      <c r="Y526" t="n">
        <v>37.29</v>
      </c>
      <c r="Z526" t="n">
        <v>0</v>
      </c>
      <c r="AA526" t="n">
        <v>0</v>
      </c>
      <c r="AB526" t="n">
        <v>0</v>
      </c>
      <c r="AC526" t="n">
        <v>0</v>
      </c>
      <c r="AD526" t="n">
        <v>1</v>
      </c>
      <c r="AE526" t="n">
        <v>0</v>
      </c>
      <c r="AF526" t="inlineStr"/>
      <c r="AG526" t="n">
        <v>0.7</v>
      </c>
      <c r="AH526" t="n">
        <v>2</v>
      </c>
      <c r="AI526" t="n">
        <v>78872522</v>
      </c>
      <c r="AJ526" t="n">
        <v>573</v>
      </c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ROW(Source!A1214)</f>
        <v/>
      </c>
      <c r="B527" t="n">
        <v>78872534</v>
      </c>
      <c r="C527" t="n">
        <v>78872517</v>
      </c>
      <c r="D527" t="n">
        <v>29142465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302-1342</t>
        </is>
      </c>
      <c r="J527" t="inlineStr">
        <is>
          <t>ТССЦ Московской обл., 302-1342, приказ Минстроя России №675/пр от 28.02.2017 № 256/пр</t>
        </is>
      </c>
      <c r="K527" t="inlineStr">
        <is>
          <t>Вентили проходные муфтовые 15кч18п для воды давлением 1,6 МПа (16 кгс/см2), диаметром 20 мм</t>
        </is>
      </c>
      <c r="L527" t="n">
        <v>1354</v>
      </c>
      <c r="N527" t="n">
        <v>1010</v>
      </c>
      <c r="O527" t="inlineStr">
        <is>
          <t>шт.</t>
        </is>
      </c>
      <c r="P527" t="inlineStr">
        <is>
          <t>шт.</t>
        </is>
      </c>
      <c r="Q527" t="n">
        <v>1</v>
      </c>
      <c r="X527" t="n">
        <v>100</v>
      </c>
      <c r="Y527" t="n">
        <v>21.81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100</v>
      </c>
      <c r="AH527" t="n">
        <v>2</v>
      </c>
      <c r="AI527" t="n">
        <v>78872526</v>
      </c>
      <c r="AJ527" t="n">
        <v>575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ROW(Source!A1214)</f>
        <v/>
      </c>
      <c r="B528" t="n">
        <v>78872535</v>
      </c>
      <c r="C528" t="n">
        <v>78872517</v>
      </c>
      <c r="D528" t="n">
        <v>29164350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509-9899</t>
        </is>
      </c>
      <c r="J528" t="inlineStr">
        <is>
          <t>ТССЦ Московской обл., 509-9899, приказ Минстроя России №675/пр от 28.02.2017 № 258/пр</t>
        </is>
      </c>
      <c r="K528" t="inlineStr">
        <is>
          <t>Строительный мусор и масса возвратных материалов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X528" t="n">
        <v>0.04</v>
      </c>
      <c r="Y528" t="n">
        <v>0</v>
      </c>
      <c r="Z528" t="n">
        <v>0</v>
      </c>
      <c r="AA528" t="n">
        <v>0</v>
      </c>
      <c r="AB528" t="n">
        <v>0</v>
      </c>
      <c r="AC528" t="n">
        <v>0</v>
      </c>
      <c r="AD528" t="n">
        <v>0</v>
      </c>
      <c r="AE528" t="n">
        <v>0</v>
      </c>
      <c r="AF528" t="inlineStr"/>
      <c r="AG528" t="n">
        <v>0.04</v>
      </c>
      <c r="AH528" t="n">
        <v>2</v>
      </c>
      <c r="AI528" t="n">
        <v>78872528</v>
      </c>
      <c r="AJ528" t="n">
        <v>576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ROW(Source!A1217)</f>
        <v/>
      </c>
      <c r="B529" t="n">
        <v>78872561</v>
      </c>
      <c r="C529" t="n">
        <v>78872541</v>
      </c>
      <c r="D529" t="n">
        <v>29361307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1-2039-90</t>
        </is>
      </c>
      <c r="J529" t="inlineStr"/>
      <c r="K529" t="inlineStr">
        <is>
          <t>Рабочий монтажник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2.32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>
        <is>
          <t>)*0,2</t>
        </is>
      </c>
      <c r="AG529" t="n">
        <v>0.464</v>
      </c>
      <c r="AH529" t="n">
        <v>2</v>
      </c>
      <c r="AI529" t="n">
        <v>78872542</v>
      </c>
      <c r="AJ529" t="n">
        <v>577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ROW(Source!A1217)</f>
        <v/>
      </c>
      <c r="B530" t="n">
        <v>78872562</v>
      </c>
      <c r="C530" t="n">
        <v>78872541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0.01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>
        <is>
          <t>)*0,2</t>
        </is>
      </c>
      <c r="AG530" t="n">
        <v>0.002</v>
      </c>
      <c r="AH530" t="n">
        <v>2</v>
      </c>
      <c r="AI530" t="n">
        <v>78872543</v>
      </c>
      <c r="AJ530" t="n">
        <v>578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ROW(Source!A1217)</f>
        <v/>
      </c>
      <c r="B531" t="n">
        <v>78872563</v>
      </c>
      <c r="C531" t="n">
        <v>78872541</v>
      </c>
      <c r="D531" t="n">
        <v>29172362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021102</t>
        </is>
      </c>
      <c r="J531" t="inlineStr">
        <is>
          <t>ТСЭМ Московской обл., 021102, приказ Минстроя России №675/пр от 28.02.2017 № 264/пр</t>
        </is>
      </c>
      <c r="K531" t="inlineStr">
        <is>
          <t>Краны на автомобильном ходу при работе на монтаже технологического оборудования 10 т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0.01</v>
      </c>
      <c r="Y531" t="n">
        <v>0</v>
      </c>
      <c r="Z531" t="n">
        <v>134.65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>
        <is>
          <t>)*0,2</t>
        </is>
      </c>
      <c r="AG531" t="n">
        <v>0.002</v>
      </c>
      <c r="AH531" t="n">
        <v>2</v>
      </c>
      <c r="AI531" t="n">
        <v>78872544</v>
      </c>
      <c r="AJ531" t="n">
        <v>579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ROW(Source!A1217)</f>
        <v/>
      </c>
      <c r="B532" t="n">
        <v>78872564</v>
      </c>
      <c r="C532" t="n">
        <v>78872541</v>
      </c>
      <c r="D532" t="n">
        <v>29172657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040502</t>
        </is>
      </c>
      <c r="J532" t="inlineStr">
        <is>
          <t>ТСЭМ Московской обл., 040502, приказ Минстроя России №675/пр от 28.02.2017 № 264/пр</t>
        </is>
      </c>
      <c r="K532" t="inlineStr">
        <is>
          <t>Установки для сварки ручной дуговой (постоянного тока)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X532" t="n">
        <v>0.13</v>
      </c>
      <c r="Y532" t="n">
        <v>0</v>
      </c>
      <c r="Z532" t="n">
        <v>8.1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>
        <is>
          <t>)*0,2</t>
        </is>
      </c>
      <c r="AG532" t="n">
        <v>0.026</v>
      </c>
      <c r="AH532" t="n">
        <v>2</v>
      </c>
      <c r="AI532" t="n">
        <v>78872545</v>
      </c>
      <c r="AJ532" t="n">
        <v>580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ROW(Source!A1217)</f>
        <v/>
      </c>
      <c r="B533" t="n">
        <v>78872565</v>
      </c>
      <c r="C533" t="n">
        <v>78872541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X533" t="n">
        <v>0.04</v>
      </c>
      <c r="Y533" t="n">
        <v>0</v>
      </c>
      <c r="Z533" t="n">
        <v>1.95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>
        <is>
          <t>)*0,2</t>
        </is>
      </c>
      <c r="AG533" t="n">
        <v>0.008</v>
      </c>
      <c r="AH533" t="n">
        <v>2</v>
      </c>
      <c r="AI533" t="n">
        <v>78872546</v>
      </c>
      <c r="AJ533" t="n">
        <v>581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ROW(Source!A1217)</f>
        <v/>
      </c>
      <c r="B534" t="n">
        <v>78872566</v>
      </c>
      <c r="C534" t="n">
        <v>78872541</v>
      </c>
      <c r="D534" t="n">
        <v>29174689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350451</t>
        </is>
      </c>
      <c r="J534" t="inlineStr">
        <is>
          <t>ТСЭМ Московской обл., 350451, приказ Минстроя России №675/пр от 28.02.2017 № 264/пр</t>
        </is>
      </c>
      <c r="K534" t="inlineStr">
        <is>
          <t>Пресс гидравлический с электроприводом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X534" t="n">
        <v>0.2</v>
      </c>
      <c r="Y534" t="n">
        <v>0</v>
      </c>
      <c r="Z534" t="n">
        <v>1.11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>
        <is>
          <t>)*0,2</t>
        </is>
      </c>
      <c r="AG534" t="n">
        <v>0.04000000000000001</v>
      </c>
      <c r="AH534" t="n">
        <v>2</v>
      </c>
      <c r="AI534" t="n">
        <v>78872547</v>
      </c>
      <c r="AJ534" t="n">
        <v>582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ROW(Source!A1217)</f>
        <v/>
      </c>
      <c r="B535" t="n">
        <v>78872567</v>
      </c>
      <c r="C535" t="n">
        <v>78872541</v>
      </c>
      <c r="D535" t="n">
        <v>29174913</v>
      </c>
      <c r="E535" t="n">
        <v>1</v>
      </c>
      <c r="F535" t="n">
        <v>1</v>
      </c>
      <c r="G535" t="n">
        <v>1</v>
      </c>
      <c r="H535" t="n">
        <v>2</v>
      </c>
      <c r="I535" t="inlineStr">
        <is>
          <t>400001</t>
        </is>
      </c>
      <c r="J535" t="inlineStr">
        <is>
          <t>ТСЭМ Московской обл., 400001, приказ Минстроя России №675/пр от 28.02.2017 № 264/пр</t>
        </is>
      </c>
      <c r="K535" t="inlineStr">
        <is>
          <t>Автомобили бортовые, грузоподъемность до 5 т</t>
        </is>
      </c>
      <c r="L535" t="n">
        <v>1368</v>
      </c>
      <c r="N535" t="n">
        <v>1011</v>
      </c>
      <c r="O535" t="inlineStr">
        <is>
          <t>маш.-ч</t>
        </is>
      </c>
      <c r="P535" t="inlineStr">
        <is>
          <t>маш.-ч</t>
        </is>
      </c>
      <c r="Q535" t="n">
        <v>1</v>
      </c>
      <c r="X535" t="n">
        <v>0.01</v>
      </c>
      <c r="Y535" t="n">
        <v>0</v>
      </c>
      <c r="Z535" t="n">
        <v>87.17</v>
      </c>
      <c r="AA535" t="n">
        <v>11.6</v>
      </c>
      <c r="AB535" t="n">
        <v>0</v>
      </c>
      <c r="AC535" t="n">
        <v>0</v>
      </c>
      <c r="AD535" t="n">
        <v>1</v>
      </c>
      <c r="AE535" t="n">
        <v>0</v>
      </c>
      <c r="AF535" t="inlineStr">
        <is>
          <t>)*0,2</t>
        </is>
      </c>
      <c r="AG535" t="n">
        <v>0.002</v>
      </c>
      <c r="AH535" t="n">
        <v>2</v>
      </c>
      <c r="AI535" t="n">
        <v>78872548</v>
      </c>
      <c r="AJ535" t="n">
        <v>583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ROW(Source!A1217)</f>
        <v/>
      </c>
      <c r="B536" t="n">
        <v>78872568</v>
      </c>
      <c r="C536" t="n">
        <v>78872541</v>
      </c>
      <c r="D536" t="n">
        <v>29110546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101-1665</t>
        </is>
      </c>
      <c r="J536" t="inlineStr">
        <is>
          <t>ТССЦ Московской обл., 101-1665, приказ Минстроя России №675/пр от 28.02.2017 № 254/пр</t>
        </is>
      </c>
      <c r="K536" t="inlineStr">
        <is>
          <t>Лак электроизоляционный 318</t>
        </is>
      </c>
      <c r="L536" t="n">
        <v>1346</v>
      </c>
      <c r="N536" t="n">
        <v>1009</v>
      </c>
      <c r="O536" t="inlineStr">
        <is>
          <t>кг</t>
        </is>
      </c>
      <c r="P536" t="inlineStr">
        <is>
          <t>кг</t>
        </is>
      </c>
      <c r="Q536" t="n">
        <v>1</v>
      </c>
      <c r="X536" t="n">
        <v>0.014</v>
      </c>
      <c r="Y536" t="n">
        <v>35.63</v>
      </c>
      <c r="Z536" t="n">
        <v>0</v>
      </c>
      <c r="AA536" t="n">
        <v>0</v>
      </c>
      <c r="AB536" t="n">
        <v>0</v>
      </c>
      <c r="AC536" t="n">
        <v>0</v>
      </c>
      <c r="AD536" t="n">
        <v>1</v>
      </c>
      <c r="AE536" t="n">
        <v>0</v>
      </c>
      <c r="AF536" t="inlineStr">
        <is>
          <t>)*0,2</t>
        </is>
      </c>
      <c r="AG536" t="n">
        <v>0.0028</v>
      </c>
      <c r="AH536" t="n">
        <v>2</v>
      </c>
      <c r="AI536" t="n">
        <v>78872549</v>
      </c>
      <c r="AJ536" t="n">
        <v>584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ROW(Source!A1217)</f>
        <v/>
      </c>
      <c r="B537" t="n">
        <v>78872569</v>
      </c>
      <c r="C537" t="n">
        <v>78872541</v>
      </c>
      <c r="D537" t="n">
        <v>29113980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101-1924</t>
        </is>
      </c>
      <c r="J537" t="inlineStr">
        <is>
          <t>ТССЦ Московской обл., 101-1924, приказ Минстроя России №675/пр от 28.02.2017 № 254/пр</t>
        </is>
      </c>
      <c r="K537" t="inlineStr">
        <is>
          <t>Электроды диаметром 4 мм Э42А</t>
        </is>
      </c>
      <c r="L537" t="n">
        <v>1346</v>
      </c>
      <c r="N537" t="n">
        <v>1009</v>
      </c>
      <c r="O537" t="inlineStr">
        <is>
          <t>кг</t>
        </is>
      </c>
      <c r="P537" t="inlineStr">
        <is>
          <t>кг</t>
        </is>
      </c>
      <c r="Q537" t="n">
        <v>1</v>
      </c>
      <c r="X537" t="n">
        <v>0.07000000000000001</v>
      </c>
      <c r="Y537" t="n">
        <v>14.31</v>
      </c>
      <c r="Z537" t="n">
        <v>0</v>
      </c>
      <c r="AA537" t="n">
        <v>0</v>
      </c>
      <c r="AB537" t="n">
        <v>0</v>
      </c>
      <c r="AC537" t="n">
        <v>0</v>
      </c>
      <c r="AD537" t="n">
        <v>1</v>
      </c>
      <c r="AE537" t="n">
        <v>0</v>
      </c>
      <c r="AF537" t="inlineStr">
        <is>
          <t>)*0,2</t>
        </is>
      </c>
      <c r="AG537" t="n">
        <v>0.014</v>
      </c>
      <c r="AH537" t="n">
        <v>2</v>
      </c>
      <c r="AI537" t="n">
        <v>78872550</v>
      </c>
      <c r="AJ537" t="n">
        <v>585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ROW(Source!A1217)</f>
        <v/>
      </c>
      <c r="B538" t="n">
        <v>78872570</v>
      </c>
      <c r="C538" t="n">
        <v>78872541</v>
      </c>
      <c r="D538" t="n">
        <v>29108369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101-1964</t>
        </is>
      </c>
      <c r="J538" t="inlineStr">
        <is>
          <t>ТССЦ Московской обл., 101-1964, приказ Минстроя России №675/пр от 28.02.2017 № 254/пр</t>
        </is>
      </c>
      <c r="K538" t="inlineStr">
        <is>
          <t>Шпагат бумажный</t>
        </is>
      </c>
      <c r="L538" t="n">
        <v>1346</v>
      </c>
      <c r="N538" t="n">
        <v>1009</v>
      </c>
      <c r="O538" t="inlineStr">
        <is>
          <t>кг</t>
        </is>
      </c>
      <c r="P538" t="inlineStr">
        <is>
          <t>кг</t>
        </is>
      </c>
      <c r="Q538" t="n">
        <v>1</v>
      </c>
      <c r="X538" t="n">
        <v>0.004</v>
      </c>
      <c r="Y538" t="n">
        <v>18.9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>
        <is>
          <t>)*0,2</t>
        </is>
      </c>
      <c r="AG538" t="n">
        <v>0.0008</v>
      </c>
      <c r="AH538" t="n">
        <v>2</v>
      </c>
      <c r="AI538" t="n">
        <v>78872551</v>
      </c>
      <c r="AJ538" t="n">
        <v>586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ROW(Source!A1217)</f>
        <v/>
      </c>
      <c r="B539" t="n">
        <v>78872571</v>
      </c>
      <c r="C539" t="n">
        <v>78872541</v>
      </c>
      <c r="D539" t="n">
        <v>29114246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101-1977</t>
        </is>
      </c>
      <c r="J539" t="inlineStr">
        <is>
          <t>ТССЦ Московской обл., 101-1977, приказ Минстроя России №675/пр от 28.02.2017 № 254/пр</t>
        </is>
      </c>
      <c r="K539" t="inlineStr">
        <is>
          <t>Болты с гайками и шайбами строительные</t>
        </is>
      </c>
      <c r="L539" t="n">
        <v>1346</v>
      </c>
      <c r="N539" t="n">
        <v>1009</v>
      </c>
      <c r="O539" t="inlineStr">
        <is>
          <t>кг</t>
        </is>
      </c>
      <c r="P539" t="inlineStr">
        <is>
          <t>кг</t>
        </is>
      </c>
      <c r="Q539" t="n">
        <v>1</v>
      </c>
      <c r="X539" t="n">
        <v>0.38</v>
      </c>
      <c r="Y539" t="n">
        <v>9.039999999999999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>
        <is>
          <t>)*0,2</t>
        </is>
      </c>
      <c r="AG539" t="n">
        <v>0.07600000000000001</v>
      </c>
      <c r="AH539" t="n">
        <v>2</v>
      </c>
      <c r="AI539" t="n">
        <v>78872552</v>
      </c>
      <c r="AJ539" t="n">
        <v>587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ROW(Source!A1217)</f>
        <v/>
      </c>
      <c r="B540" t="n">
        <v>78872572</v>
      </c>
      <c r="C540" t="n">
        <v>78872541</v>
      </c>
      <c r="D540" t="n">
        <v>29110426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101-2143</t>
        </is>
      </c>
      <c r="J540" t="inlineStr">
        <is>
          <t>ТССЦ Московской обл., 101-2143, приказ Минстроя России №675/пр от 28.02.2017 № 254/пр</t>
        </is>
      </c>
      <c r="K540" t="inlineStr">
        <is>
          <t>Краска</t>
        </is>
      </c>
      <c r="L540" t="n">
        <v>1346</v>
      </c>
      <c r="N540" t="n">
        <v>1009</v>
      </c>
      <c r="O540" t="inlineStr">
        <is>
          <t>кг</t>
        </is>
      </c>
      <c r="P540" t="inlineStr">
        <is>
          <t>кг</t>
        </is>
      </c>
      <c r="Q540" t="n">
        <v>1</v>
      </c>
      <c r="X540" t="n">
        <v>0.047</v>
      </c>
      <c r="Y540" t="n">
        <v>28.67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>
        <is>
          <t>)*0,2</t>
        </is>
      </c>
      <c r="AG540" t="n">
        <v>0.0094</v>
      </c>
      <c r="AH540" t="n">
        <v>2</v>
      </c>
      <c r="AI540" t="n">
        <v>78872553</v>
      </c>
      <c r="AJ540" t="n">
        <v>588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ROW(Source!A1217)</f>
        <v/>
      </c>
      <c r="B541" t="n">
        <v>78872573</v>
      </c>
      <c r="C541" t="n">
        <v>78872541</v>
      </c>
      <c r="D541" t="n">
        <v>29107961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101-2365</t>
        </is>
      </c>
      <c r="J541" t="inlineStr">
        <is>
          <t>ТССЦ Московской обл., 101-2365, приказ Минстроя России №675/пр от 28.02.2017 № 254/пр</t>
        </is>
      </c>
      <c r="K541" t="inlineStr">
        <is>
          <t>Нитки швейные</t>
        </is>
      </c>
      <c r="L541" t="n">
        <v>1346</v>
      </c>
      <c r="N541" t="n">
        <v>1009</v>
      </c>
      <c r="O541" t="inlineStr">
        <is>
          <t>кг</t>
        </is>
      </c>
      <c r="P541" t="inlineStr">
        <is>
          <t>кг</t>
        </is>
      </c>
      <c r="Q541" t="n">
        <v>1</v>
      </c>
      <c r="X541" t="n">
        <v>0.002</v>
      </c>
      <c r="Y541" t="n">
        <v>133.05</v>
      </c>
      <c r="Z541" t="n">
        <v>0</v>
      </c>
      <c r="AA541" t="n">
        <v>0</v>
      </c>
      <c r="AB541" t="n">
        <v>0</v>
      </c>
      <c r="AC541" t="n">
        <v>0</v>
      </c>
      <c r="AD541" t="n">
        <v>1</v>
      </c>
      <c r="AE541" t="n">
        <v>0</v>
      </c>
      <c r="AF541" t="inlineStr">
        <is>
          <t>)*0,2</t>
        </is>
      </c>
      <c r="AG541" t="n">
        <v>0.0004</v>
      </c>
      <c r="AH541" t="n">
        <v>2</v>
      </c>
      <c r="AI541" t="n">
        <v>78872554</v>
      </c>
      <c r="AJ541" t="n">
        <v>589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ROW(Source!A1217)</f>
        <v/>
      </c>
      <c r="B542" t="n">
        <v>78872574</v>
      </c>
      <c r="C542" t="n">
        <v>78872541</v>
      </c>
      <c r="D542" t="n">
        <v>29110838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101-2499</t>
        </is>
      </c>
      <c r="J542" t="inlineStr">
        <is>
          <t>ТССЦ Московской обл., 101-2499, приказ Минстроя России №675/пр от 28.02.2017 № 254/пр</t>
        </is>
      </c>
      <c r="K542" t="inlineStr">
        <is>
          <t>Лента изоляционная прорезиненная односторонняя ширина 20 мм, толщина 0,25-0,35 мм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X542" t="n">
        <v>0.036</v>
      </c>
      <c r="Y542" t="n">
        <v>30.5</v>
      </c>
      <c r="Z542" t="n">
        <v>0</v>
      </c>
      <c r="AA542" t="n">
        <v>0</v>
      </c>
      <c r="AB542" t="n">
        <v>0</v>
      </c>
      <c r="AC542" t="n">
        <v>0</v>
      </c>
      <c r="AD542" t="n">
        <v>1</v>
      </c>
      <c r="AE542" t="n">
        <v>0</v>
      </c>
      <c r="AF542" t="inlineStr">
        <is>
          <t>)*0,2</t>
        </is>
      </c>
      <c r="AG542" t="n">
        <v>0.0072</v>
      </c>
      <c r="AH542" t="n">
        <v>2</v>
      </c>
      <c r="AI542" t="n">
        <v>78872555</v>
      </c>
      <c r="AJ542" t="n">
        <v>590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ROW(Source!A1217)</f>
        <v/>
      </c>
      <c r="B543" t="n">
        <v>78872575</v>
      </c>
      <c r="C543" t="n">
        <v>78872541</v>
      </c>
      <c r="D543" t="n">
        <v>29114470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101-3914</t>
        </is>
      </c>
      <c r="J543" t="inlineStr">
        <is>
          <t>ТССЦ Московской обл., 101-3914, приказ Минстроя России №675/пр от 28.02.2017 № 254/пр</t>
        </is>
      </c>
      <c r="K543" t="inlineStr">
        <is>
          <t>Дюбели распорные полипропиленовые</t>
        </is>
      </c>
      <c r="L543" t="n">
        <v>1355</v>
      </c>
      <c r="N543" t="n">
        <v>1010</v>
      </c>
      <c r="O543" t="inlineStr">
        <is>
          <t>100 шт.</t>
        </is>
      </c>
      <c r="P543" t="inlineStr">
        <is>
          <t>100 шт.</t>
        </is>
      </c>
      <c r="Q543" t="n">
        <v>100</v>
      </c>
      <c r="X543" t="n">
        <v>0.014</v>
      </c>
      <c r="Y543" t="n">
        <v>86.23999999999999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0</v>
      </c>
      <c r="AF543" t="inlineStr">
        <is>
          <t>)*0,2</t>
        </is>
      </c>
      <c r="AG543" t="n">
        <v>0.0028</v>
      </c>
      <c r="AH543" t="n">
        <v>2</v>
      </c>
      <c r="AI543" t="n">
        <v>78872556</v>
      </c>
      <c r="AJ543" t="n">
        <v>591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ROW(Source!A1217)</f>
        <v/>
      </c>
      <c r="B544" t="n">
        <v>78872576</v>
      </c>
      <c r="C544" t="n">
        <v>78872541</v>
      </c>
      <c r="D544" t="n">
        <v>29129474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201-0843</t>
        </is>
      </c>
      <c r="J544" t="inlineStr">
        <is>
          <t>ТССЦ Московской обл., 201-0843, приказ Минстроя России №675/пр от 28.02.2017 № 255/пр</t>
        </is>
      </c>
      <c r="K544" t="inlineStr">
        <is>
          <t>Конструкции стальные индивидуальные решетчатые сварные массой до 0,1 т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X544" t="n">
        <v>0.002</v>
      </c>
      <c r="Y544" t="n">
        <v>11534.49</v>
      </c>
      <c r="Z544" t="n">
        <v>0</v>
      </c>
      <c r="AA544" t="n">
        <v>0</v>
      </c>
      <c r="AB544" t="n">
        <v>0</v>
      </c>
      <c r="AC544" t="n">
        <v>0</v>
      </c>
      <c r="AD544" t="n">
        <v>1</v>
      </c>
      <c r="AE544" t="n">
        <v>0</v>
      </c>
      <c r="AF544" t="inlineStr">
        <is>
          <t>)*0,2</t>
        </is>
      </c>
      <c r="AG544" t="n">
        <v>0.0004</v>
      </c>
      <c r="AH544" t="n">
        <v>2</v>
      </c>
      <c r="AI544" t="n">
        <v>78872557</v>
      </c>
      <c r="AJ544" t="n">
        <v>592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ROW(Source!A1217)</f>
        <v/>
      </c>
      <c r="B545" t="n">
        <v>78872577</v>
      </c>
      <c r="C545" t="n">
        <v>78872541</v>
      </c>
      <c r="D545" t="n">
        <v>29165774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509-0090</t>
        </is>
      </c>
      <c r="J545" t="inlineStr">
        <is>
          <t>ТССЦ Московской обл., 509-0090, приказ Минстроя России №675/пр от 28.02.2017 № 258/пр</t>
        </is>
      </c>
      <c r="K545" t="inlineStr">
        <is>
          <t>Перемычки гибкие, тип ПГС-50</t>
        </is>
      </c>
      <c r="L545" t="n">
        <v>1358</v>
      </c>
      <c r="N545" t="n">
        <v>1010</v>
      </c>
      <c r="O545" t="inlineStr">
        <is>
          <t>10 шт.</t>
        </is>
      </c>
      <c r="P545" t="inlineStr">
        <is>
          <t>10 шт.</t>
        </is>
      </c>
      <c r="Q545" t="n">
        <v>10</v>
      </c>
      <c r="X545" t="n">
        <v>0.1</v>
      </c>
      <c r="Y545" t="n">
        <v>40.9</v>
      </c>
      <c r="Z545" t="n">
        <v>0</v>
      </c>
      <c r="AA545" t="n">
        <v>0</v>
      </c>
      <c r="AB545" t="n">
        <v>0</v>
      </c>
      <c r="AC545" t="n">
        <v>0</v>
      </c>
      <c r="AD545" t="n">
        <v>1</v>
      </c>
      <c r="AE545" t="n">
        <v>0</v>
      </c>
      <c r="AF545" t="inlineStr">
        <is>
          <t>)*0,2</t>
        </is>
      </c>
      <c r="AG545" t="n">
        <v>0.02</v>
      </c>
      <c r="AH545" t="n">
        <v>2</v>
      </c>
      <c r="AI545" t="n">
        <v>78872558</v>
      </c>
      <c r="AJ545" t="n">
        <v>593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ROW(Source!A1217)</f>
        <v/>
      </c>
      <c r="B546" t="n">
        <v>78872578</v>
      </c>
      <c r="C546" t="n">
        <v>78872541</v>
      </c>
      <c r="D546" t="n">
        <v>29171708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509-1210</t>
        </is>
      </c>
      <c r="J546" t="inlineStr">
        <is>
          <t>ТССЦ Московской обл., 509-1210, приказ Минстроя России №675/пр от 28.02.2017 № 258/пр</t>
        </is>
      </c>
      <c r="K546" t="inlineStr">
        <is>
          <t>Вазелин технический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X546" t="n">
        <v>0.008999999999999999</v>
      </c>
      <c r="Y546" t="n">
        <v>30.6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>
        <is>
          <t>)*0,2</t>
        </is>
      </c>
      <c r="AG546" t="n">
        <v>0.0018</v>
      </c>
      <c r="AH546" t="n">
        <v>2</v>
      </c>
      <c r="AI546" t="n">
        <v>78872559</v>
      </c>
      <c r="AJ546" t="n">
        <v>594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ROW(Source!A1217)</f>
        <v/>
      </c>
      <c r="B547" t="n">
        <v>78872579</v>
      </c>
      <c r="C547" t="n">
        <v>78872541</v>
      </c>
      <c r="D547" t="n">
        <v>29171808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999-9950</t>
        </is>
      </c>
      <c r="J547" t="inlineStr">
        <is>
          <t>ТССЦ Московской обл., 999-9950, приказ Минстроя России №675/пр от 21.09.2015 г.</t>
        </is>
      </c>
      <c r="K547" t="inlineStr">
        <is>
          <t>Вспомогательные ненормируемые материалы (2% от ОЗП)</t>
        </is>
      </c>
      <c r="L547" t="n">
        <v>1374</v>
      </c>
      <c r="N547" t="n">
        <v>1013</v>
      </c>
      <c r="O547" t="inlineStr">
        <is>
          <t>РУБ</t>
        </is>
      </c>
      <c r="P547" t="inlineStr">
        <is>
          <t>РУБ</t>
        </is>
      </c>
      <c r="Q547" t="n">
        <v>1</v>
      </c>
      <c r="X547" t="n">
        <v>0.44</v>
      </c>
      <c r="Y547" t="n">
        <v>1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>
        <is>
          <t>)*0,2</t>
        </is>
      </c>
      <c r="AG547" t="n">
        <v>0.08800000000000001</v>
      </c>
      <c r="AH547" t="n">
        <v>2</v>
      </c>
      <c r="AI547" t="n">
        <v>78872560</v>
      </c>
      <c r="AJ547" t="n">
        <v>595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ROW(Source!A1218)</f>
        <v/>
      </c>
      <c r="B548" t="n">
        <v>78872601</v>
      </c>
      <c r="C548" t="n">
        <v>78872580</v>
      </c>
      <c r="D548" t="n">
        <v>29361307</v>
      </c>
      <c r="E548" t="n">
        <v>1</v>
      </c>
      <c r="F548" t="n">
        <v>1</v>
      </c>
      <c r="G548" t="n">
        <v>1</v>
      </c>
      <c r="H548" t="n">
        <v>1</v>
      </c>
      <c r="I548" t="inlineStr">
        <is>
          <t>1-2039-90</t>
        </is>
      </c>
      <c r="J548" t="inlineStr"/>
      <c r="K548" t="inlineStr">
        <is>
          <t>Рабочий монтажник среднего разряда 3,9</t>
        </is>
      </c>
      <c r="L548" t="n">
        <v>1369</v>
      </c>
      <c r="N548" t="n">
        <v>1013</v>
      </c>
      <c r="O548" t="inlineStr">
        <is>
          <t>чел.-ч</t>
        </is>
      </c>
      <c r="P548" t="inlineStr">
        <is>
          <t>чел.-ч</t>
        </is>
      </c>
      <c r="Q548" t="n">
        <v>1</v>
      </c>
      <c r="X548" t="n">
        <v>2.32</v>
      </c>
      <c r="Y548" t="n">
        <v>0</v>
      </c>
      <c r="Z548" t="n">
        <v>0</v>
      </c>
      <c r="AA548" t="n">
        <v>0</v>
      </c>
      <c r="AB548" t="n">
        <v>9.51</v>
      </c>
      <c r="AC548" t="n">
        <v>0</v>
      </c>
      <c r="AD548" t="n">
        <v>1</v>
      </c>
      <c r="AE548" t="n">
        <v>1</v>
      </c>
      <c r="AF548" t="inlineStr"/>
      <c r="AG548" t="n">
        <v>2.32</v>
      </c>
      <c r="AH548" t="n">
        <v>2</v>
      </c>
      <c r="AI548" t="n">
        <v>78872581</v>
      </c>
      <c r="AJ548" t="n">
        <v>596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ROW(Source!A1218)</f>
        <v/>
      </c>
      <c r="B549" t="n">
        <v>78872602</v>
      </c>
      <c r="C549" t="n">
        <v>78872580</v>
      </c>
      <c r="D549" t="n">
        <v>121548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2</t>
        </is>
      </c>
      <c r="J549" t="inlineStr"/>
      <c r="K549" t="inlineStr">
        <is>
          <t>Затраты труда машинистов</t>
        </is>
      </c>
      <c r="L549" t="n">
        <v>608254</v>
      </c>
      <c r="N549" t="n">
        <v>1013</v>
      </c>
      <c r="O549" t="inlineStr">
        <is>
          <t>чел.час</t>
        </is>
      </c>
      <c r="P549" t="inlineStr">
        <is>
          <t>чел.час</t>
        </is>
      </c>
      <c r="Q549" t="n">
        <v>1</v>
      </c>
      <c r="X549" t="n">
        <v>0.01</v>
      </c>
      <c r="Y549" t="n">
        <v>0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2</v>
      </c>
      <c r="AF549" t="inlineStr"/>
      <c r="AG549" t="n">
        <v>0.01</v>
      </c>
      <c r="AH549" t="n">
        <v>2</v>
      </c>
      <c r="AI549" t="n">
        <v>78872582</v>
      </c>
      <c r="AJ549" t="n">
        <v>597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ROW(Source!A1218)</f>
        <v/>
      </c>
      <c r="B550" t="n">
        <v>78872603</v>
      </c>
      <c r="C550" t="n">
        <v>78872580</v>
      </c>
      <c r="D550" t="n">
        <v>29172362</v>
      </c>
      <c r="E550" t="n">
        <v>1</v>
      </c>
      <c r="F550" t="n">
        <v>1</v>
      </c>
      <c r="G550" t="n">
        <v>1</v>
      </c>
      <c r="H550" t="n">
        <v>2</v>
      </c>
      <c r="I550" t="inlineStr">
        <is>
          <t>021102</t>
        </is>
      </c>
      <c r="J550" t="inlineStr">
        <is>
          <t>ТСЭМ Московской обл., 021102, приказ Минстроя России №675/пр от 28.02.2017 № 264/пр</t>
        </is>
      </c>
      <c r="K550" t="inlineStr">
        <is>
          <t>Краны на автомобильном ходу при работе на монтаже технологического оборудования 10 т</t>
        </is>
      </c>
      <c r="L550" t="n">
        <v>1368</v>
      </c>
      <c r="N550" t="n">
        <v>1011</v>
      </c>
      <c r="O550" t="inlineStr">
        <is>
          <t>маш.-ч</t>
        </is>
      </c>
      <c r="P550" t="inlineStr">
        <is>
          <t>маш.-ч</t>
        </is>
      </c>
      <c r="Q550" t="n">
        <v>1</v>
      </c>
      <c r="X550" t="n">
        <v>0.01</v>
      </c>
      <c r="Y550" t="n">
        <v>0</v>
      </c>
      <c r="Z550" t="n">
        <v>134.65</v>
      </c>
      <c r="AA550" t="n">
        <v>13.5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0.01</v>
      </c>
      <c r="AH550" t="n">
        <v>2</v>
      </c>
      <c r="AI550" t="n">
        <v>78872583</v>
      </c>
      <c r="AJ550" t="n">
        <v>598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ROW(Source!A1218)</f>
        <v/>
      </c>
      <c r="B551" t="n">
        <v>78872604</v>
      </c>
      <c r="C551" t="n">
        <v>78872580</v>
      </c>
      <c r="D551" t="n">
        <v>29172657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040502</t>
        </is>
      </c>
      <c r="J551" t="inlineStr">
        <is>
          <t>ТСЭМ Московской обл., 040502, приказ Минстроя России №675/пр от 28.02.2017 № 264/пр</t>
        </is>
      </c>
      <c r="K551" t="inlineStr">
        <is>
          <t>Установки для сварки ручной дуговой (постоянного тока)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X551" t="n">
        <v>0.13</v>
      </c>
      <c r="Y551" t="n">
        <v>0</v>
      </c>
      <c r="Z551" t="n">
        <v>8.1</v>
      </c>
      <c r="AA551" t="n">
        <v>0</v>
      </c>
      <c r="AB551" t="n">
        <v>0</v>
      </c>
      <c r="AC551" t="n">
        <v>0</v>
      </c>
      <c r="AD551" t="n">
        <v>1</v>
      </c>
      <c r="AE551" t="n">
        <v>0</v>
      </c>
      <c r="AF551" t="inlineStr"/>
      <c r="AG551" t="n">
        <v>0.13</v>
      </c>
      <c r="AH551" t="n">
        <v>2</v>
      </c>
      <c r="AI551" t="n">
        <v>78872584</v>
      </c>
      <c r="AJ551" t="n">
        <v>599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ROW(Source!A1218)</f>
        <v/>
      </c>
      <c r="B552" t="n">
        <v>78872605</v>
      </c>
      <c r="C552" t="n">
        <v>78872580</v>
      </c>
      <c r="D552" t="n">
        <v>29174500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330206</t>
        </is>
      </c>
      <c r="J552" t="inlineStr">
        <is>
          <t>ТСЭМ Московской обл., 330206, приказ Минстроя России №675/пр от 28.02.2017 № 264/пр</t>
        </is>
      </c>
      <c r="K552" t="inlineStr">
        <is>
          <t>Дрели электрические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0.04</v>
      </c>
      <c r="Y552" t="n">
        <v>0</v>
      </c>
      <c r="Z552" t="n">
        <v>1.95</v>
      </c>
      <c r="AA552" t="n">
        <v>0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0.04</v>
      </c>
      <c r="AH552" t="n">
        <v>2</v>
      </c>
      <c r="AI552" t="n">
        <v>78872585</v>
      </c>
      <c r="AJ552" t="n">
        <v>600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ROW(Source!A1218)</f>
        <v/>
      </c>
      <c r="B553" t="n">
        <v>78872606</v>
      </c>
      <c r="C553" t="n">
        <v>78872580</v>
      </c>
      <c r="D553" t="n">
        <v>29174689</v>
      </c>
      <c r="E553" t="n">
        <v>1</v>
      </c>
      <c r="F553" t="n">
        <v>1</v>
      </c>
      <c r="G553" t="n">
        <v>1</v>
      </c>
      <c r="H553" t="n">
        <v>2</v>
      </c>
      <c r="I553" t="inlineStr">
        <is>
          <t>350451</t>
        </is>
      </c>
      <c r="J553" t="inlineStr">
        <is>
          <t>ТСЭМ Московской обл., 350451, приказ Минстроя России №675/пр от 28.02.2017 № 264/пр</t>
        </is>
      </c>
      <c r="K553" t="inlineStr">
        <is>
          <t>Пресс гидравлический с электроприводом</t>
        </is>
      </c>
      <c r="L553" t="n">
        <v>1368</v>
      </c>
      <c r="N553" t="n">
        <v>1011</v>
      </c>
      <c r="O553" t="inlineStr">
        <is>
          <t>маш.-ч</t>
        </is>
      </c>
      <c r="P553" t="inlineStr">
        <is>
          <t>маш.-ч</t>
        </is>
      </c>
      <c r="Q553" t="n">
        <v>1</v>
      </c>
      <c r="X553" t="n">
        <v>0.2</v>
      </c>
      <c r="Y553" t="n">
        <v>0</v>
      </c>
      <c r="Z553" t="n">
        <v>1.11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0.2</v>
      </c>
      <c r="AH553" t="n">
        <v>2</v>
      </c>
      <c r="AI553" t="n">
        <v>78872586</v>
      </c>
      <c r="AJ553" t="n">
        <v>601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ROW(Source!A1218)</f>
        <v/>
      </c>
      <c r="B554" t="n">
        <v>78872607</v>
      </c>
      <c r="C554" t="n">
        <v>78872580</v>
      </c>
      <c r="D554" t="n">
        <v>29174913</v>
      </c>
      <c r="E554" t="n">
        <v>1</v>
      </c>
      <c r="F554" t="n">
        <v>1</v>
      </c>
      <c r="G554" t="n">
        <v>1</v>
      </c>
      <c r="H554" t="n">
        <v>2</v>
      </c>
      <c r="I554" t="inlineStr">
        <is>
          <t>400001</t>
        </is>
      </c>
      <c r="J554" t="inlineStr">
        <is>
          <t>ТСЭМ Московской обл., 400001, приказ Минстроя России №675/пр от 28.02.2017 № 264/пр</t>
        </is>
      </c>
      <c r="K554" t="inlineStr">
        <is>
          <t>Автомобили бортовые, грузоподъемность до 5 т</t>
        </is>
      </c>
      <c r="L554" t="n">
        <v>1368</v>
      </c>
      <c r="N554" t="n">
        <v>1011</v>
      </c>
      <c r="O554" t="inlineStr">
        <is>
          <t>маш.-ч</t>
        </is>
      </c>
      <c r="P554" t="inlineStr">
        <is>
          <t>маш.-ч</t>
        </is>
      </c>
      <c r="Q554" t="n">
        <v>1</v>
      </c>
      <c r="X554" t="n">
        <v>0.01</v>
      </c>
      <c r="Y554" t="n">
        <v>0</v>
      </c>
      <c r="Z554" t="n">
        <v>87.17</v>
      </c>
      <c r="AA554" t="n">
        <v>11.6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0.01</v>
      </c>
      <c r="AH554" t="n">
        <v>2</v>
      </c>
      <c r="AI554" t="n">
        <v>78872587</v>
      </c>
      <c r="AJ554" t="n">
        <v>602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ROW(Source!A1218)</f>
        <v/>
      </c>
      <c r="B555" t="n">
        <v>78872608</v>
      </c>
      <c r="C555" t="n">
        <v>78872580</v>
      </c>
      <c r="D555" t="n">
        <v>29110546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101-1665</t>
        </is>
      </c>
      <c r="J555" t="inlineStr">
        <is>
          <t>ТССЦ Московской обл., 101-1665, приказ Минстроя России №675/пр от 28.02.2017 № 254/пр</t>
        </is>
      </c>
      <c r="K555" t="inlineStr">
        <is>
          <t>Лак электроизоляционный 318</t>
        </is>
      </c>
      <c r="L555" t="n">
        <v>1346</v>
      </c>
      <c r="N555" t="n">
        <v>1009</v>
      </c>
      <c r="O555" t="inlineStr">
        <is>
          <t>кг</t>
        </is>
      </c>
      <c r="P555" t="inlineStr">
        <is>
          <t>кг</t>
        </is>
      </c>
      <c r="Q555" t="n">
        <v>1</v>
      </c>
      <c r="X555" t="n">
        <v>0.014</v>
      </c>
      <c r="Y555" t="n">
        <v>35.63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0.014</v>
      </c>
      <c r="AH555" t="n">
        <v>2</v>
      </c>
      <c r="AI555" t="n">
        <v>78872588</v>
      </c>
      <c r="AJ555" t="n">
        <v>603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ROW(Source!A1218)</f>
        <v/>
      </c>
      <c r="B556" t="n">
        <v>78872609</v>
      </c>
      <c r="C556" t="n">
        <v>78872580</v>
      </c>
      <c r="D556" t="n">
        <v>29113980</v>
      </c>
      <c r="E556" t="n">
        <v>1</v>
      </c>
      <c r="F556" t="n">
        <v>1</v>
      </c>
      <c r="G556" t="n">
        <v>1</v>
      </c>
      <c r="H556" t="n">
        <v>3</v>
      </c>
      <c r="I556" t="inlineStr">
        <is>
          <t>101-1924</t>
        </is>
      </c>
      <c r="J556" t="inlineStr">
        <is>
          <t>ТССЦ Московской обл., 101-1924, приказ Минстроя России №675/пр от 28.02.2017 № 254/пр</t>
        </is>
      </c>
      <c r="K556" t="inlineStr">
        <is>
          <t>Электроды диаметром 4 мм Э42А</t>
        </is>
      </c>
      <c r="L556" t="n">
        <v>1346</v>
      </c>
      <c r="N556" t="n">
        <v>1009</v>
      </c>
      <c r="O556" t="inlineStr">
        <is>
          <t>кг</t>
        </is>
      </c>
      <c r="P556" t="inlineStr">
        <is>
          <t>кг</t>
        </is>
      </c>
      <c r="Q556" t="n">
        <v>1</v>
      </c>
      <c r="X556" t="n">
        <v>0.07000000000000001</v>
      </c>
      <c r="Y556" t="n">
        <v>14.31</v>
      </c>
      <c r="Z556" t="n">
        <v>0</v>
      </c>
      <c r="AA556" t="n">
        <v>0</v>
      </c>
      <c r="AB556" t="n">
        <v>0</v>
      </c>
      <c r="AC556" t="n">
        <v>0</v>
      </c>
      <c r="AD556" t="n">
        <v>1</v>
      </c>
      <c r="AE556" t="n">
        <v>0</v>
      </c>
      <c r="AF556" t="inlineStr"/>
      <c r="AG556" t="n">
        <v>0.07000000000000001</v>
      </c>
      <c r="AH556" t="n">
        <v>2</v>
      </c>
      <c r="AI556" t="n">
        <v>78872589</v>
      </c>
      <c r="AJ556" t="n">
        <v>604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ROW(Source!A1218)</f>
        <v/>
      </c>
      <c r="B557" t="n">
        <v>78872610</v>
      </c>
      <c r="C557" t="n">
        <v>78872580</v>
      </c>
      <c r="D557" t="n">
        <v>29108369</v>
      </c>
      <c r="E557" t="n">
        <v>1</v>
      </c>
      <c r="F557" t="n">
        <v>1</v>
      </c>
      <c r="G557" t="n">
        <v>1</v>
      </c>
      <c r="H557" t="n">
        <v>3</v>
      </c>
      <c r="I557" t="inlineStr">
        <is>
          <t>101-1964</t>
        </is>
      </c>
      <c r="J557" t="inlineStr">
        <is>
          <t>ТССЦ Московской обл., 101-1964, приказ Минстроя России №675/пр от 28.02.2017 № 254/пр</t>
        </is>
      </c>
      <c r="K557" t="inlineStr">
        <is>
          <t>Шпагат бумажный</t>
        </is>
      </c>
      <c r="L557" t="n">
        <v>1346</v>
      </c>
      <c r="N557" t="n">
        <v>1009</v>
      </c>
      <c r="O557" t="inlineStr">
        <is>
          <t>кг</t>
        </is>
      </c>
      <c r="P557" t="inlineStr">
        <is>
          <t>кг</t>
        </is>
      </c>
      <c r="Q557" t="n">
        <v>1</v>
      </c>
      <c r="X557" t="n">
        <v>0.004</v>
      </c>
      <c r="Y557" t="n">
        <v>18.9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0</v>
      </c>
      <c r="AF557" t="inlineStr"/>
      <c r="AG557" t="n">
        <v>0.004</v>
      </c>
      <c r="AH557" t="n">
        <v>2</v>
      </c>
      <c r="AI557" t="n">
        <v>78872590</v>
      </c>
      <c r="AJ557" t="n">
        <v>605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ROW(Source!A1218)</f>
        <v/>
      </c>
      <c r="B558" t="n">
        <v>78872611</v>
      </c>
      <c r="C558" t="n">
        <v>78872580</v>
      </c>
      <c r="D558" t="n">
        <v>29114246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101-1977</t>
        </is>
      </c>
      <c r="J558" t="inlineStr">
        <is>
          <t>ТССЦ Московской обл., 101-1977, приказ Минстроя России №675/пр от 28.02.2017 № 254/пр</t>
        </is>
      </c>
      <c r="K558" t="inlineStr">
        <is>
          <t>Болты с гайками и шайбами строительные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X558" t="n">
        <v>0.38</v>
      </c>
      <c r="Y558" t="n">
        <v>9.039999999999999</v>
      </c>
      <c r="Z558" t="n">
        <v>0</v>
      </c>
      <c r="AA558" t="n">
        <v>0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0.38</v>
      </c>
      <c r="AH558" t="n">
        <v>2</v>
      </c>
      <c r="AI558" t="n">
        <v>78872591</v>
      </c>
      <c r="AJ558" t="n">
        <v>606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ROW(Source!A1218)</f>
        <v/>
      </c>
      <c r="B559" t="n">
        <v>78872612</v>
      </c>
      <c r="C559" t="n">
        <v>78872580</v>
      </c>
      <c r="D559" t="n">
        <v>29110426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101-2143</t>
        </is>
      </c>
      <c r="J559" t="inlineStr">
        <is>
          <t>ТССЦ Московской обл., 101-2143, приказ Минстроя России №675/пр от 28.02.2017 № 254/пр</t>
        </is>
      </c>
      <c r="K559" t="inlineStr">
        <is>
          <t>Краска</t>
        </is>
      </c>
      <c r="L559" t="n">
        <v>1346</v>
      </c>
      <c r="N559" t="n">
        <v>1009</v>
      </c>
      <c r="O559" t="inlineStr">
        <is>
          <t>кг</t>
        </is>
      </c>
      <c r="P559" t="inlineStr">
        <is>
          <t>кг</t>
        </is>
      </c>
      <c r="Q559" t="n">
        <v>1</v>
      </c>
      <c r="X559" t="n">
        <v>0.047</v>
      </c>
      <c r="Y559" t="n">
        <v>28.67</v>
      </c>
      <c r="Z559" t="n">
        <v>0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0.047</v>
      </c>
      <c r="AH559" t="n">
        <v>2</v>
      </c>
      <c r="AI559" t="n">
        <v>78872592</v>
      </c>
      <c r="AJ559" t="n">
        <v>607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ROW(Source!A1218)</f>
        <v/>
      </c>
      <c r="B560" t="n">
        <v>78872613</v>
      </c>
      <c r="C560" t="n">
        <v>78872580</v>
      </c>
      <c r="D560" t="n">
        <v>29107961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101-2365</t>
        </is>
      </c>
      <c r="J560" t="inlineStr">
        <is>
          <t>ТССЦ Московской обл., 101-2365, приказ Минстроя России №675/пр от 28.02.2017 № 254/пр</t>
        </is>
      </c>
      <c r="K560" t="inlineStr">
        <is>
          <t>Нитки швейные</t>
        </is>
      </c>
      <c r="L560" t="n">
        <v>1346</v>
      </c>
      <c r="N560" t="n">
        <v>1009</v>
      </c>
      <c r="O560" t="inlineStr">
        <is>
          <t>кг</t>
        </is>
      </c>
      <c r="P560" t="inlineStr">
        <is>
          <t>кг</t>
        </is>
      </c>
      <c r="Q560" t="n">
        <v>1</v>
      </c>
      <c r="X560" t="n">
        <v>0.002</v>
      </c>
      <c r="Y560" t="n">
        <v>133.05</v>
      </c>
      <c r="Z560" t="n">
        <v>0</v>
      </c>
      <c r="AA560" t="n">
        <v>0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0.002</v>
      </c>
      <c r="AH560" t="n">
        <v>2</v>
      </c>
      <c r="AI560" t="n">
        <v>78872593</v>
      </c>
      <c r="AJ560" t="n">
        <v>608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ROW(Source!A1218)</f>
        <v/>
      </c>
      <c r="B561" t="n">
        <v>78872614</v>
      </c>
      <c r="C561" t="n">
        <v>78872580</v>
      </c>
      <c r="D561" t="n">
        <v>29110838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101-2499</t>
        </is>
      </c>
      <c r="J561" t="inlineStr">
        <is>
          <t>ТССЦ Московской обл., 101-2499, приказ Минстроя России №675/пр от 28.02.2017 № 254/пр</t>
        </is>
      </c>
      <c r="K561" t="inlineStr">
        <is>
          <t>Лента изоляционная прорезиненная односторонняя ширина 20 мм, толщина 0,25-0,35 мм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X561" t="n">
        <v>0.036</v>
      </c>
      <c r="Y561" t="n">
        <v>30.5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0.036</v>
      </c>
      <c r="AH561" t="n">
        <v>2</v>
      </c>
      <c r="AI561" t="n">
        <v>78872594</v>
      </c>
      <c r="AJ561" t="n">
        <v>609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ROW(Source!A1218)</f>
        <v/>
      </c>
      <c r="B562" t="n">
        <v>78872615</v>
      </c>
      <c r="C562" t="n">
        <v>78872580</v>
      </c>
      <c r="D562" t="n">
        <v>29114470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101-3914</t>
        </is>
      </c>
      <c r="J562" t="inlineStr">
        <is>
          <t>ТССЦ Московской обл., 101-3914, приказ Минстроя России №675/пр от 28.02.2017 № 254/пр</t>
        </is>
      </c>
      <c r="K562" t="inlineStr">
        <is>
          <t>Дюбели распорные полипропиленовые</t>
        </is>
      </c>
      <c r="L562" t="n">
        <v>1355</v>
      </c>
      <c r="N562" t="n">
        <v>1010</v>
      </c>
      <c r="O562" t="inlineStr">
        <is>
          <t>100 шт.</t>
        </is>
      </c>
      <c r="P562" t="inlineStr">
        <is>
          <t>100 шт.</t>
        </is>
      </c>
      <c r="Q562" t="n">
        <v>100</v>
      </c>
      <c r="X562" t="n">
        <v>0.014</v>
      </c>
      <c r="Y562" t="n">
        <v>86.23999999999999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0.014</v>
      </c>
      <c r="AH562" t="n">
        <v>2</v>
      </c>
      <c r="AI562" t="n">
        <v>78872595</v>
      </c>
      <c r="AJ562" t="n">
        <v>610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ROW(Source!A1218)</f>
        <v/>
      </c>
      <c r="B563" t="n">
        <v>78872616</v>
      </c>
      <c r="C563" t="n">
        <v>78872580</v>
      </c>
      <c r="D563" t="n">
        <v>29129474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201-0843</t>
        </is>
      </c>
      <c r="J563" t="inlineStr">
        <is>
          <t>ТССЦ Московской обл., 201-0843, приказ Минстроя России №675/пр от 28.02.2017 № 255/пр</t>
        </is>
      </c>
      <c r="K563" t="inlineStr">
        <is>
          <t>Конструкции стальные индивидуальные решетчатые сварные массой до 0,1 т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0.002</v>
      </c>
      <c r="Y563" t="n">
        <v>11534.49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0.002</v>
      </c>
      <c r="AH563" t="n">
        <v>2</v>
      </c>
      <c r="AI563" t="n">
        <v>78872596</v>
      </c>
      <c r="AJ563" t="n">
        <v>611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ROW(Source!A1218)</f>
        <v/>
      </c>
      <c r="B564" t="n">
        <v>78872617</v>
      </c>
      <c r="C564" t="n">
        <v>78872580</v>
      </c>
      <c r="D564" t="n">
        <v>29165774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509-0090</t>
        </is>
      </c>
      <c r="J564" t="inlineStr">
        <is>
          <t>ТССЦ Московской обл., 509-0090, приказ Минстроя России №675/пр от 28.02.2017 № 258/пр</t>
        </is>
      </c>
      <c r="K564" t="inlineStr">
        <is>
          <t>Перемычки гибкие, тип ПГС-50</t>
        </is>
      </c>
      <c r="L564" t="n">
        <v>1358</v>
      </c>
      <c r="N564" t="n">
        <v>1010</v>
      </c>
      <c r="O564" t="inlineStr">
        <is>
          <t>10 шт.</t>
        </is>
      </c>
      <c r="P564" t="inlineStr">
        <is>
          <t>10 шт.</t>
        </is>
      </c>
      <c r="Q564" t="n">
        <v>10</v>
      </c>
      <c r="X564" t="n">
        <v>0.1</v>
      </c>
      <c r="Y564" t="n">
        <v>40.9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0.1</v>
      </c>
      <c r="AH564" t="n">
        <v>2</v>
      </c>
      <c r="AI564" t="n">
        <v>78872597</v>
      </c>
      <c r="AJ564" t="n">
        <v>612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ROW(Source!A1218)</f>
        <v/>
      </c>
      <c r="B565" t="n">
        <v>78872618</v>
      </c>
      <c r="C565" t="n">
        <v>78872580</v>
      </c>
      <c r="D565" t="n">
        <v>29171708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509-1210</t>
        </is>
      </c>
      <c r="J565" t="inlineStr">
        <is>
          <t>ТССЦ Московской обл., 509-1210, приказ Минстроя России №675/пр от 28.02.2017 № 258/пр</t>
        </is>
      </c>
      <c r="K565" t="inlineStr">
        <is>
          <t>Вазелин технический</t>
        </is>
      </c>
      <c r="L565" t="n">
        <v>1346</v>
      </c>
      <c r="N565" t="n">
        <v>1009</v>
      </c>
      <c r="O565" t="inlineStr">
        <is>
          <t>кг</t>
        </is>
      </c>
      <c r="P565" t="inlineStr">
        <is>
          <t>кг</t>
        </is>
      </c>
      <c r="Q565" t="n">
        <v>1</v>
      </c>
      <c r="X565" t="n">
        <v>0.008999999999999999</v>
      </c>
      <c r="Y565" t="n">
        <v>30.6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0.008999999999999999</v>
      </c>
      <c r="AH565" t="n">
        <v>2</v>
      </c>
      <c r="AI565" t="n">
        <v>78872598</v>
      </c>
      <c r="AJ565" t="n">
        <v>613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ROW(Source!A1218)</f>
        <v/>
      </c>
      <c r="B566" t="n">
        <v>78872619</v>
      </c>
      <c r="C566" t="n">
        <v>78872580</v>
      </c>
      <c r="D566" t="n">
        <v>29171808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999-9950</t>
        </is>
      </c>
      <c r="J566" t="inlineStr">
        <is>
          <t>ТССЦ Московской обл., 999-9950, приказ Минстроя России №675/пр от 21.09.2015 г.</t>
        </is>
      </c>
      <c r="K566" t="inlineStr">
        <is>
          <t>Вспомогательные ненормируемые материалы (2% от ОЗП)</t>
        </is>
      </c>
      <c r="L566" t="n">
        <v>1374</v>
      </c>
      <c r="N566" t="n">
        <v>1013</v>
      </c>
      <c r="O566" t="inlineStr">
        <is>
          <t>РУБ</t>
        </is>
      </c>
      <c r="P566" t="inlineStr">
        <is>
          <t>РУБ</t>
        </is>
      </c>
      <c r="Q566" t="n">
        <v>1</v>
      </c>
      <c r="X566" t="n">
        <v>0.44</v>
      </c>
      <c r="Y566" t="n">
        <v>1</v>
      </c>
      <c r="Z566" t="n">
        <v>0</v>
      </c>
      <c r="AA566" t="n">
        <v>0</v>
      </c>
      <c r="AB566" t="n">
        <v>0</v>
      </c>
      <c r="AC566" t="n">
        <v>0</v>
      </c>
      <c r="AD566" t="n">
        <v>1</v>
      </c>
      <c r="AE566" t="n">
        <v>0</v>
      </c>
      <c r="AF566" t="inlineStr"/>
      <c r="AG566" t="n">
        <v>0.44</v>
      </c>
      <c r="AH566" t="n">
        <v>2</v>
      </c>
      <c r="AI566" t="n">
        <v>78872600</v>
      </c>
      <c r="AJ566" t="n">
        <v>615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ROW(Source!A1258)</f>
        <v/>
      </c>
      <c r="B567" t="n">
        <v>78872719</v>
      </c>
      <c r="C567" t="n">
        <v>78872713</v>
      </c>
      <c r="D567" t="n">
        <v>18408291</v>
      </c>
      <c r="E567" t="n">
        <v>1</v>
      </c>
      <c r="F567" t="n">
        <v>1</v>
      </c>
      <c r="G567" t="n">
        <v>1</v>
      </c>
      <c r="H567" t="n">
        <v>1</v>
      </c>
      <c r="I567" t="inlineStr">
        <is>
          <t>1-1025-90</t>
        </is>
      </c>
      <c r="J567" t="inlineStr"/>
      <c r="K567" t="inlineStr">
        <is>
          <t>Рабочий строитель среднего разряда 2,5</t>
        </is>
      </c>
      <c r="L567" t="n">
        <v>1369</v>
      </c>
      <c r="N567" t="n">
        <v>1013</v>
      </c>
      <c r="O567" t="inlineStr">
        <is>
          <t>чел.-ч</t>
        </is>
      </c>
      <c r="P567" t="inlineStr">
        <is>
          <t>чел.-ч</t>
        </is>
      </c>
      <c r="Q567" t="n">
        <v>1</v>
      </c>
      <c r="X567" t="n">
        <v>32.2</v>
      </c>
      <c r="Y567" t="n">
        <v>0</v>
      </c>
      <c r="Z567" t="n">
        <v>0</v>
      </c>
      <c r="AA567" t="n">
        <v>0</v>
      </c>
      <c r="AB567" t="n">
        <v>8.17</v>
      </c>
      <c r="AC567" t="n">
        <v>0</v>
      </c>
      <c r="AD567" t="n">
        <v>1</v>
      </c>
      <c r="AE567" t="n">
        <v>1</v>
      </c>
      <c r="AF567" t="inlineStr"/>
      <c r="AG567" t="n">
        <v>32.2</v>
      </c>
      <c r="AH567" t="n">
        <v>2</v>
      </c>
      <c r="AI567" t="n">
        <v>78872714</v>
      </c>
      <c r="AJ567" t="n">
        <v>616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ROW(Source!A1258)</f>
        <v/>
      </c>
      <c r="B568" t="n">
        <v>78872720</v>
      </c>
      <c r="C568" t="n">
        <v>78872713</v>
      </c>
      <c r="D568" t="n">
        <v>29174913</v>
      </c>
      <c r="E568" t="n">
        <v>1</v>
      </c>
      <c r="F568" t="n">
        <v>1</v>
      </c>
      <c r="G568" t="n">
        <v>1</v>
      </c>
      <c r="H568" t="n">
        <v>2</v>
      </c>
      <c r="I568" t="inlineStr">
        <is>
          <t>400001</t>
        </is>
      </c>
      <c r="J568" t="inlineStr">
        <is>
          <t>ТСЭМ Московской обл., 400001, приказ Минстроя России №675/пр от 28.02.2017 № 264/пр</t>
        </is>
      </c>
      <c r="K568" t="inlineStr">
        <is>
          <t>Автомобили бортовые, грузоподъемность до 5 т</t>
        </is>
      </c>
      <c r="L568" t="n">
        <v>1368</v>
      </c>
      <c r="N568" t="n">
        <v>1011</v>
      </c>
      <c r="O568" t="inlineStr">
        <is>
          <t>маш.-ч</t>
        </is>
      </c>
      <c r="P568" t="inlineStr">
        <is>
          <t>маш.-ч</t>
        </is>
      </c>
      <c r="Q568" t="n">
        <v>1</v>
      </c>
      <c r="X568" t="n">
        <v>0.01</v>
      </c>
      <c r="Y568" t="n">
        <v>0</v>
      </c>
      <c r="Z568" t="n">
        <v>87.17</v>
      </c>
      <c r="AA568" t="n">
        <v>11.6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0.01</v>
      </c>
      <c r="AH568" t="n">
        <v>2</v>
      </c>
      <c r="AI568" t="n">
        <v>78872715</v>
      </c>
      <c r="AJ568" t="n">
        <v>617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ROW(Source!A1258)</f>
        <v/>
      </c>
      <c r="B569" t="n">
        <v>78872721</v>
      </c>
      <c r="C569" t="n">
        <v>78872713</v>
      </c>
      <c r="D569" t="n">
        <v>29110139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101-1703</t>
        </is>
      </c>
      <c r="J569" t="inlineStr">
        <is>
          <t>ТССЦ Московской обл., 101-1703, приказ Минстроя России №675/пр от 28.02.2017 № 254/пр</t>
        </is>
      </c>
      <c r="K569" t="inlineStr">
        <is>
          <t>Прокладки резиновые (пластина техническая прессованная)</t>
        </is>
      </c>
      <c r="L569" t="n">
        <v>1346</v>
      </c>
      <c r="N569" t="n">
        <v>1009</v>
      </c>
      <c r="O569" t="inlineStr">
        <is>
          <t>кг</t>
        </is>
      </c>
      <c r="P569" t="inlineStr">
        <is>
          <t>кг</t>
        </is>
      </c>
      <c r="Q569" t="n">
        <v>1</v>
      </c>
      <c r="X569" t="n">
        <v>2</v>
      </c>
      <c r="Y569" t="n">
        <v>23.09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2</v>
      </c>
      <c r="AH569" t="n">
        <v>2</v>
      </c>
      <c r="AI569" t="n">
        <v>78872716</v>
      </c>
      <c r="AJ569" t="n">
        <v>618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ROW(Source!A1258)</f>
        <v/>
      </c>
      <c r="B570" t="n">
        <v>78872722</v>
      </c>
      <c r="C570" t="n">
        <v>78872713</v>
      </c>
      <c r="D570" t="n">
        <v>29114240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101-2576</t>
        </is>
      </c>
      <c r="J570" t="inlineStr">
        <is>
          <t>ТССЦ Московской обл., 101-2576, приказ Минстроя России №675/пр от 28.02.2017 № 254/пр</t>
        </is>
      </c>
      <c r="K570" t="inlineStr">
        <is>
          <t>Болты с гайками и шайбами для санитарно-технических работ диаметром 16 мм</t>
        </is>
      </c>
      <c r="L570" t="n">
        <v>1348</v>
      </c>
      <c r="N570" t="n">
        <v>1009</v>
      </c>
      <c r="O570" t="inlineStr">
        <is>
          <t>т</t>
        </is>
      </c>
      <c r="P570" t="inlineStr">
        <is>
          <t>т</t>
        </is>
      </c>
      <c r="Q570" t="n">
        <v>1000</v>
      </c>
      <c r="X570" t="n">
        <v>0.005</v>
      </c>
      <c r="Y570" t="n">
        <v>14830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0.005</v>
      </c>
      <c r="AH570" t="n">
        <v>2</v>
      </c>
      <c r="AI570" t="n">
        <v>78872717</v>
      </c>
      <c r="AJ570" t="n">
        <v>619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ROW(Source!A1258)</f>
        <v/>
      </c>
      <c r="B571" t="n">
        <v>78872723</v>
      </c>
      <c r="C571" t="n">
        <v>78872713</v>
      </c>
      <c r="D571" t="n">
        <v>29150040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411-0001</t>
        </is>
      </c>
      <c r="J571" t="inlineStr">
        <is>
          <t>ТССЦ Московской обл., 411-0001, приказ Минстроя России №675/пр от 28.02.2017 № 257/пр</t>
        </is>
      </c>
      <c r="K571" t="inlineStr">
        <is>
          <t>Вода</t>
        </is>
      </c>
      <c r="L571" t="n">
        <v>1339</v>
      </c>
      <c r="N571" t="n">
        <v>1007</v>
      </c>
      <c r="O571" t="inlineStr">
        <is>
          <t>м3</t>
        </is>
      </c>
      <c r="P571" t="inlineStr">
        <is>
          <t>м3</t>
        </is>
      </c>
      <c r="Q571" t="n">
        <v>1</v>
      </c>
      <c r="X571" t="n">
        <v>7.8</v>
      </c>
      <c r="Y571" t="n">
        <v>2.44</v>
      </c>
      <c r="Z571" t="n">
        <v>0</v>
      </c>
      <c r="AA571" t="n">
        <v>0</v>
      </c>
      <c r="AB571" t="n">
        <v>0</v>
      </c>
      <c r="AC571" t="n">
        <v>0</v>
      </c>
      <c r="AD571" t="n">
        <v>1</v>
      </c>
      <c r="AE571" t="n">
        <v>0</v>
      </c>
      <c r="AF571" t="inlineStr"/>
      <c r="AG571" t="n">
        <v>7.8</v>
      </c>
      <c r="AH571" t="n">
        <v>2</v>
      </c>
      <c r="AI571" t="n">
        <v>78872718</v>
      </c>
      <c r="AJ571" t="n">
        <v>620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ROW(Source!A1259)</f>
        <v/>
      </c>
      <c r="B572" t="n">
        <v>78872728</v>
      </c>
      <c r="C572" t="n">
        <v>78872724</v>
      </c>
      <c r="D572" t="n">
        <v>18407150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1-1030-90</t>
        </is>
      </c>
      <c r="J572" t="inlineStr"/>
      <c r="K572" t="inlineStr">
        <is>
          <t>Рабочий строитель среднего разряда 3</t>
        </is>
      </c>
      <c r="L572" t="n">
        <v>1369</v>
      </c>
      <c r="N572" t="n">
        <v>1013</v>
      </c>
      <c r="O572" t="inlineStr">
        <is>
          <t>чел.-ч</t>
        </is>
      </c>
      <c r="P572" t="inlineStr">
        <is>
          <t>чел.-ч</t>
        </is>
      </c>
      <c r="Q572" t="n">
        <v>1</v>
      </c>
      <c r="X572" t="n">
        <v>13.9</v>
      </c>
      <c r="Y572" t="n">
        <v>0</v>
      </c>
      <c r="Z572" t="n">
        <v>0</v>
      </c>
      <c r="AA572" t="n">
        <v>0</v>
      </c>
      <c r="AB572" t="n">
        <v>8.529999999999999</v>
      </c>
      <c r="AC572" t="n">
        <v>0</v>
      </c>
      <c r="AD572" t="n">
        <v>1</v>
      </c>
      <c r="AE572" t="n">
        <v>1</v>
      </c>
      <c r="AF572" t="inlineStr"/>
      <c r="AG572" t="n">
        <v>13.9</v>
      </c>
      <c r="AH572" t="n">
        <v>2</v>
      </c>
      <c r="AI572" t="n">
        <v>78872725</v>
      </c>
      <c r="AJ572" t="n">
        <v>621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ROW(Source!A1259)</f>
        <v/>
      </c>
      <c r="B573" t="n">
        <v>78872729</v>
      </c>
      <c r="C573" t="n">
        <v>78872724</v>
      </c>
      <c r="D573" t="n">
        <v>29169821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509-0696</t>
        </is>
      </c>
      <c r="J573" t="inlineStr">
        <is>
          <t>ТССЦ Московской обл., 509-0696, приказ Минстроя России №675/пр от 28.02.2017 № 258/пр</t>
        </is>
      </c>
      <c r="K573" t="inlineStr">
        <is>
          <t>Лампы люминесцентные ртутные низкого давления типа ЛБ, ЛД, ЛДЦ, ЛТВ, ЛБХ 20</t>
        </is>
      </c>
      <c r="L573" t="n">
        <v>1358</v>
      </c>
      <c r="N573" t="n">
        <v>1010</v>
      </c>
      <c r="O573" t="inlineStr">
        <is>
          <t>10 шт.</t>
        </is>
      </c>
      <c r="P573" t="inlineStr">
        <is>
          <t>10 шт.</t>
        </is>
      </c>
      <c r="Q573" t="n">
        <v>10</v>
      </c>
      <c r="X573" t="n">
        <v>10</v>
      </c>
      <c r="Y573" t="n">
        <v>85.2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10</v>
      </c>
      <c r="AH573" t="n">
        <v>2</v>
      </c>
      <c r="AI573" t="n">
        <v>78872726</v>
      </c>
      <c r="AJ573" t="n">
        <v>622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ROW(Source!A1261)</f>
        <v/>
      </c>
      <c r="B574" t="n">
        <v>78872738</v>
      </c>
      <c r="C574" t="n">
        <v>78872731</v>
      </c>
      <c r="D574" t="n">
        <v>18442827</v>
      </c>
      <c r="E574" t="n">
        <v>1</v>
      </c>
      <c r="F574" t="n">
        <v>1</v>
      </c>
      <c r="G574" t="n">
        <v>1</v>
      </c>
      <c r="H574" t="n">
        <v>1</v>
      </c>
      <c r="I574" t="inlineStr">
        <is>
          <t>1-1053-90</t>
        </is>
      </c>
      <c r="J574" t="inlineStr"/>
      <c r="K574" t="inlineStr">
        <is>
          <t>Рабочий строитель среднего разряда 5,3</t>
        </is>
      </c>
      <c r="L574" t="n">
        <v>1369</v>
      </c>
      <c r="N574" t="n">
        <v>1013</v>
      </c>
      <c r="O574" t="inlineStr">
        <is>
          <t>чел.-ч</t>
        </is>
      </c>
      <c r="P574" t="inlineStr">
        <is>
          <t>чел.-ч</t>
        </is>
      </c>
      <c r="Q574" t="n">
        <v>1</v>
      </c>
      <c r="X574" t="n">
        <v>5.01</v>
      </c>
      <c r="Y574" t="n">
        <v>0</v>
      </c>
      <c r="Z574" t="n">
        <v>0</v>
      </c>
      <c r="AA574" t="n">
        <v>0</v>
      </c>
      <c r="AB574" t="n">
        <v>11.64</v>
      </c>
      <c r="AC574" t="n">
        <v>0</v>
      </c>
      <c r="AD574" t="n">
        <v>1</v>
      </c>
      <c r="AE574" t="n">
        <v>1</v>
      </c>
      <c r="AF574" t="inlineStr">
        <is>
          <t>)*7</t>
        </is>
      </c>
      <c r="AG574" t="n">
        <v>35.07</v>
      </c>
      <c r="AH574" t="n">
        <v>2</v>
      </c>
      <c r="AI574" t="n">
        <v>78872732</v>
      </c>
      <c r="AJ574" t="n">
        <v>624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ROW(Source!A1261)</f>
        <v/>
      </c>
      <c r="B575" t="n">
        <v>78872739</v>
      </c>
      <c r="C575" t="n">
        <v>78872731</v>
      </c>
      <c r="D575" t="n">
        <v>29172703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042900</t>
        </is>
      </c>
      <c r="J575" t="inlineStr">
        <is>
          <t>ТСЭМ Московской обл., 042900, приказ Минстроя России №675/пр от 28.02.2017 № 264/пр</t>
        </is>
      </c>
      <c r="K5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X575" t="n">
        <v>1.5</v>
      </c>
      <c r="Y575" t="n">
        <v>0</v>
      </c>
      <c r="Z575" t="n">
        <v>29.67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>
        <is>
          <t>)*7</t>
        </is>
      </c>
      <c r="AG575" t="n">
        <v>10.5</v>
      </c>
      <c r="AH575" t="n">
        <v>2</v>
      </c>
      <c r="AI575" t="n">
        <v>78872733</v>
      </c>
      <c r="AJ575" t="n">
        <v>625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ROW(Source!A1261)</f>
        <v/>
      </c>
      <c r="B576" t="n">
        <v>78872740</v>
      </c>
      <c r="C576" t="n">
        <v>78872731</v>
      </c>
      <c r="D576" t="n">
        <v>29110398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101-0388</t>
        </is>
      </c>
      <c r="J576" t="inlineStr">
        <is>
          <t>ТССЦ Московской обл., 101-0388, приказ Минстроя России №675/пр от 28.02.2017 № 254/пр</t>
        </is>
      </c>
      <c r="K576" t="inlineStr">
        <is>
          <t>Краски масляные земляные марки МА-0115 мумия, сурик железный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X576" t="n">
        <v>5e-05</v>
      </c>
      <c r="Y576" t="n">
        <v>15118.99</v>
      </c>
      <c r="Z576" t="n">
        <v>0</v>
      </c>
      <c r="AA576" t="n">
        <v>0</v>
      </c>
      <c r="AB576" t="n">
        <v>0</v>
      </c>
      <c r="AC576" t="n">
        <v>0</v>
      </c>
      <c r="AD576" t="n">
        <v>1</v>
      </c>
      <c r="AE576" t="n">
        <v>0</v>
      </c>
      <c r="AF576" t="inlineStr">
        <is>
          <t>)*7</t>
        </is>
      </c>
      <c r="AG576" t="n">
        <v>0.00035</v>
      </c>
      <c r="AH576" t="n">
        <v>2</v>
      </c>
      <c r="AI576" t="n">
        <v>78872734</v>
      </c>
      <c r="AJ576" t="n">
        <v>626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ROW(Source!A1261)</f>
        <v/>
      </c>
      <c r="B577" t="n">
        <v>78872741</v>
      </c>
      <c r="C577" t="n">
        <v>78872731</v>
      </c>
      <c r="D577" t="n">
        <v>29110573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101-0628</t>
        </is>
      </c>
      <c r="J577" t="inlineStr">
        <is>
          <t>ТССЦ Московской обл., 101-0628, приказ Минстроя России №675/пр от 28.02.2017 № 254/пр</t>
        </is>
      </c>
      <c r="K577" t="inlineStr">
        <is>
          <t>Олифа комбинированная, марки К-3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X577" t="n">
        <v>2e-05</v>
      </c>
      <c r="Y577" t="n">
        <v>16950</v>
      </c>
      <c r="Z577" t="n">
        <v>0</v>
      </c>
      <c r="AA577" t="n">
        <v>0</v>
      </c>
      <c r="AB577" t="n">
        <v>0</v>
      </c>
      <c r="AC577" t="n">
        <v>0</v>
      </c>
      <c r="AD577" t="n">
        <v>1</v>
      </c>
      <c r="AE577" t="n">
        <v>0</v>
      </c>
      <c r="AF577" t="inlineStr">
        <is>
          <t>)*7</t>
        </is>
      </c>
      <c r="AG577" t="n">
        <v>0.00014</v>
      </c>
      <c r="AH577" t="n">
        <v>2</v>
      </c>
      <c r="AI577" t="n">
        <v>78872735</v>
      </c>
      <c r="AJ577" t="n">
        <v>627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ROW(Source!A1261)</f>
        <v/>
      </c>
      <c r="B578" t="n">
        <v>78872742</v>
      </c>
      <c r="C578" t="n">
        <v>78872731</v>
      </c>
      <c r="D578" t="n">
        <v>29107963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101-1669</t>
        </is>
      </c>
      <c r="J578" t="inlineStr">
        <is>
          <t>ТССЦ Московской обл., 101-1669, приказ Минстроя России №675/пр от 28.02.2017 № 254/пр</t>
        </is>
      </c>
      <c r="K578" t="inlineStr">
        <is>
          <t>Очес льняной</t>
        </is>
      </c>
      <c r="L578" t="n">
        <v>1346</v>
      </c>
      <c r="N578" t="n">
        <v>1009</v>
      </c>
      <c r="O578" t="inlineStr">
        <is>
          <t>кг</t>
        </is>
      </c>
      <c r="P578" t="inlineStr">
        <is>
          <t>кг</t>
        </is>
      </c>
      <c r="Q578" t="n">
        <v>1</v>
      </c>
      <c r="X578" t="n">
        <v>0.02</v>
      </c>
      <c r="Y578" t="n">
        <v>37.29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>
        <is>
          <t>)*7</t>
        </is>
      </c>
      <c r="AG578" t="n">
        <v>0.14</v>
      </c>
      <c r="AH578" t="n">
        <v>2</v>
      </c>
      <c r="AI578" t="n">
        <v>78872736</v>
      </c>
      <c r="AJ578" t="n">
        <v>628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ROW(Source!A1261)</f>
        <v/>
      </c>
      <c r="B579" t="n">
        <v>78872743</v>
      </c>
      <c r="C579" t="n">
        <v>78872731</v>
      </c>
      <c r="D579" t="n">
        <v>29150040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411-0001</t>
        </is>
      </c>
      <c r="J579" t="inlineStr">
        <is>
          <t>ТССЦ Московской обл., 411-0001, приказ Минстроя России №675/пр от 28.02.2017 № 257/пр</t>
        </is>
      </c>
      <c r="K579" t="inlineStr">
        <is>
          <t>Вода</t>
        </is>
      </c>
      <c r="L579" t="n">
        <v>1339</v>
      </c>
      <c r="N579" t="n">
        <v>1007</v>
      </c>
      <c r="O579" t="inlineStr">
        <is>
          <t>м3</t>
        </is>
      </c>
      <c r="P579" t="inlineStr">
        <is>
          <t>м3</t>
        </is>
      </c>
      <c r="Q579" t="n">
        <v>1</v>
      </c>
      <c r="X579" t="n">
        <v>1</v>
      </c>
      <c r="Y579" t="n">
        <v>2.44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>
        <is>
          <t>)*7</t>
        </is>
      </c>
      <c r="AG579" t="n">
        <v>7</v>
      </c>
      <c r="AH579" t="n">
        <v>2</v>
      </c>
      <c r="AI579" t="n">
        <v>78872737</v>
      </c>
      <c r="AJ579" t="n">
        <v>629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ROW(Source!A1300)</f>
        <v/>
      </c>
      <c r="B580" t="n">
        <v>78872875</v>
      </c>
      <c r="C580" t="n">
        <v>78872869</v>
      </c>
      <c r="D580" t="n">
        <v>18408291</v>
      </c>
      <c r="E580" t="n">
        <v>1</v>
      </c>
      <c r="F580" t="n">
        <v>1</v>
      </c>
      <c r="G580" t="n">
        <v>1</v>
      </c>
      <c r="H580" t="n">
        <v>1</v>
      </c>
      <c r="I580" t="inlineStr">
        <is>
          <t>1-1025-90</t>
        </is>
      </c>
      <c r="J580" t="inlineStr"/>
      <c r="K580" t="inlineStr">
        <is>
          <t>Рабочий строитель среднего разряда 2,5</t>
        </is>
      </c>
      <c r="L580" t="n">
        <v>1369</v>
      </c>
      <c r="N580" t="n">
        <v>1013</v>
      </c>
      <c r="O580" t="inlineStr">
        <is>
          <t>чел.-ч</t>
        </is>
      </c>
      <c r="P580" t="inlineStr">
        <is>
          <t>чел.-ч</t>
        </is>
      </c>
      <c r="Q580" t="n">
        <v>1</v>
      </c>
      <c r="X580" t="n">
        <v>32.2</v>
      </c>
      <c r="Y580" t="n">
        <v>0</v>
      </c>
      <c r="Z580" t="n">
        <v>0</v>
      </c>
      <c r="AA580" t="n">
        <v>0</v>
      </c>
      <c r="AB580" t="n">
        <v>8.17</v>
      </c>
      <c r="AC580" t="n">
        <v>0</v>
      </c>
      <c r="AD580" t="n">
        <v>1</v>
      </c>
      <c r="AE580" t="n">
        <v>1</v>
      </c>
      <c r="AF580" t="inlineStr"/>
      <c r="AG580" t="n">
        <v>32.2</v>
      </c>
      <c r="AH580" t="n">
        <v>2</v>
      </c>
      <c r="AI580" t="n">
        <v>78872870</v>
      </c>
      <c r="AJ580" t="n">
        <v>630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ROW(Source!A1300)</f>
        <v/>
      </c>
      <c r="B581" t="n">
        <v>78872876</v>
      </c>
      <c r="C581" t="n">
        <v>78872869</v>
      </c>
      <c r="D581" t="n">
        <v>29174913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400001</t>
        </is>
      </c>
      <c r="J581" t="inlineStr">
        <is>
          <t>ТСЭМ Московской обл., 400001, приказ Минстроя России №675/пр от 28.02.2017 № 264/пр</t>
        </is>
      </c>
      <c r="K581" t="inlineStr">
        <is>
          <t>Автомобили бортовые, грузоподъемность до 5 т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X581" t="n">
        <v>0.01</v>
      </c>
      <c r="Y581" t="n">
        <v>0</v>
      </c>
      <c r="Z581" t="n">
        <v>87.17</v>
      </c>
      <c r="AA581" t="n">
        <v>11.6</v>
      </c>
      <c r="AB581" t="n">
        <v>0</v>
      </c>
      <c r="AC581" t="n">
        <v>0</v>
      </c>
      <c r="AD581" t="n">
        <v>1</v>
      </c>
      <c r="AE581" t="n">
        <v>0</v>
      </c>
      <c r="AF581" t="inlineStr"/>
      <c r="AG581" t="n">
        <v>0.01</v>
      </c>
      <c r="AH581" t="n">
        <v>2</v>
      </c>
      <c r="AI581" t="n">
        <v>78872871</v>
      </c>
      <c r="AJ581" t="n">
        <v>631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ROW(Source!A1300)</f>
        <v/>
      </c>
      <c r="B582" t="n">
        <v>78872877</v>
      </c>
      <c r="C582" t="n">
        <v>78872869</v>
      </c>
      <c r="D582" t="n">
        <v>29110139</v>
      </c>
      <c r="E582" t="n">
        <v>1</v>
      </c>
      <c r="F582" t="n">
        <v>1</v>
      </c>
      <c r="G582" t="n">
        <v>1</v>
      </c>
      <c r="H582" t="n">
        <v>3</v>
      </c>
      <c r="I582" t="inlineStr">
        <is>
          <t>101-1703</t>
        </is>
      </c>
      <c r="J582" t="inlineStr">
        <is>
          <t>ТССЦ Московской обл., 101-1703, приказ Минстроя России №675/пр от 28.02.2017 № 254/пр</t>
        </is>
      </c>
      <c r="K582" t="inlineStr">
        <is>
          <t>Прокладки резиновые (пластина техническая прессованная)</t>
        </is>
      </c>
      <c r="L582" t="n">
        <v>1346</v>
      </c>
      <c r="N582" t="n">
        <v>1009</v>
      </c>
      <c r="O582" t="inlineStr">
        <is>
          <t>кг</t>
        </is>
      </c>
      <c r="P582" t="inlineStr">
        <is>
          <t>кг</t>
        </is>
      </c>
      <c r="Q582" t="n">
        <v>1</v>
      </c>
      <c r="X582" t="n">
        <v>2</v>
      </c>
      <c r="Y582" t="n">
        <v>23.09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0</v>
      </c>
      <c r="AF582" t="inlineStr"/>
      <c r="AG582" t="n">
        <v>2</v>
      </c>
      <c r="AH582" t="n">
        <v>2</v>
      </c>
      <c r="AI582" t="n">
        <v>78872872</v>
      </c>
      <c r="AJ582" t="n">
        <v>632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ROW(Source!A1300)</f>
        <v/>
      </c>
      <c r="B583" t="n">
        <v>78872878</v>
      </c>
      <c r="C583" t="n">
        <v>78872869</v>
      </c>
      <c r="D583" t="n">
        <v>29114240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101-2576</t>
        </is>
      </c>
      <c r="J583" t="inlineStr">
        <is>
          <t>ТССЦ Московской обл., 101-2576, приказ Минстроя России №675/пр от 28.02.2017 № 254/пр</t>
        </is>
      </c>
      <c r="K583" t="inlineStr">
        <is>
          <t>Болты с гайками и шайбами для санитарно-технических работ диаметром 16 мм</t>
        </is>
      </c>
      <c r="L583" t="n">
        <v>1348</v>
      </c>
      <c r="N583" t="n">
        <v>1009</v>
      </c>
      <c r="O583" t="inlineStr">
        <is>
          <t>т</t>
        </is>
      </c>
      <c r="P583" t="inlineStr">
        <is>
          <t>т</t>
        </is>
      </c>
      <c r="Q583" t="n">
        <v>1000</v>
      </c>
      <c r="X583" t="n">
        <v>0.005</v>
      </c>
      <c r="Y583" t="n">
        <v>14830</v>
      </c>
      <c r="Z583" t="n">
        <v>0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0.005</v>
      </c>
      <c r="AH583" t="n">
        <v>2</v>
      </c>
      <c r="AI583" t="n">
        <v>78872873</v>
      </c>
      <c r="AJ583" t="n">
        <v>633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ROW(Source!A1300)</f>
        <v/>
      </c>
      <c r="B584" t="n">
        <v>78872879</v>
      </c>
      <c r="C584" t="n">
        <v>78872869</v>
      </c>
      <c r="D584" t="n">
        <v>29150040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411-0001</t>
        </is>
      </c>
      <c r="J584" t="inlineStr">
        <is>
          <t>ТССЦ Московской обл., 411-0001, приказ Минстроя России №675/пр от 28.02.2017 № 257/пр</t>
        </is>
      </c>
      <c r="K584" t="inlineStr">
        <is>
          <t>Вода</t>
        </is>
      </c>
      <c r="L584" t="n">
        <v>1339</v>
      </c>
      <c r="N584" t="n">
        <v>1007</v>
      </c>
      <c r="O584" t="inlineStr">
        <is>
          <t>м3</t>
        </is>
      </c>
      <c r="P584" t="inlineStr">
        <is>
          <t>м3</t>
        </is>
      </c>
      <c r="Q584" t="n">
        <v>1</v>
      </c>
      <c r="X584" t="n">
        <v>7.8</v>
      </c>
      <c r="Y584" t="n">
        <v>2.44</v>
      </c>
      <c r="Z584" t="n">
        <v>0</v>
      </c>
      <c r="AA584" t="n">
        <v>0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7.8</v>
      </c>
      <c r="AH584" t="n">
        <v>2</v>
      </c>
      <c r="AI584" t="n">
        <v>78872874</v>
      </c>
      <c r="AJ584" t="n">
        <v>634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ROW(Source!A1301)</f>
        <v/>
      </c>
      <c r="B585" t="n">
        <v>78872884</v>
      </c>
      <c r="C585" t="n">
        <v>78872880</v>
      </c>
      <c r="D585" t="n">
        <v>18407150</v>
      </c>
      <c r="E585" t="n">
        <v>1</v>
      </c>
      <c r="F585" t="n">
        <v>1</v>
      </c>
      <c r="G585" t="n">
        <v>1</v>
      </c>
      <c r="H585" t="n">
        <v>1</v>
      </c>
      <c r="I585" t="inlineStr">
        <is>
          <t>1-1030-90</t>
        </is>
      </c>
      <c r="J585" t="inlineStr"/>
      <c r="K585" t="inlineStr">
        <is>
          <t>Рабочий строитель среднего разряда 3</t>
        </is>
      </c>
      <c r="L585" t="n">
        <v>1369</v>
      </c>
      <c r="N585" t="n">
        <v>1013</v>
      </c>
      <c r="O585" t="inlineStr">
        <is>
          <t>чел.-ч</t>
        </is>
      </c>
      <c r="P585" t="inlineStr">
        <is>
          <t>чел.-ч</t>
        </is>
      </c>
      <c r="Q585" t="n">
        <v>1</v>
      </c>
      <c r="X585" t="n">
        <v>13.9</v>
      </c>
      <c r="Y585" t="n">
        <v>0</v>
      </c>
      <c r="Z585" t="n">
        <v>0</v>
      </c>
      <c r="AA585" t="n">
        <v>0</v>
      </c>
      <c r="AB585" t="n">
        <v>8.529999999999999</v>
      </c>
      <c r="AC585" t="n">
        <v>0</v>
      </c>
      <c r="AD585" t="n">
        <v>1</v>
      </c>
      <c r="AE585" t="n">
        <v>1</v>
      </c>
      <c r="AF585" t="inlineStr"/>
      <c r="AG585" t="n">
        <v>13.9</v>
      </c>
      <c r="AH585" t="n">
        <v>2</v>
      </c>
      <c r="AI585" t="n">
        <v>78872881</v>
      </c>
      <c r="AJ585" t="n">
        <v>635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ROW(Source!A1301)</f>
        <v/>
      </c>
      <c r="B586" t="n">
        <v>78872885</v>
      </c>
      <c r="C586" t="n">
        <v>78872880</v>
      </c>
      <c r="D586" t="n">
        <v>29169821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509-0696</t>
        </is>
      </c>
      <c r="J586" t="inlineStr">
        <is>
          <t>ТССЦ Московской обл., 509-0696, приказ Минстроя России №675/пр от 28.02.2017 № 258/пр</t>
        </is>
      </c>
      <c r="K586" t="inlineStr">
        <is>
          <t>Лампы люминесцентные ртутные низкого давления типа ЛБ, ЛД, ЛДЦ, ЛТВ, ЛБХ 20</t>
        </is>
      </c>
      <c r="L586" t="n">
        <v>1358</v>
      </c>
      <c r="N586" t="n">
        <v>1010</v>
      </c>
      <c r="O586" t="inlineStr">
        <is>
          <t>10 шт.</t>
        </is>
      </c>
      <c r="P586" t="inlineStr">
        <is>
          <t>10 шт.</t>
        </is>
      </c>
      <c r="Q586" t="n">
        <v>10</v>
      </c>
      <c r="X586" t="n">
        <v>10</v>
      </c>
      <c r="Y586" t="n">
        <v>85.2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10</v>
      </c>
      <c r="AH586" t="n">
        <v>2</v>
      </c>
      <c r="AI586" t="n">
        <v>78872882</v>
      </c>
      <c r="AJ586" t="n">
        <v>636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ROW(Source!A1304)</f>
        <v/>
      </c>
      <c r="B587" t="n">
        <v>78872894</v>
      </c>
      <c r="C587" t="n">
        <v>78872887</v>
      </c>
      <c r="D587" t="n">
        <v>18442827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1-1053-90</t>
        </is>
      </c>
      <c r="J587" t="inlineStr"/>
      <c r="K587" t="inlineStr">
        <is>
          <t>Рабочий строитель среднего разряда 5,3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X587" t="n">
        <v>5.01</v>
      </c>
      <c r="Y587" t="n">
        <v>0</v>
      </c>
      <c r="Z587" t="n">
        <v>0</v>
      </c>
      <c r="AA587" t="n">
        <v>0</v>
      </c>
      <c r="AB587" t="n">
        <v>11.64</v>
      </c>
      <c r="AC587" t="n">
        <v>0</v>
      </c>
      <c r="AD587" t="n">
        <v>1</v>
      </c>
      <c r="AE587" t="n">
        <v>1</v>
      </c>
      <c r="AF587" t="inlineStr">
        <is>
          <t>)*10</t>
        </is>
      </c>
      <c r="AG587" t="n">
        <v>50.09999999999999</v>
      </c>
      <c r="AH587" t="n">
        <v>2</v>
      </c>
      <c r="AI587" t="n">
        <v>78872888</v>
      </c>
      <c r="AJ587" t="n">
        <v>639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ROW(Source!A1304)</f>
        <v/>
      </c>
      <c r="B588" t="n">
        <v>78872895</v>
      </c>
      <c r="C588" t="n">
        <v>78872887</v>
      </c>
      <c r="D588" t="n">
        <v>29172703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042900</t>
        </is>
      </c>
      <c r="J588" t="inlineStr">
        <is>
          <t>ТСЭМ Московской обл., 042900, приказ Минстроя России №675/пр от 28.02.2017 № 264/пр</t>
        </is>
      </c>
      <c r="K5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X588" t="n">
        <v>1.5</v>
      </c>
      <c r="Y588" t="n">
        <v>0</v>
      </c>
      <c r="Z588" t="n">
        <v>29.67</v>
      </c>
      <c r="AA588" t="n">
        <v>0</v>
      </c>
      <c r="AB588" t="n">
        <v>0</v>
      </c>
      <c r="AC588" t="n">
        <v>0</v>
      </c>
      <c r="AD588" t="n">
        <v>1</v>
      </c>
      <c r="AE588" t="n">
        <v>0</v>
      </c>
      <c r="AF588" t="inlineStr">
        <is>
          <t>)*10</t>
        </is>
      </c>
      <c r="AG588" t="n">
        <v>15</v>
      </c>
      <c r="AH588" t="n">
        <v>2</v>
      </c>
      <c r="AI588" t="n">
        <v>78872889</v>
      </c>
      <c r="AJ588" t="n">
        <v>640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ROW(Source!A1304)</f>
        <v/>
      </c>
      <c r="B589" t="n">
        <v>78872896</v>
      </c>
      <c r="C589" t="n">
        <v>78872887</v>
      </c>
      <c r="D589" t="n">
        <v>29110398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101-0388</t>
        </is>
      </c>
      <c r="J589" t="inlineStr">
        <is>
          <t>ТССЦ Московской обл., 101-0388, приказ Минстроя России №675/пр от 28.02.2017 № 254/пр</t>
        </is>
      </c>
      <c r="K589" t="inlineStr">
        <is>
          <t>Краски масляные земляные марки МА-0115 мумия, сурик железный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X589" t="n">
        <v>5e-05</v>
      </c>
      <c r="Y589" t="n">
        <v>15118.99</v>
      </c>
      <c r="Z589" t="n">
        <v>0</v>
      </c>
      <c r="AA589" t="n">
        <v>0</v>
      </c>
      <c r="AB589" t="n">
        <v>0</v>
      </c>
      <c r="AC589" t="n">
        <v>0</v>
      </c>
      <c r="AD589" t="n">
        <v>1</v>
      </c>
      <c r="AE589" t="n">
        <v>0</v>
      </c>
      <c r="AF589" t="inlineStr">
        <is>
          <t>)*10</t>
        </is>
      </c>
      <c r="AG589" t="n">
        <v>0.0005</v>
      </c>
      <c r="AH589" t="n">
        <v>2</v>
      </c>
      <c r="AI589" t="n">
        <v>78872890</v>
      </c>
      <c r="AJ589" t="n">
        <v>641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ROW(Source!A1304)</f>
        <v/>
      </c>
      <c r="B590" t="n">
        <v>78872897</v>
      </c>
      <c r="C590" t="n">
        <v>78872887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2e-05</v>
      </c>
      <c r="Y590" t="n">
        <v>16950</v>
      </c>
      <c r="Z590" t="n">
        <v>0</v>
      </c>
      <c r="AA590" t="n">
        <v>0</v>
      </c>
      <c r="AB590" t="n">
        <v>0</v>
      </c>
      <c r="AC590" t="n">
        <v>0</v>
      </c>
      <c r="AD590" t="n">
        <v>1</v>
      </c>
      <c r="AE590" t="n">
        <v>0</v>
      </c>
      <c r="AF590" t="inlineStr">
        <is>
          <t>)*10</t>
        </is>
      </c>
      <c r="AG590" t="n">
        <v>0.0002</v>
      </c>
      <c r="AH590" t="n">
        <v>2</v>
      </c>
      <c r="AI590" t="n">
        <v>78872891</v>
      </c>
      <c r="AJ590" t="n">
        <v>642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ROW(Source!A1304)</f>
        <v/>
      </c>
      <c r="B591" t="n">
        <v>78872898</v>
      </c>
      <c r="C591" t="n">
        <v>78872887</v>
      </c>
      <c r="D591" t="n">
        <v>29107963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101-1669</t>
        </is>
      </c>
      <c r="J591" t="inlineStr">
        <is>
          <t>ТССЦ Московской обл., 101-1669, приказ Минстроя России №675/пр от 28.02.2017 № 254/пр</t>
        </is>
      </c>
      <c r="K591" t="inlineStr">
        <is>
          <t>Очес льняной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X591" t="n">
        <v>0.02</v>
      </c>
      <c r="Y591" t="n">
        <v>37.29</v>
      </c>
      <c r="Z591" t="n">
        <v>0</v>
      </c>
      <c r="AA591" t="n">
        <v>0</v>
      </c>
      <c r="AB591" t="n">
        <v>0</v>
      </c>
      <c r="AC591" t="n">
        <v>0</v>
      </c>
      <c r="AD591" t="n">
        <v>1</v>
      </c>
      <c r="AE591" t="n">
        <v>0</v>
      </c>
      <c r="AF591" t="inlineStr">
        <is>
          <t>)*10</t>
        </is>
      </c>
      <c r="AG591" t="n">
        <v>0.2</v>
      </c>
      <c r="AH591" t="n">
        <v>2</v>
      </c>
      <c r="AI591" t="n">
        <v>78872892</v>
      </c>
      <c r="AJ591" t="n">
        <v>643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ROW(Source!A1304)</f>
        <v/>
      </c>
      <c r="B592" t="n">
        <v>78872899</v>
      </c>
      <c r="C592" t="n">
        <v>78872887</v>
      </c>
      <c r="D592" t="n">
        <v>29150040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411-0001</t>
        </is>
      </c>
      <c r="J592" t="inlineStr">
        <is>
          <t>ТССЦ Московской обл., 411-0001, приказ Минстроя России №675/пр от 28.02.2017 № 257/пр</t>
        </is>
      </c>
      <c r="K592" t="inlineStr">
        <is>
          <t>Вода</t>
        </is>
      </c>
      <c r="L592" t="n">
        <v>1339</v>
      </c>
      <c r="N592" t="n">
        <v>1007</v>
      </c>
      <c r="O592" t="inlineStr">
        <is>
          <t>м3</t>
        </is>
      </c>
      <c r="P592" t="inlineStr">
        <is>
          <t>м3</t>
        </is>
      </c>
      <c r="Q592" t="n">
        <v>1</v>
      </c>
      <c r="X592" t="n">
        <v>1</v>
      </c>
      <c r="Y592" t="n">
        <v>2.44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0</v>
      </c>
      <c r="AF592" t="inlineStr">
        <is>
          <t>)*10</t>
        </is>
      </c>
      <c r="AG592" t="n">
        <v>10</v>
      </c>
      <c r="AH592" t="n">
        <v>2</v>
      </c>
      <c r="AI592" t="n">
        <v>78872893</v>
      </c>
      <c r="AJ592" t="n">
        <v>644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ROW(Source!A1343)</f>
        <v/>
      </c>
      <c r="B593" t="n">
        <v>78872965</v>
      </c>
      <c r="C593" t="n">
        <v>78872959</v>
      </c>
      <c r="D593" t="n">
        <v>18408291</v>
      </c>
      <c r="E593" t="n">
        <v>1</v>
      </c>
      <c r="F593" t="n">
        <v>1</v>
      </c>
      <c r="G593" t="n">
        <v>1</v>
      </c>
      <c r="H593" t="n">
        <v>1</v>
      </c>
      <c r="I593" t="inlineStr">
        <is>
          <t>1-1025-90</t>
        </is>
      </c>
      <c r="J593" t="inlineStr"/>
      <c r="K593" t="inlineStr">
        <is>
          <t>Рабочий строитель среднего разряда 2,5</t>
        </is>
      </c>
      <c r="L593" t="n">
        <v>1369</v>
      </c>
      <c r="N593" t="n">
        <v>1013</v>
      </c>
      <c r="O593" t="inlineStr">
        <is>
          <t>чел.-ч</t>
        </is>
      </c>
      <c r="P593" t="inlineStr">
        <is>
          <t>чел.-ч</t>
        </is>
      </c>
      <c r="Q593" t="n">
        <v>1</v>
      </c>
      <c r="X593" t="n">
        <v>32.2</v>
      </c>
      <c r="Y593" t="n">
        <v>0</v>
      </c>
      <c r="Z593" t="n">
        <v>0</v>
      </c>
      <c r="AA593" t="n">
        <v>0</v>
      </c>
      <c r="AB593" t="n">
        <v>8.17</v>
      </c>
      <c r="AC593" t="n">
        <v>0</v>
      </c>
      <c r="AD593" t="n">
        <v>1</v>
      </c>
      <c r="AE593" t="n">
        <v>1</v>
      </c>
      <c r="AF593" t="inlineStr"/>
      <c r="AG593" t="n">
        <v>32.2</v>
      </c>
      <c r="AH593" t="n">
        <v>2</v>
      </c>
      <c r="AI593" t="n">
        <v>78872960</v>
      </c>
      <c r="AJ593" t="n">
        <v>645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ROW(Source!A1343)</f>
        <v/>
      </c>
      <c r="B594" t="n">
        <v>78872966</v>
      </c>
      <c r="C594" t="n">
        <v>78872959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0.01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0.01</v>
      </c>
      <c r="AH594" t="n">
        <v>2</v>
      </c>
      <c r="AI594" t="n">
        <v>78872961</v>
      </c>
      <c r="AJ594" t="n">
        <v>646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ROW(Source!A1343)</f>
        <v/>
      </c>
      <c r="B595" t="n">
        <v>78872967</v>
      </c>
      <c r="C595" t="n">
        <v>78872959</v>
      </c>
      <c r="D595" t="n">
        <v>29110139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101-1703</t>
        </is>
      </c>
      <c r="J595" t="inlineStr">
        <is>
          <t>ТССЦ Московской обл., 101-1703, приказ Минстроя России №675/пр от 28.02.2017 № 254/пр</t>
        </is>
      </c>
      <c r="K595" t="inlineStr">
        <is>
          <t>Прокладки резиновые (пластина техническая прессованная)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2</v>
      </c>
      <c r="Y595" t="n">
        <v>23.09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2</v>
      </c>
      <c r="AH595" t="n">
        <v>2</v>
      </c>
      <c r="AI595" t="n">
        <v>78872962</v>
      </c>
      <c r="AJ595" t="n">
        <v>647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ROW(Source!A1343)</f>
        <v/>
      </c>
      <c r="B596" t="n">
        <v>78872968</v>
      </c>
      <c r="C596" t="n">
        <v>78872959</v>
      </c>
      <c r="D596" t="n">
        <v>29114240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101-2576</t>
        </is>
      </c>
      <c r="J596" t="inlineStr">
        <is>
          <t>ТССЦ Московской обл., 101-2576, приказ Минстроя России №675/пр от 28.02.2017 № 254/пр</t>
        </is>
      </c>
      <c r="K596" t="inlineStr">
        <is>
          <t>Болты с гайками и шайбами для санитарно-технических работ диаметром 16 мм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0.005</v>
      </c>
      <c r="Y596" t="n">
        <v>14830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0.005</v>
      </c>
      <c r="AH596" t="n">
        <v>2</v>
      </c>
      <c r="AI596" t="n">
        <v>78872963</v>
      </c>
      <c r="AJ596" t="n">
        <v>648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ROW(Source!A1343)</f>
        <v/>
      </c>
      <c r="B597" t="n">
        <v>78872969</v>
      </c>
      <c r="C597" t="n">
        <v>78872959</v>
      </c>
      <c r="D597" t="n">
        <v>29150040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411-0001</t>
        </is>
      </c>
      <c r="J597" t="inlineStr">
        <is>
          <t>ТССЦ Московской обл., 411-0001, приказ Минстроя России №675/пр от 28.02.2017 № 257/пр</t>
        </is>
      </c>
      <c r="K597" t="inlineStr">
        <is>
          <t>Вода</t>
        </is>
      </c>
      <c r="L597" t="n">
        <v>1339</v>
      </c>
      <c r="N597" t="n">
        <v>1007</v>
      </c>
      <c r="O597" t="inlineStr">
        <is>
          <t>м3</t>
        </is>
      </c>
      <c r="P597" t="inlineStr">
        <is>
          <t>м3</t>
        </is>
      </c>
      <c r="Q597" t="n">
        <v>1</v>
      </c>
      <c r="X597" t="n">
        <v>7.8</v>
      </c>
      <c r="Y597" t="n">
        <v>2.44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7.8</v>
      </c>
      <c r="AH597" t="n">
        <v>2</v>
      </c>
      <c r="AI597" t="n">
        <v>78872964</v>
      </c>
      <c r="AJ597" t="n">
        <v>649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ROW(Source!A1344)</f>
        <v/>
      </c>
      <c r="B598" t="n">
        <v>78872975</v>
      </c>
      <c r="C598" t="n">
        <v>78872970</v>
      </c>
      <c r="D598" t="n">
        <v>18407150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1-1030-90</t>
        </is>
      </c>
      <c r="J598" t="inlineStr"/>
      <c r="K598" t="inlineStr">
        <is>
          <t>Рабочий строитель среднего разряда 3</t>
        </is>
      </c>
      <c r="L598" t="n">
        <v>1369</v>
      </c>
      <c r="N598" t="n">
        <v>1013</v>
      </c>
      <c r="O598" t="inlineStr">
        <is>
          <t>чел.-ч</t>
        </is>
      </c>
      <c r="P598" t="inlineStr">
        <is>
          <t>чел.-ч</t>
        </is>
      </c>
      <c r="Q598" t="n">
        <v>1</v>
      </c>
      <c r="X598" t="n">
        <v>13.9</v>
      </c>
      <c r="Y598" t="n">
        <v>0</v>
      </c>
      <c r="Z598" t="n">
        <v>0</v>
      </c>
      <c r="AA598" t="n">
        <v>0</v>
      </c>
      <c r="AB598" t="n">
        <v>8.529999999999999</v>
      </c>
      <c r="AC598" t="n">
        <v>0</v>
      </c>
      <c r="AD598" t="n">
        <v>1</v>
      </c>
      <c r="AE598" t="n">
        <v>1</v>
      </c>
      <c r="AF598" t="inlineStr"/>
      <c r="AG598" t="n">
        <v>13.9</v>
      </c>
      <c r="AH598" t="n">
        <v>2</v>
      </c>
      <c r="AI598" t="n">
        <v>78872971</v>
      </c>
      <c r="AJ598" t="n">
        <v>650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ROW(Source!A1344)</f>
        <v/>
      </c>
      <c r="B599" t="n">
        <v>78872976</v>
      </c>
      <c r="C599" t="n">
        <v>78872970</v>
      </c>
      <c r="D599" t="n">
        <v>29169821</v>
      </c>
      <c r="E599" t="n">
        <v>1</v>
      </c>
      <c r="F599" t="n">
        <v>1</v>
      </c>
      <c r="G599" t="n">
        <v>1</v>
      </c>
      <c r="H599" t="n">
        <v>3</v>
      </c>
      <c r="I599" t="inlineStr">
        <is>
          <t>509-0696</t>
        </is>
      </c>
      <c r="J599" t="inlineStr">
        <is>
          <t>ТССЦ Московской обл., 509-0696, приказ Минстроя России №675/пр от 28.02.2017 № 258/пр</t>
        </is>
      </c>
      <c r="K599" t="inlineStr">
        <is>
          <t>Лампы люминесцентные ртутные низкого давления типа ЛБ, ЛД, ЛДЦ, ЛТВ, ЛБХ 20</t>
        </is>
      </c>
      <c r="L599" t="n">
        <v>1358</v>
      </c>
      <c r="N599" t="n">
        <v>1010</v>
      </c>
      <c r="O599" t="inlineStr">
        <is>
          <t>10 шт.</t>
        </is>
      </c>
      <c r="P599" t="inlineStr">
        <is>
          <t>10 шт.</t>
        </is>
      </c>
      <c r="Q599" t="n">
        <v>10</v>
      </c>
      <c r="X599" t="n">
        <v>10</v>
      </c>
      <c r="Y599" t="n">
        <v>85.2</v>
      </c>
      <c r="Z599" t="n">
        <v>0</v>
      </c>
      <c r="AA599" t="n">
        <v>0</v>
      </c>
      <c r="AB599" t="n">
        <v>0</v>
      </c>
      <c r="AC599" t="n">
        <v>0</v>
      </c>
      <c r="AD599" t="n">
        <v>1</v>
      </c>
      <c r="AE599" t="n">
        <v>0</v>
      </c>
      <c r="AF599" t="inlineStr"/>
      <c r="AG599" t="n">
        <v>10</v>
      </c>
      <c r="AH599" t="n">
        <v>2</v>
      </c>
      <c r="AI599" t="n">
        <v>78872972</v>
      </c>
      <c r="AJ599" t="n">
        <v>651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ROW(Source!A1346)</f>
        <v/>
      </c>
      <c r="B600" t="n">
        <v>78872986</v>
      </c>
      <c r="C600" t="n">
        <v>78872979</v>
      </c>
      <c r="D600" t="n">
        <v>18442827</v>
      </c>
      <c r="E600" t="n">
        <v>1</v>
      </c>
      <c r="F600" t="n">
        <v>1</v>
      </c>
      <c r="G600" t="n">
        <v>1</v>
      </c>
      <c r="H600" t="n">
        <v>1</v>
      </c>
      <c r="I600" t="inlineStr">
        <is>
          <t>1-1053-90</t>
        </is>
      </c>
      <c r="J600" t="inlineStr"/>
      <c r="K600" t="inlineStr">
        <is>
          <t>Рабочий строитель среднего разряда 5,3</t>
        </is>
      </c>
      <c r="L600" t="n">
        <v>1369</v>
      </c>
      <c r="N600" t="n">
        <v>1013</v>
      </c>
      <c r="O600" t="inlineStr">
        <is>
          <t>чел.-ч</t>
        </is>
      </c>
      <c r="P600" t="inlineStr">
        <is>
          <t>чел.-ч</t>
        </is>
      </c>
      <c r="Q600" t="n">
        <v>1</v>
      </c>
      <c r="X600" t="n">
        <v>5.01</v>
      </c>
      <c r="Y600" t="n">
        <v>0</v>
      </c>
      <c r="Z600" t="n">
        <v>0</v>
      </c>
      <c r="AA600" t="n">
        <v>0</v>
      </c>
      <c r="AB600" t="n">
        <v>11.64</v>
      </c>
      <c r="AC600" t="n">
        <v>0</v>
      </c>
      <c r="AD600" t="n">
        <v>1</v>
      </c>
      <c r="AE600" t="n">
        <v>1</v>
      </c>
      <c r="AF600" t="inlineStr">
        <is>
          <t>)*10</t>
        </is>
      </c>
      <c r="AG600" t="n">
        <v>50.09999999999999</v>
      </c>
      <c r="AH600" t="n">
        <v>2</v>
      </c>
      <c r="AI600" t="n">
        <v>78872980</v>
      </c>
      <c r="AJ600" t="n">
        <v>653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ROW(Source!A1346)</f>
        <v/>
      </c>
      <c r="B601" t="n">
        <v>78872987</v>
      </c>
      <c r="C601" t="n">
        <v>78872979</v>
      </c>
      <c r="D601" t="n">
        <v>29172703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042900</t>
        </is>
      </c>
      <c r="J601" t="inlineStr">
        <is>
          <t>ТСЭМ Московской обл., 042900, приказ Минстроя России №675/пр от 28.02.2017 № 264/пр</t>
        </is>
      </c>
      <c r="K60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X601" t="n">
        <v>1.5</v>
      </c>
      <c r="Y601" t="n">
        <v>0</v>
      </c>
      <c r="Z601" t="n">
        <v>29.67</v>
      </c>
      <c r="AA601" t="n">
        <v>0</v>
      </c>
      <c r="AB601" t="n">
        <v>0</v>
      </c>
      <c r="AC601" t="n">
        <v>0</v>
      </c>
      <c r="AD601" t="n">
        <v>1</v>
      </c>
      <c r="AE601" t="n">
        <v>0</v>
      </c>
      <c r="AF601" t="inlineStr">
        <is>
          <t>)*10</t>
        </is>
      </c>
      <c r="AG601" t="n">
        <v>15</v>
      </c>
      <c r="AH601" t="n">
        <v>2</v>
      </c>
      <c r="AI601" t="n">
        <v>78872981</v>
      </c>
      <c r="AJ601" t="n">
        <v>654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ROW(Source!A1346)</f>
        <v/>
      </c>
      <c r="B602" t="n">
        <v>78872988</v>
      </c>
      <c r="C602" t="n">
        <v>78872979</v>
      </c>
      <c r="D602" t="n">
        <v>29110398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101-0388</t>
        </is>
      </c>
      <c r="J602" t="inlineStr">
        <is>
          <t>ТССЦ Московской обл., 101-0388, приказ Минстроя России №675/пр от 28.02.2017 № 254/пр</t>
        </is>
      </c>
      <c r="K602" t="inlineStr">
        <is>
          <t>Краски масляные земляные марки МА-0115 мумия, сурик железный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X602" t="n">
        <v>5e-05</v>
      </c>
      <c r="Y602" t="n">
        <v>15118.99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0</v>
      </c>
      <c r="AF602" t="inlineStr">
        <is>
          <t>)*10</t>
        </is>
      </c>
      <c r="AG602" t="n">
        <v>0.0005</v>
      </c>
      <c r="AH602" t="n">
        <v>2</v>
      </c>
      <c r="AI602" t="n">
        <v>78872982</v>
      </c>
      <c r="AJ602" t="n">
        <v>655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ROW(Source!A1346)</f>
        <v/>
      </c>
      <c r="B603" t="n">
        <v>78872989</v>
      </c>
      <c r="C603" t="n">
        <v>78872979</v>
      </c>
      <c r="D603" t="n">
        <v>29110573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101-0628</t>
        </is>
      </c>
      <c r="J603" t="inlineStr">
        <is>
          <t>ТССЦ Московской обл., 101-0628, приказ Минстроя России №675/пр от 28.02.2017 № 254/пр</t>
        </is>
      </c>
      <c r="K603" t="inlineStr">
        <is>
          <t>Олифа комбинированная, марки К-3</t>
        </is>
      </c>
      <c r="L603" t="n">
        <v>1348</v>
      </c>
      <c r="N603" t="n">
        <v>1009</v>
      </c>
      <c r="O603" t="inlineStr">
        <is>
          <t>т</t>
        </is>
      </c>
      <c r="P603" t="inlineStr">
        <is>
          <t>т</t>
        </is>
      </c>
      <c r="Q603" t="n">
        <v>1000</v>
      </c>
      <c r="X603" t="n">
        <v>2e-05</v>
      </c>
      <c r="Y603" t="n">
        <v>16950</v>
      </c>
      <c r="Z603" t="n">
        <v>0</v>
      </c>
      <c r="AA603" t="n">
        <v>0</v>
      </c>
      <c r="AB603" t="n">
        <v>0</v>
      </c>
      <c r="AC603" t="n">
        <v>0</v>
      </c>
      <c r="AD603" t="n">
        <v>1</v>
      </c>
      <c r="AE603" t="n">
        <v>0</v>
      </c>
      <c r="AF603" t="inlineStr">
        <is>
          <t>)*10</t>
        </is>
      </c>
      <c r="AG603" t="n">
        <v>0.0002</v>
      </c>
      <c r="AH603" t="n">
        <v>2</v>
      </c>
      <c r="AI603" t="n">
        <v>78872983</v>
      </c>
      <c r="AJ603" t="n">
        <v>656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ROW(Source!A1346)</f>
        <v/>
      </c>
      <c r="B604" t="n">
        <v>78872990</v>
      </c>
      <c r="C604" t="n">
        <v>78872979</v>
      </c>
      <c r="D604" t="n">
        <v>29107963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101-1669</t>
        </is>
      </c>
      <c r="J604" t="inlineStr">
        <is>
          <t>ТССЦ Московской обл., 101-1669, приказ Минстроя России №675/пр от 28.02.2017 № 254/пр</t>
        </is>
      </c>
      <c r="K604" t="inlineStr">
        <is>
          <t>Очес льняной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X604" t="n">
        <v>0.02</v>
      </c>
      <c r="Y604" t="n">
        <v>37.29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>
        <is>
          <t>)*10</t>
        </is>
      </c>
      <c r="AG604" t="n">
        <v>0.2</v>
      </c>
      <c r="AH604" t="n">
        <v>2</v>
      </c>
      <c r="AI604" t="n">
        <v>78872984</v>
      </c>
      <c r="AJ604" t="n">
        <v>657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ROW(Source!A1346)</f>
        <v/>
      </c>
      <c r="B605" t="n">
        <v>78872991</v>
      </c>
      <c r="C605" t="n">
        <v>78872979</v>
      </c>
      <c r="D605" t="n">
        <v>29150040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411-0001</t>
        </is>
      </c>
      <c r="J605" t="inlineStr">
        <is>
          <t>ТССЦ Московской обл., 411-0001, приказ Минстроя России №675/пр от 28.02.2017 № 257/пр</t>
        </is>
      </c>
      <c r="K605" t="inlineStr">
        <is>
          <t>Вода</t>
        </is>
      </c>
      <c r="L605" t="n">
        <v>1339</v>
      </c>
      <c r="N605" t="n">
        <v>1007</v>
      </c>
      <c r="O605" t="inlineStr">
        <is>
          <t>м3</t>
        </is>
      </c>
      <c r="P605" t="inlineStr">
        <is>
          <t>м3</t>
        </is>
      </c>
      <c r="Q605" t="n">
        <v>1</v>
      </c>
      <c r="X605" t="n">
        <v>1</v>
      </c>
      <c r="Y605" t="n">
        <v>2.44</v>
      </c>
      <c r="Z605" t="n">
        <v>0</v>
      </c>
      <c r="AA605" t="n">
        <v>0</v>
      </c>
      <c r="AB605" t="n">
        <v>0</v>
      </c>
      <c r="AC605" t="n">
        <v>0</v>
      </c>
      <c r="AD605" t="n">
        <v>1</v>
      </c>
      <c r="AE605" t="n">
        <v>0</v>
      </c>
      <c r="AF605" t="inlineStr">
        <is>
          <t>)*10</t>
        </is>
      </c>
      <c r="AG605" t="n">
        <v>10</v>
      </c>
      <c r="AH605" t="n">
        <v>2</v>
      </c>
      <c r="AI605" t="n">
        <v>78872985</v>
      </c>
      <c r="AJ605" t="n">
        <v>658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ROW(Source!A1385)</f>
        <v/>
      </c>
      <c r="B606" t="n">
        <v>78873059</v>
      </c>
      <c r="C606" t="n">
        <v>78873053</v>
      </c>
      <c r="D606" t="n">
        <v>18408291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1-1025-90</t>
        </is>
      </c>
      <c r="J606" t="inlineStr"/>
      <c r="K606" t="inlineStr">
        <is>
          <t>Рабочий строитель среднего разряда 2,5</t>
        </is>
      </c>
      <c r="L606" t="n">
        <v>1369</v>
      </c>
      <c r="N606" t="n">
        <v>1013</v>
      </c>
      <c r="O606" t="inlineStr">
        <is>
          <t>чел.-ч</t>
        </is>
      </c>
      <c r="P606" t="inlineStr">
        <is>
          <t>чел.-ч</t>
        </is>
      </c>
      <c r="Q606" t="n">
        <v>1</v>
      </c>
      <c r="X606" t="n">
        <v>32.2</v>
      </c>
      <c r="Y606" t="n">
        <v>0</v>
      </c>
      <c r="Z606" t="n">
        <v>0</v>
      </c>
      <c r="AA606" t="n">
        <v>0</v>
      </c>
      <c r="AB606" t="n">
        <v>8.17</v>
      </c>
      <c r="AC606" t="n">
        <v>0</v>
      </c>
      <c r="AD606" t="n">
        <v>1</v>
      </c>
      <c r="AE606" t="n">
        <v>1</v>
      </c>
      <c r="AF606" t="inlineStr"/>
      <c r="AG606" t="n">
        <v>32.2</v>
      </c>
      <c r="AH606" t="n">
        <v>2</v>
      </c>
      <c r="AI606" t="n">
        <v>78873054</v>
      </c>
      <c r="AJ606" t="n">
        <v>659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ROW(Source!A1385)</f>
        <v/>
      </c>
      <c r="B607" t="n">
        <v>78873060</v>
      </c>
      <c r="C607" t="n">
        <v>78873053</v>
      </c>
      <c r="D607" t="n">
        <v>29174913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400001</t>
        </is>
      </c>
      <c r="J607" t="inlineStr">
        <is>
          <t>ТСЭМ Московской обл., 400001, приказ Минстроя России №675/пр от 28.02.2017 № 264/пр</t>
        </is>
      </c>
      <c r="K607" t="inlineStr">
        <is>
          <t>Автомобили бортовые, грузоподъемность до 5 т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0.01</v>
      </c>
      <c r="Y607" t="n">
        <v>0</v>
      </c>
      <c r="Z607" t="n">
        <v>87.17</v>
      </c>
      <c r="AA607" t="n">
        <v>11.6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0.01</v>
      </c>
      <c r="AH607" t="n">
        <v>2</v>
      </c>
      <c r="AI607" t="n">
        <v>78873055</v>
      </c>
      <c r="AJ607" t="n">
        <v>660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ROW(Source!A1385)</f>
        <v/>
      </c>
      <c r="B608" t="n">
        <v>78873061</v>
      </c>
      <c r="C608" t="n">
        <v>78873053</v>
      </c>
      <c r="D608" t="n">
        <v>29110139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101-1703</t>
        </is>
      </c>
      <c r="J608" t="inlineStr">
        <is>
          <t>ТССЦ Московской обл., 101-1703, приказ Минстроя России №675/пр от 28.02.2017 № 254/пр</t>
        </is>
      </c>
      <c r="K608" t="inlineStr">
        <is>
          <t>Прокладки резиновые (пластина техническая прессованная)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X608" t="n">
        <v>2</v>
      </c>
      <c r="Y608" t="n">
        <v>23.09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2</v>
      </c>
      <c r="AH608" t="n">
        <v>2</v>
      </c>
      <c r="AI608" t="n">
        <v>78873056</v>
      </c>
      <c r="AJ608" t="n">
        <v>661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ROW(Source!A1385)</f>
        <v/>
      </c>
      <c r="B609" t="n">
        <v>78873062</v>
      </c>
      <c r="C609" t="n">
        <v>78873053</v>
      </c>
      <c r="D609" t="n">
        <v>29114240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101-2576</t>
        </is>
      </c>
      <c r="J609" t="inlineStr">
        <is>
          <t>ТССЦ Московской обл., 101-2576, приказ Минстроя России №675/пр от 28.02.2017 № 254/пр</t>
        </is>
      </c>
      <c r="K609" t="inlineStr">
        <is>
          <t>Болты с гайками и шайбами для санитарно-технических работ диаметром 16 мм</t>
        </is>
      </c>
      <c r="L609" t="n">
        <v>1348</v>
      </c>
      <c r="N609" t="n">
        <v>1009</v>
      </c>
      <c r="O609" t="inlineStr">
        <is>
          <t>т</t>
        </is>
      </c>
      <c r="P609" t="inlineStr">
        <is>
          <t>т</t>
        </is>
      </c>
      <c r="Q609" t="n">
        <v>1000</v>
      </c>
      <c r="X609" t="n">
        <v>0.005</v>
      </c>
      <c r="Y609" t="n">
        <v>14830</v>
      </c>
      <c r="Z609" t="n">
        <v>0</v>
      </c>
      <c r="AA609" t="n">
        <v>0</v>
      </c>
      <c r="AB609" t="n">
        <v>0</v>
      </c>
      <c r="AC609" t="n">
        <v>0</v>
      </c>
      <c r="AD609" t="n">
        <v>1</v>
      </c>
      <c r="AE609" t="n">
        <v>0</v>
      </c>
      <c r="AF609" t="inlineStr"/>
      <c r="AG609" t="n">
        <v>0.005</v>
      </c>
      <c r="AH609" t="n">
        <v>2</v>
      </c>
      <c r="AI609" t="n">
        <v>78873057</v>
      </c>
      <c r="AJ609" t="n">
        <v>662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ROW(Source!A1385)</f>
        <v/>
      </c>
      <c r="B610" t="n">
        <v>78873063</v>
      </c>
      <c r="C610" t="n">
        <v>78873053</v>
      </c>
      <c r="D610" t="n">
        <v>29150040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411-0001</t>
        </is>
      </c>
      <c r="J610" t="inlineStr">
        <is>
          <t>ТССЦ Московской обл., 411-0001, приказ Минстроя России №675/пр от 28.02.2017 № 257/пр</t>
        </is>
      </c>
      <c r="K610" t="inlineStr">
        <is>
          <t>Вода</t>
        </is>
      </c>
      <c r="L610" t="n">
        <v>1339</v>
      </c>
      <c r="N610" t="n">
        <v>1007</v>
      </c>
      <c r="O610" t="inlineStr">
        <is>
          <t>м3</t>
        </is>
      </c>
      <c r="P610" t="inlineStr">
        <is>
          <t>м3</t>
        </is>
      </c>
      <c r="Q610" t="n">
        <v>1</v>
      </c>
      <c r="X610" t="n">
        <v>7.8</v>
      </c>
      <c r="Y610" t="n">
        <v>2.44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7.8</v>
      </c>
      <c r="AH610" t="n">
        <v>2</v>
      </c>
      <c r="AI610" t="n">
        <v>78873058</v>
      </c>
      <c r="AJ610" t="n">
        <v>663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ROW(Source!A1386)</f>
        <v/>
      </c>
      <c r="B611" t="n">
        <v>78873068</v>
      </c>
      <c r="C611" t="n">
        <v>78873064</v>
      </c>
      <c r="D611" t="n">
        <v>18407150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1-1030-90</t>
        </is>
      </c>
      <c r="J611" t="inlineStr"/>
      <c r="K611" t="inlineStr">
        <is>
          <t>Рабочий строитель среднего разряда 3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13.9</v>
      </c>
      <c r="Y611" t="n">
        <v>0</v>
      </c>
      <c r="Z611" t="n">
        <v>0</v>
      </c>
      <c r="AA611" t="n">
        <v>0</v>
      </c>
      <c r="AB611" t="n">
        <v>8.529999999999999</v>
      </c>
      <c r="AC611" t="n">
        <v>0</v>
      </c>
      <c r="AD611" t="n">
        <v>1</v>
      </c>
      <c r="AE611" t="n">
        <v>1</v>
      </c>
      <c r="AF611" t="inlineStr"/>
      <c r="AG611" t="n">
        <v>13.9</v>
      </c>
      <c r="AH611" t="n">
        <v>2</v>
      </c>
      <c r="AI611" t="n">
        <v>78873065</v>
      </c>
      <c r="AJ611" t="n">
        <v>664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ROW(Source!A1386)</f>
        <v/>
      </c>
      <c r="B612" t="n">
        <v>78873069</v>
      </c>
      <c r="C612" t="n">
        <v>78873064</v>
      </c>
      <c r="D612" t="n">
        <v>29169821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509-0696</t>
        </is>
      </c>
      <c r="J612" t="inlineStr">
        <is>
          <t>ТССЦ Московской обл., 509-0696, приказ Минстроя России №675/пр от 28.02.2017 № 258/пр</t>
        </is>
      </c>
      <c r="K612" t="inlineStr">
        <is>
          <t>Лампы люминесцентные ртутные низкого давления типа ЛБ, ЛД, ЛДЦ, ЛТВ, ЛБХ 20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X612" t="n">
        <v>10</v>
      </c>
      <c r="Y612" t="n">
        <v>85.2</v>
      </c>
      <c r="Z612" t="n">
        <v>0</v>
      </c>
      <c r="AA612" t="n">
        <v>0</v>
      </c>
      <c r="AB612" t="n">
        <v>0</v>
      </c>
      <c r="AC612" t="n">
        <v>0</v>
      </c>
      <c r="AD612" t="n">
        <v>1</v>
      </c>
      <c r="AE612" t="n">
        <v>0</v>
      </c>
      <c r="AF612" t="inlineStr"/>
      <c r="AG612" t="n">
        <v>10</v>
      </c>
      <c r="AH612" t="n">
        <v>2</v>
      </c>
      <c r="AI612" t="n">
        <v>78873066</v>
      </c>
      <c r="AJ612" t="n">
        <v>665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ROW(Source!A1388)</f>
        <v/>
      </c>
      <c r="B613" t="n">
        <v>78873078</v>
      </c>
      <c r="C613" t="n">
        <v>78873071</v>
      </c>
      <c r="D613" t="n">
        <v>18442827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1-1053-90</t>
        </is>
      </c>
      <c r="J613" t="inlineStr"/>
      <c r="K613" t="inlineStr">
        <is>
          <t>Рабочий строитель среднего разряда 5,3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5.01</v>
      </c>
      <c r="Y613" t="n">
        <v>0</v>
      </c>
      <c r="Z613" t="n">
        <v>0</v>
      </c>
      <c r="AA613" t="n">
        <v>0</v>
      </c>
      <c r="AB613" t="n">
        <v>11.64</v>
      </c>
      <c r="AC613" t="n">
        <v>0</v>
      </c>
      <c r="AD613" t="n">
        <v>1</v>
      </c>
      <c r="AE613" t="n">
        <v>1</v>
      </c>
      <c r="AF613" t="inlineStr">
        <is>
          <t>)*8</t>
        </is>
      </c>
      <c r="AG613" t="n">
        <v>40.08</v>
      </c>
      <c r="AH613" t="n">
        <v>2</v>
      </c>
      <c r="AI613" t="n">
        <v>78873072</v>
      </c>
      <c r="AJ613" t="n">
        <v>667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ROW(Source!A1388)</f>
        <v/>
      </c>
      <c r="B614" t="n">
        <v>78873079</v>
      </c>
      <c r="C614" t="n">
        <v>78873071</v>
      </c>
      <c r="D614" t="n">
        <v>29172703</v>
      </c>
      <c r="E614" t="n">
        <v>1</v>
      </c>
      <c r="F614" t="n">
        <v>1</v>
      </c>
      <c r="G614" t="n">
        <v>1</v>
      </c>
      <c r="H614" t="n">
        <v>2</v>
      </c>
      <c r="I614" t="inlineStr">
        <is>
          <t>042900</t>
        </is>
      </c>
      <c r="J614" t="inlineStr">
        <is>
          <t>ТСЭМ Московской обл., 042900, приказ Минстроя России №675/пр от 28.02.2017 № 264/пр</t>
        </is>
      </c>
      <c r="K61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14" t="n">
        <v>1368</v>
      </c>
      <c r="N614" t="n">
        <v>1011</v>
      </c>
      <c r="O614" t="inlineStr">
        <is>
          <t>маш.-ч</t>
        </is>
      </c>
      <c r="P614" t="inlineStr">
        <is>
          <t>маш.-ч</t>
        </is>
      </c>
      <c r="Q614" t="n">
        <v>1</v>
      </c>
      <c r="X614" t="n">
        <v>1.5</v>
      </c>
      <c r="Y614" t="n">
        <v>0</v>
      </c>
      <c r="Z614" t="n">
        <v>29.67</v>
      </c>
      <c r="AA614" t="n">
        <v>0</v>
      </c>
      <c r="AB614" t="n">
        <v>0</v>
      </c>
      <c r="AC614" t="n">
        <v>0</v>
      </c>
      <c r="AD614" t="n">
        <v>1</v>
      </c>
      <c r="AE614" t="n">
        <v>0</v>
      </c>
      <c r="AF614" t="inlineStr">
        <is>
          <t>)*8</t>
        </is>
      </c>
      <c r="AG614" t="n">
        <v>12</v>
      </c>
      <c r="AH614" t="n">
        <v>2</v>
      </c>
      <c r="AI614" t="n">
        <v>78873073</v>
      </c>
      <c r="AJ614" t="n">
        <v>668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ROW(Source!A1388)</f>
        <v/>
      </c>
      <c r="B615" t="n">
        <v>78873080</v>
      </c>
      <c r="C615" t="n">
        <v>78873071</v>
      </c>
      <c r="D615" t="n">
        <v>29110398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101-0388</t>
        </is>
      </c>
      <c r="J615" t="inlineStr">
        <is>
          <t>ТССЦ Московской обл., 101-0388, приказ Минстроя России №675/пр от 28.02.2017 № 254/пр</t>
        </is>
      </c>
      <c r="K615" t="inlineStr">
        <is>
          <t>Краски масляные земляные марки МА-0115 мумия, сурик железный</t>
        </is>
      </c>
      <c r="L615" t="n">
        <v>1348</v>
      </c>
      <c r="N615" t="n">
        <v>1009</v>
      </c>
      <c r="O615" t="inlineStr">
        <is>
          <t>т</t>
        </is>
      </c>
      <c r="P615" t="inlineStr">
        <is>
          <t>т</t>
        </is>
      </c>
      <c r="Q615" t="n">
        <v>1000</v>
      </c>
      <c r="X615" t="n">
        <v>5e-05</v>
      </c>
      <c r="Y615" t="n">
        <v>15118.99</v>
      </c>
      <c r="Z615" t="n">
        <v>0</v>
      </c>
      <c r="AA615" t="n">
        <v>0</v>
      </c>
      <c r="AB615" t="n">
        <v>0</v>
      </c>
      <c r="AC615" t="n">
        <v>0</v>
      </c>
      <c r="AD615" t="n">
        <v>1</v>
      </c>
      <c r="AE615" t="n">
        <v>0</v>
      </c>
      <c r="AF615" t="inlineStr">
        <is>
          <t>)*8</t>
        </is>
      </c>
      <c r="AG615" t="n">
        <v>0.0004</v>
      </c>
      <c r="AH615" t="n">
        <v>2</v>
      </c>
      <c r="AI615" t="n">
        <v>78873074</v>
      </c>
      <c r="AJ615" t="n">
        <v>669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ROW(Source!A1388)</f>
        <v/>
      </c>
      <c r="B616" t="n">
        <v>78873081</v>
      </c>
      <c r="C616" t="n">
        <v>78873071</v>
      </c>
      <c r="D616" t="n">
        <v>29110573</v>
      </c>
      <c r="E616" t="n">
        <v>1</v>
      </c>
      <c r="F616" t="n">
        <v>1</v>
      </c>
      <c r="G616" t="n">
        <v>1</v>
      </c>
      <c r="H616" t="n">
        <v>3</v>
      </c>
      <c r="I616" t="inlineStr">
        <is>
          <t>101-0628</t>
        </is>
      </c>
      <c r="J616" t="inlineStr">
        <is>
          <t>ТССЦ Московской обл., 101-0628, приказ Минстроя России №675/пр от 28.02.2017 № 254/пр</t>
        </is>
      </c>
      <c r="K616" t="inlineStr">
        <is>
          <t>Олифа комбинированная, марки К-3</t>
        </is>
      </c>
      <c r="L616" t="n">
        <v>1348</v>
      </c>
      <c r="N616" t="n">
        <v>1009</v>
      </c>
      <c r="O616" t="inlineStr">
        <is>
          <t>т</t>
        </is>
      </c>
      <c r="P616" t="inlineStr">
        <is>
          <t>т</t>
        </is>
      </c>
      <c r="Q616" t="n">
        <v>1000</v>
      </c>
      <c r="X616" t="n">
        <v>2e-05</v>
      </c>
      <c r="Y616" t="n">
        <v>16950</v>
      </c>
      <c r="Z616" t="n">
        <v>0</v>
      </c>
      <c r="AA616" t="n">
        <v>0</v>
      </c>
      <c r="AB616" t="n">
        <v>0</v>
      </c>
      <c r="AC616" t="n">
        <v>0</v>
      </c>
      <c r="AD616" t="n">
        <v>1</v>
      </c>
      <c r="AE616" t="n">
        <v>0</v>
      </c>
      <c r="AF616" t="inlineStr">
        <is>
          <t>)*8</t>
        </is>
      </c>
      <c r="AG616" t="n">
        <v>0.00016</v>
      </c>
      <c r="AH616" t="n">
        <v>2</v>
      </c>
      <c r="AI616" t="n">
        <v>78873075</v>
      </c>
      <c r="AJ616" t="n">
        <v>670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ROW(Source!A1388)</f>
        <v/>
      </c>
      <c r="B617" t="n">
        <v>78873082</v>
      </c>
      <c r="C617" t="n">
        <v>78873071</v>
      </c>
      <c r="D617" t="n">
        <v>29107963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101-1669</t>
        </is>
      </c>
      <c r="J617" t="inlineStr">
        <is>
          <t>ТССЦ Московской обл., 101-1669, приказ Минстроя России №675/пр от 28.02.2017 № 254/пр</t>
        </is>
      </c>
      <c r="K617" t="inlineStr">
        <is>
          <t>Очес льняной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0.02</v>
      </c>
      <c r="Y617" t="n">
        <v>37.29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>
        <is>
          <t>)*8</t>
        </is>
      </c>
      <c r="AG617" t="n">
        <v>0.16</v>
      </c>
      <c r="AH617" t="n">
        <v>2</v>
      </c>
      <c r="AI617" t="n">
        <v>78873076</v>
      </c>
      <c r="AJ617" t="n">
        <v>671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ROW(Source!A1388)</f>
        <v/>
      </c>
      <c r="B618" t="n">
        <v>78873083</v>
      </c>
      <c r="C618" t="n">
        <v>78873071</v>
      </c>
      <c r="D618" t="n">
        <v>29150040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411-0001</t>
        </is>
      </c>
      <c r="J618" t="inlineStr">
        <is>
          <t>ТССЦ Московской обл., 411-0001, приказ Минстроя России №675/пр от 28.02.2017 № 257/пр</t>
        </is>
      </c>
      <c r="K618" t="inlineStr">
        <is>
          <t>Вода</t>
        </is>
      </c>
      <c r="L618" t="n">
        <v>1339</v>
      </c>
      <c r="N618" t="n">
        <v>1007</v>
      </c>
      <c r="O618" t="inlineStr">
        <is>
          <t>м3</t>
        </is>
      </c>
      <c r="P618" t="inlineStr">
        <is>
          <t>м3</t>
        </is>
      </c>
      <c r="Q618" t="n">
        <v>1</v>
      </c>
      <c r="X618" t="n">
        <v>1</v>
      </c>
      <c r="Y618" t="n">
        <v>2.44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>
        <is>
          <t>)*8</t>
        </is>
      </c>
      <c r="AG618" t="n">
        <v>8</v>
      </c>
      <c r="AH618" t="n">
        <v>2</v>
      </c>
      <c r="AI618" t="n">
        <v>78873077</v>
      </c>
      <c r="AJ618" t="n">
        <v>672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ROW(Source!A1427)</f>
        <v/>
      </c>
      <c r="B619" t="n">
        <v>78873151</v>
      </c>
      <c r="C619" t="n">
        <v>78873145</v>
      </c>
      <c r="D619" t="n">
        <v>18408291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1-1025-90</t>
        </is>
      </c>
      <c r="J619" t="inlineStr"/>
      <c r="K619" t="inlineStr">
        <is>
          <t>Рабочий строитель среднего разряда 2,5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X619" t="n">
        <v>32.2</v>
      </c>
      <c r="Y619" t="n">
        <v>0</v>
      </c>
      <c r="Z619" t="n">
        <v>0</v>
      </c>
      <c r="AA619" t="n">
        <v>0</v>
      </c>
      <c r="AB619" t="n">
        <v>8.17</v>
      </c>
      <c r="AC619" t="n">
        <v>0</v>
      </c>
      <c r="AD619" t="n">
        <v>1</v>
      </c>
      <c r="AE619" t="n">
        <v>1</v>
      </c>
      <c r="AF619" t="inlineStr"/>
      <c r="AG619" t="n">
        <v>32.2</v>
      </c>
      <c r="AH619" t="n">
        <v>2</v>
      </c>
      <c r="AI619" t="n">
        <v>78873146</v>
      </c>
      <c r="AJ619" t="n">
        <v>673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ROW(Source!A1427)</f>
        <v/>
      </c>
      <c r="B620" t="n">
        <v>78873152</v>
      </c>
      <c r="C620" t="n">
        <v>78873145</v>
      </c>
      <c r="D620" t="n">
        <v>29174913</v>
      </c>
      <c r="E620" t="n">
        <v>1</v>
      </c>
      <c r="F620" t="n">
        <v>1</v>
      </c>
      <c r="G620" t="n">
        <v>1</v>
      </c>
      <c r="H620" t="n">
        <v>2</v>
      </c>
      <c r="I620" t="inlineStr">
        <is>
          <t>400001</t>
        </is>
      </c>
      <c r="J620" t="inlineStr">
        <is>
          <t>ТСЭМ Московской обл., 400001, приказ Минстроя России №675/пр от 28.02.2017 № 264/пр</t>
        </is>
      </c>
      <c r="K620" t="inlineStr">
        <is>
          <t>Автомобили бортовые, грузоподъемность до 5 т</t>
        </is>
      </c>
      <c r="L620" t="n">
        <v>1368</v>
      </c>
      <c r="N620" t="n">
        <v>1011</v>
      </c>
      <c r="O620" t="inlineStr">
        <is>
          <t>маш.-ч</t>
        </is>
      </c>
      <c r="P620" t="inlineStr">
        <is>
          <t>маш.-ч</t>
        </is>
      </c>
      <c r="Q620" t="n">
        <v>1</v>
      </c>
      <c r="X620" t="n">
        <v>0.01</v>
      </c>
      <c r="Y620" t="n">
        <v>0</v>
      </c>
      <c r="Z620" t="n">
        <v>87.17</v>
      </c>
      <c r="AA620" t="n">
        <v>11.6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0.01</v>
      </c>
      <c r="AH620" t="n">
        <v>2</v>
      </c>
      <c r="AI620" t="n">
        <v>78873147</v>
      </c>
      <c r="AJ620" t="n">
        <v>674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ROW(Source!A1427)</f>
        <v/>
      </c>
      <c r="B621" t="n">
        <v>78873153</v>
      </c>
      <c r="C621" t="n">
        <v>78873145</v>
      </c>
      <c r="D621" t="n">
        <v>29110139</v>
      </c>
      <c r="E621" t="n">
        <v>1</v>
      </c>
      <c r="F621" t="n">
        <v>1</v>
      </c>
      <c r="G621" t="n">
        <v>1</v>
      </c>
      <c r="H621" t="n">
        <v>3</v>
      </c>
      <c r="I621" t="inlineStr">
        <is>
          <t>101-1703</t>
        </is>
      </c>
      <c r="J621" t="inlineStr">
        <is>
          <t>ТССЦ Московской обл., 101-1703, приказ Минстроя России №675/пр от 28.02.2017 № 254/пр</t>
        </is>
      </c>
      <c r="K621" t="inlineStr">
        <is>
          <t>Прокладки резиновые (пластина техническая прессованная)</t>
        </is>
      </c>
      <c r="L621" t="n">
        <v>1346</v>
      </c>
      <c r="N621" t="n">
        <v>1009</v>
      </c>
      <c r="O621" t="inlineStr">
        <is>
          <t>кг</t>
        </is>
      </c>
      <c r="P621" t="inlineStr">
        <is>
          <t>кг</t>
        </is>
      </c>
      <c r="Q621" t="n">
        <v>1</v>
      </c>
      <c r="X621" t="n">
        <v>2</v>
      </c>
      <c r="Y621" t="n">
        <v>23.09</v>
      </c>
      <c r="Z621" t="n">
        <v>0</v>
      </c>
      <c r="AA621" t="n">
        <v>0</v>
      </c>
      <c r="AB621" t="n">
        <v>0</v>
      </c>
      <c r="AC621" t="n">
        <v>0</v>
      </c>
      <c r="AD621" t="n">
        <v>1</v>
      </c>
      <c r="AE621" t="n">
        <v>0</v>
      </c>
      <c r="AF621" t="inlineStr"/>
      <c r="AG621" t="n">
        <v>2</v>
      </c>
      <c r="AH621" t="n">
        <v>2</v>
      </c>
      <c r="AI621" t="n">
        <v>78873148</v>
      </c>
      <c r="AJ621" t="n">
        <v>675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ROW(Source!A1427)</f>
        <v/>
      </c>
      <c r="B622" t="n">
        <v>78873154</v>
      </c>
      <c r="C622" t="n">
        <v>78873145</v>
      </c>
      <c r="D622" t="n">
        <v>29114240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101-2576</t>
        </is>
      </c>
      <c r="J622" t="inlineStr">
        <is>
          <t>ТССЦ Московской обл., 101-2576, приказ Минстроя России №675/пр от 28.02.2017 № 254/пр</t>
        </is>
      </c>
      <c r="K622" t="inlineStr">
        <is>
          <t>Болты с гайками и шайбами для санитарно-технических работ диаметром 16 мм</t>
        </is>
      </c>
      <c r="L622" t="n">
        <v>1348</v>
      </c>
      <c r="N622" t="n">
        <v>1009</v>
      </c>
      <c r="O622" t="inlineStr">
        <is>
          <t>т</t>
        </is>
      </c>
      <c r="P622" t="inlineStr">
        <is>
          <t>т</t>
        </is>
      </c>
      <c r="Q622" t="n">
        <v>1000</v>
      </c>
      <c r="X622" t="n">
        <v>0.005</v>
      </c>
      <c r="Y622" t="n">
        <v>14830</v>
      </c>
      <c r="Z622" t="n">
        <v>0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/>
      <c r="AG622" t="n">
        <v>0.005</v>
      </c>
      <c r="AH622" t="n">
        <v>2</v>
      </c>
      <c r="AI622" t="n">
        <v>78873149</v>
      </c>
      <c r="AJ622" t="n">
        <v>676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ROW(Source!A1427)</f>
        <v/>
      </c>
      <c r="B623" t="n">
        <v>78873155</v>
      </c>
      <c r="C623" t="n">
        <v>78873145</v>
      </c>
      <c r="D623" t="n">
        <v>29150040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411-0001</t>
        </is>
      </c>
      <c r="J623" t="inlineStr">
        <is>
          <t>ТССЦ Московской обл., 411-0001, приказ Минстроя России №675/пр от 28.02.2017 № 257/пр</t>
        </is>
      </c>
      <c r="K623" t="inlineStr">
        <is>
          <t>Вода</t>
        </is>
      </c>
      <c r="L623" t="n">
        <v>1339</v>
      </c>
      <c r="N623" t="n">
        <v>1007</v>
      </c>
      <c r="O623" t="inlineStr">
        <is>
          <t>м3</t>
        </is>
      </c>
      <c r="P623" t="inlineStr">
        <is>
          <t>м3</t>
        </is>
      </c>
      <c r="Q623" t="n">
        <v>1</v>
      </c>
      <c r="X623" t="n">
        <v>7.8</v>
      </c>
      <c r="Y623" t="n">
        <v>2.44</v>
      </c>
      <c r="Z623" t="n">
        <v>0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/>
      <c r="AG623" t="n">
        <v>7.8</v>
      </c>
      <c r="AH623" t="n">
        <v>2</v>
      </c>
      <c r="AI623" t="n">
        <v>78873150</v>
      </c>
      <c r="AJ623" t="n">
        <v>677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ROW(Source!A1428)</f>
        <v/>
      </c>
      <c r="B624" t="n">
        <v>78873170</v>
      </c>
      <c r="C624" t="n">
        <v>78873163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X624" t="n">
        <v>5.01</v>
      </c>
      <c r="Y624" t="n">
        <v>0</v>
      </c>
      <c r="Z624" t="n">
        <v>0</v>
      </c>
      <c r="AA624" t="n">
        <v>0</v>
      </c>
      <c r="AB624" t="n">
        <v>11.64</v>
      </c>
      <c r="AC624" t="n">
        <v>0</v>
      </c>
      <c r="AD624" t="n">
        <v>1</v>
      </c>
      <c r="AE624" t="n">
        <v>1</v>
      </c>
      <c r="AF624" t="inlineStr">
        <is>
          <t>)*7</t>
        </is>
      </c>
      <c r="AG624" t="n">
        <v>35.07</v>
      </c>
      <c r="AH624" t="n">
        <v>2</v>
      </c>
      <c r="AI624" t="n">
        <v>78873164</v>
      </c>
      <c r="AJ624" t="n">
        <v>678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ROW(Source!A1428)</f>
        <v/>
      </c>
      <c r="B625" t="n">
        <v>78873171</v>
      </c>
      <c r="C625" t="n">
        <v>78873163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X625" t="n">
        <v>1.5</v>
      </c>
      <c r="Y625" t="n">
        <v>0</v>
      </c>
      <c r="Z625" t="n">
        <v>29.67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)*7</t>
        </is>
      </c>
      <c r="AG625" t="n">
        <v>10.5</v>
      </c>
      <c r="AH625" t="n">
        <v>2</v>
      </c>
      <c r="AI625" t="n">
        <v>78873165</v>
      </c>
      <c r="AJ625" t="n">
        <v>679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ROW(Source!A1428)</f>
        <v/>
      </c>
      <c r="B626" t="n">
        <v>78873172</v>
      </c>
      <c r="C626" t="n">
        <v>78873163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X626" t="n">
        <v>5e-05</v>
      </c>
      <c r="Y626" t="n">
        <v>15118.99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)*7</t>
        </is>
      </c>
      <c r="AG626" t="n">
        <v>0.00035</v>
      </c>
      <c r="AH626" t="n">
        <v>2</v>
      </c>
      <c r="AI626" t="n">
        <v>78873166</v>
      </c>
      <c r="AJ626" t="n">
        <v>680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ROW(Source!A1428)</f>
        <v/>
      </c>
      <c r="B627" t="n">
        <v>78873173</v>
      </c>
      <c r="C627" t="n">
        <v>78873163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X627" t="n">
        <v>2e-05</v>
      </c>
      <c r="Y627" t="n">
        <v>16950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)*7</t>
        </is>
      </c>
      <c r="AG627" t="n">
        <v>0.00014</v>
      </c>
      <c r="AH627" t="n">
        <v>2</v>
      </c>
      <c r="AI627" t="n">
        <v>78873167</v>
      </c>
      <c r="AJ627" t="n">
        <v>681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ROW(Source!A1428)</f>
        <v/>
      </c>
      <c r="B628" t="n">
        <v>78873174</v>
      </c>
      <c r="C628" t="n">
        <v>78873163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0.02</v>
      </c>
      <c r="Y628" t="n">
        <v>37.29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)*7</t>
        </is>
      </c>
      <c r="AG628" t="n">
        <v>0.14</v>
      </c>
      <c r="AH628" t="n">
        <v>2</v>
      </c>
      <c r="AI628" t="n">
        <v>78873168</v>
      </c>
      <c r="AJ628" t="n">
        <v>682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ROW(Source!A1428)</f>
        <v/>
      </c>
      <c r="B629" t="n">
        <v>78873175</v>
      </c>
      <c r="C629" t="n">
        <v>78873163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X629" t="n">
        <v>1</v>
      </c>
      <c r="Y629" t="n">
        <v>2.44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)*7</t>
        </is>
      </c>
      <c r="AG629" t="n">
        <v>7</v>
      </c>
      <c r="AH629" t="n">
        <v>2</v>
      </c>
      <c r="AI629" t="n">
        <v>78873169</v>
      </c>
      <c r="AJ629" t="n">
        <v>683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ROW(Source!A1429)</f>
        <v/>
      </c>
      <c r="B630" t="n">
        <v>78873204</v>
      </c>
      <c r="C630" t="n">
        <v>78873180</v>
      </c>
      <c r="D630" t="n">
        <v>18409850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1-1035-90</t>
        </is>
      </c>
      <c r="J630" t="inlineStr"/>
      <c r="K630" t="inlineStr">
        <is>
          <t>Рабочий строитель среднего разряда 3,5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X630" t="n">
        <v>133</v>
      </c>
      <c r="Y630" t="n">
        <v>0</v>
      </c>
      <c r="Z630" t="n">
        <v>0</v>
      </c>
      <c r="AA630" t="n">
        <v>0</v>
      </c>
      <c r="AB630" t="n">
        <v>9.07</v>
      </c>
      <c r="AC630" t="n">
        <v>0</v>
      </c>
      <c r="AD630" t="n">
        <v>1</v>
      </c>
      <c r="AE630" t="n">
        <v>1</v>
      </c>
      <c r="AF630" t="inlineStr"/>
      <c r="AG630" t="n">
        <v>133</v>
      </c>
      <c r="AH630" t="n">
        <v>2</v>
      </c>
      <c r="AI630" t="n">
        <v>78873204</v>
      </c>
      <c r="AJ630" t="n">
        <v>684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ROW(Source!A1429)</f>
        <v/>
      </c>
      <c r="B631" t="n">
        <v>78873205</v>
      </c>
      <c r="C631" t="n">
        <v>78873180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X631" t="n">
        <v>0.26</v>
      </c>
      <c r="Y631" t="n">
        <v>0</v>
      </c>
      <c r="Z631" t="n">
        <v>87.17</v>
      </c>
      <c r="AA631" t="n">
        <v>11.6</v>
      </c>
      <c r="AB631" t="n">
        <v>0</v>
      </c>
      <c r="AC631" t="n">
        <v>0</v>
      </c>
      <c r="AD631" t="n">
        <v>1</v>
      </c>
      <c r="AE631" t="n">
        <v>0</v>
      </c>
      <c r="AF631" t="inlineStr"/>
      <c r="AG631" t="n">
        <v>0.26</v>
      </c>
      <c r="AH631" t="n">
        <v>2</v>
      </c>
      <c r="AI631" t="n">
        <v>78873205</v>
      </c>
      <c r="AJ631" t="n">
        <v>685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ROW(Source!A1429)</f>
        <v/>
      </c>
      <c r="B632" t="n">
        <v>78873206</v>
      </c>
      <c r="C632" t="n">
        <v>78873180</v>
      </c>
      <c r="D632" t="n">
        <v>29110398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101-0388</t>
        </is>
      </c>
      <c r="J632" t="inlineStr">
        <is>
          <t>ТССЦ Московской обл., 101-0388, приказ Минстроя России №675/пр от 28.02.2017 № 254/пр</t>
        </is>
      </c>
      <c r="K632" t="inlineStr">
        <is>
          <t>Краски масляные земляные марки МА-0115 мумия, сурик железный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0.0037</v>
      </c>
      <c r="Y632" t="n">
        <v>15118.99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/>
      <c r="AG632" t="n">
        <v>0.0037</v>
      </c>
      <c r="AH632" t="n">
        <v>2</v>
      </c>
      <c r="AI632" t="n">
        <v>78873206</v>
      </c>
      <c r="AJ632" t="n">
        <v>686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ROW(Source!A1429)</f>
        <v/>
      </c>
      <c r="B633" t="n">
        <v>78873207</v>
      </c>
      <c r="C633" t="n">
        <v>78873180</v>
      </c>
      <c r="D633" t="n">
        <v>29110573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101-0628</t>
        </is>
      </c>
      <c r="J633" t="inlineStr">
        <is>
          <t>ТССЦ Московской обл., 101-0628, приказ Минстроя России №675/пр от 28.02.2017 № 254/пр</t>
        </is>
      </c>
      <c r="K633" t="inlineStr">
        <is>
          <t>Олифа комбинированная, марки К-3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X633" t="n">
        <v>0.0018</v>
      </c>
      <c r="Y633" t="n">
        <v>16950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/>
      <c r="AG633" t="n">
        <v>0.0018</v>
      </c>
      <c r="AH633" t="n">
        <v>2</v>
      </c>
      <c r="AI633" t="n">
        <v>78873207</v>
      </c>
      <c r="AJ633" t="n">
        <v>687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ROW(Source!A1429)</f>
        <v/>
      </c>
      <c r="B634" t="n">
        <v>78873208</v>
      </c>
      <c r="C634" t="n">
        <v>78873180</v>
      </c>
      <c r="D634" t="n">
        <v>29107963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101-1669</t>
        </is>
      </c>
      <c r="J634" t="inlineStr">
        <is>
          <t>ТССЦ Московской обл., 101-1669, приказ Минстроя России №675/пр от 28.02.2017 № 254/пр</t>
        </is>
      </c>
      <c r="K634" t="inlineStr">
        <is>
          <t>Очес льняной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1.84</v>
      </c>
      <c r="Y634" t="n">
        <v>37.29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/>
      <c r="AG634" t="n">
        <v>1.84</v>
      </c>
      <c r="AH634" t="n">
        <v>2</v>
      </c>
      <c r="AI634" t="n">
        <v>78873208</v>
      </c>
      <c r="AJ634" t="n">
        <v>688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ROW(Source!A1429)</f>
        <v/>
      </c>
      <c r="B635" t="n">
        <v>78873209</v>
      </c>
      <c r="C635" t="n">
        <v>78873180</v>
      </c>
      <c r="D635" t="n">
        <v>29142469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302-1346</t>
        </is>
      </c>
      <c r="J635" t="inlineStr">
        <is>
          <t>ТССЦ Московской обл., 302-1346, приказ Минстроя России №675/пр от 28.02.2017 № 256/пр</t>
        </is>
      </c>
      <c r="K635" t="inlineStr">
        <is>
          <t>Вентили проходные муфтовые 15кч18п для воды давлением 1,6 МПа (16 кгс/см2), диаметром 50 мм</t>
        </is>
      </c>
      <c r="L635" t="n">
        <v>1354</v>
      </c>
      <c r="N635" t="n">
        <v>1010</v>
      </c>
      <c r="O635" t="inlineStr">
        <is>
          <t>шт.</t>
        </is>
      </c>
      <c r="P635" t="inlineStr">
        <is>
          <t>шт.</t>
        </is>
      </c>
      <c r="Q635" t="n">
        <v>1</v>
      </c>
      <c r="X635" t="n">
        <v>100</v>
      </c>
      <c r="Y635" t="n">
        <v>82.33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/>
      <c r="AG635" t="n">
        <v>100</v>
      </c>
      <c r="AH635" t="n">
        <v>2</v>
      </c>
      <c r="AI635" t="n">
        <v>78873209</v>
      </c>
      <c r="AJ635" t="n">
        <v>691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ROW(Source!A1429)</f>
        <v/>
      </c>
      <c r="B636" t="n">
        <v>78873210</v>
      </c>
      <c r="C636" t="n">
        <v>78873180</v>
      </c>
      <c r="D636" t="n">
        <v>29164350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509-9899</t>
        </is>
      </c>
      <c r="J636" t="inlineStr">
        <is>
          <t>ТССЦ Московской обл., 509-9899, приказ Минстроя России №675/пр от 28.02.2017 № 258/пр</t>
        </is>
      </c>
      <c r="K636" t="inlineStr">
        <is>
          <t>Строительный мусор и масса возвратных материалов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X636" t="n">
        <v>0.24</v>
      </c>
      <c r="Y636" t="n">
        <v>0</v>
      </c>
      <c r="Z636" t="n">
        <v>0</v>
      </c>
      <c r="AA636" t="n">
        <v>0</v>
      </c>
      <c r="AB636" t="n">
        <v>0</v>
      </c>
      <c r="AC636" t="n">
        <v>0</v>
      </c>
      <c r="AD636" t="n">
        <v>0</v>
      </c>
      <c r="AE636" t="n">
        <v>0</v>
      </c>
      <c r="AF636" t="inlineStr"/>
      <c r="AG636" t="n">
        <v>0.24</v>
      </c>
      <c r="AH636" t="n">
        <v>2</v>
      </c>
      <c r="AI636" t="n">
        <v>78873210</v>
      </c>
      <c r="AJ636" t="n">
        <v>693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ROW(Source!A1434)</f>
        <v/>
      </c>
      <c r="B637" t="n">
        <v>78873227</v>
      </c>
      <c r="C637" t="n">
        <v>78873218</v>
      </c>
      <c r="D637" t="n">
        <v>18410280</v>
      </c>
      <c r="E637" t="n">
        <v>1</v>
      </c>
      <c r="F637" t="n">
        <v>1</v>
      </c>
      <c r="G637" t="n">
        <v>1</v>
      </c>
      <c r="H637" t="n">
        <v>1</v>
      </c>
      <c r="I637" t="inlineStr">
        <is>
          <t>1-1039-90</t>
        </is>
      </c>
      <c r="J637" t="inlineStr"/>
      <c r="K637" t="inlineStr">
        <is>
          <t>Рабочий строитель среднего разряда 3,9</t>
        </is>
      </c>
      <c r="L637" t="n">
        <v>1369</v>
      </c>
      <c r="N637" t="n">
        <v>1013</v>
      </c>
      <c r="O637" t="inlineStr">
        <is>
          <t>чел.-ч</t>
        </is>
      </c>
      <c r="P637" t="inlineStr">
        <is>
          <t>чел.-ч</t>
        </is>
      </c>
      <c r="Q637" t="n">
        <v>1</v>
      </c>
      <c r="X637" t="n">
        <v>71</v>
      </c>
      <c r="Y637" t="n">
        <v>0</v>
      </c>
      <c r="Z637" t="n">
        <v>0</v>
      </c>
      <c r="AA637" t="n">
        <v>0</v>
      </c>
      <c r="AB637" t="n">
        <v>9.51</v>
      </c>
      <c r="AC637" t="n">
        <v>0</v>
      </c>
      <c r="AD637" t="n">
        <v>1</v>
      </c>
      <c r="AE637" t="n">
        <v>1</v>
      </c>
      <c r="AF637" t="inlineStr"/>
      <c r="AG637" t="n">
        <v>71</v>
      </c>
      <c r="AH637" t="n">
        <v>2</v>
      </c>
      <c r="AI637" t="n">
        <v>78873219</v>
      </c>
      <c r="AJ637" t="n">
        <v>694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ROW(Source!A1434)</f>
        <v/>
      </c>
      <c r="B638" t="n">
        <v>78873228</v>
      </c>
      <c r="C638" t="n">
        <v>78873218</v>
      </c>
      <c r="D638" t="n">
        <v>121548</v>
      </c>
      <c r="E638" t="n">
        <v>1</v>
      </c>
      <c r="F638" t="n">
        <v>1</v>
      </c>
      <c r="G638" t="n">
        <v>1</v>
      </c>
      <c r="H638" t="n">
        <v>1</v>
      </c>
      <c r="I638" t="inlineStr">
        <is>
          <t>2</t>
        </is>
      </c>
      <c r="J638" t="inlineStr"/>
      <c r="K638" t="inlineStr">
        <is>
          <t>Затраты труда машинистов</t>
        </is>
      </c>
      <c r="L638" t="n">
        <v>608254</v>
      </c>
      <c r="N638" t="n">
        <v>1013</v>
      </c>
      <c r="O638" t="inlineStr">
        <is>
          <t>чел.час</t>
        </is>
      </c>
      <c r="P638" t="inlineStr">
        <is>
          <t>чел.час</t>
        </is>
      </c>
      <c r="Q638" t="n">
        <v>1</v>
      </c>
      <c r="X638" t="n">
        <v>0.11</v>
      </c>
      <c r="Y638" t="n">
        <v>0</v>
      </c>
      <c r="Z638" t="n">
        <v>0</v>
      </c>
      <c r="AA638" t="n">
        <v>0</v>
      </c>
      <c r="AB638" t="n">
        <v>0</v>
      </c>
      <c r="AC638" t="n">
        <v>0</v>
      </c>
      <c r="AD638" t="n">
        <v>1</v>
      </c>
      <c r="AE638" t="n">
        <v>2</v>
      </c>
      <c r="AF638" t="inlineStr"/>
      <c r="AG638" t="n">
        <v>0.11</v>
      </c>
      <c r="AH638" t="n">
        <v>2</v>
      </c>
      <c r="AI638" t="n">
        <v>78873220</v>
      </c>
      <c r="AJ638" t="n">
        <v>695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ROW(Source!A1434)</f>
        <v/>
      </c>
      <c r="B639" t="n">
        <v>78873229</v>
      </c>
      <c r="C639" t="n">
        <v>78873218</v>
      </c>
      <c r="D639" t="n">
        <v>29172556</v>
      </c>
      <c r="E639" t="n">
        <v>1</v>
      </c>
      <c r="F639" t="n">
        <v>1</v>
      </c>
      <c r="G639" t="n">
        <v>1</v>
      </c>
      <c r="H639" t="n">
        <v>2</v>
      </c>
      <c r="I639" t="inlineStr">
        <is>
          <t>030954</t>
        </is>
      </c>
      <c r="J639" t="inlineStr">
        <is>
          <t>ТСЭМ Московской обл., 030954, приказ Минстроя России №675/пр от 28.02.2017 № 264/пр</t>
        </is>
      </c>
      <c r="K639" t="inlineStr">
        <is>
          <t>Подъемники грузоподъемностью до 500 кг одномачтовые, высота подъема 45 м</t>
        </is>
      </c>
      <c r="L639" t="n">
        <v>1368</v>
      </c>
      <c r="N639" t="n">
        <v>1011</v>
      </c>
      <c r="O639" t="inlineStr">
        <is>
          <t>маш.-ч</t>
        </is>
      </c>
      <c r="P639" t="inlineStr">
        <is>
          <t>маш.-ч</t>
        </is>
      </c>
      <c r="Q639" t="n">
        <v>1</v>
      </c>
      <c r="X639" t="n">
        <v>0.11</v>
      </c>
      <c r="Y639" t="n">
        <v>0</v>
      </c>
      <c r="Z639" t="n">
        <v>31.26</v>
      </c>
      <c r="AA639" t="n">
        <v>13.5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0.11</v>
      </c>
      <c r="AH639" t="n">
        <v>2</v>
      </c>
      <c r="AI639" t="n">
        <v>78873221</v>
      </c>
      <c r="AJ639" t="n">
        <v>696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ROW(Source!A1434)</f>
        <v/>
      </c>
      <c r="B640" t="n">
        <v>78873230</v>
      </c>
      <c r="C640" t="n">
        <v>78873218</v>
      </c>
      <c r="D640" t="n">
        <v>29110398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101-0388</t>
        </is>
      </c>
      <c r="J640" t="inlineStr">
        <is>
          <t>ТССЦ Московской обл., 101-0388, приказ Минстроя России №675/пр от 28.02.2017 № 254/пр</t>
        </is>
      </c>
      <c r="K640" t="inlineStr">
        <is>
          <t>Краски масляные земляные марки МА-0115 мумия, сурик железный</t>
        </is>
      </c>
      <c r="L640" t="n">
        <v>1348</v>
      </c>
      <c r="N640" t="n">
        <v>1009</v>
      </c>
      <c r="O640" t="inlineStr">
        <is>
          <t>т</t>
        </is>
      </c>
      <c r="P640" t="inlineStr">
        <is>
          <t>т</t>
        </is>
      </c>
      <c r="Q640" t="n">
        <v>1000</v>
      </c>
      <c r="X640" t="n">
        <v>0.0013</v>
      </c>
      <c r="Y640" t="n">
        <v>15118.99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0.0013</v>
      </c>
      <c r="AH640" t="n">
        <v>2</v>
      </c>
      <c r="AI640" t="n">
        <v>78873222</v>
      </c>
      <c r="AJ640" t="n">
        <v>697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ROW(Source!A1434)</f>
        <v/>
      </c>
      <c r="B641" t="n">
        <v>78873231</v>
      </c>
      <c r="C641" t="n">
        <v>78873218</v>
      </c>
      <c r="D641" t="n">
        <v>29110573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101-0628</t>
        </is>
      </c>
      <c r="J641" t="inlineStr">
        <is>
          <t>ТССЦ Московской обл., 101-0628, приказ Минстроя России №675/пр от 28.02.2017 № 254/пр</t>
        </is>
      </c>
      <c r="K641" t="inlineStr">
        <is>
          <t>Олифа комбинированная, марки К-3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X641" t="n">
        <v>0.0024</v>
      </c>
      <c r="Y641" t="n">
        <v>16950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0.0024</v>
      </c>
      <c r="AH641" t="n">
        <v>2</v>
      </c>
      <c r="AI641" t="n">
        <v>78873223</v>
      </c>
      <c r="AJ641" t="n">
        <v>698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ROW(Source!A1434)</f>
        <v/>
      </c>
      <c r="B642" t="n">
        <v>78873232</v>
      </c>
      <c r="C642" t="n">
        <v>78873218</v>
      </c>
      <c r="D642" t="n">
        <v>29107963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101-1669</t>
        </is>
      </c>
      <c r="J642" t="inlineStr">
        <is>
          <t>ТССЦ Московской обл., 101-1669, приказ Минстроя России №675/пр от 28.02.2017 № 254/пр</t>
        </is>
      </c>
      <c r="K642" t="inlineStr">
        <is>
          <t>Очес льняной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0.5600000000000001</v>
      </c>
      <c r="Y642" t="n">
        <v>37.29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0.5600000000000001</v>
      </c>
      <c r="AH642" t="n">
        <v>2</v>
      </c>
      <c r="AI642" t="n">
        <v>78873224</v>
      </c>
      <c r="AJ642" t="n">
        <v>699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ROW(Source!A1434)</f>
        <v/>
      </c>
      <c r="B643" t="n">
        <v>78873233</v>
      </c>
      <c r="C643" t="n">
        <v>78873218</v>
      </c>
      <c r="D643" t="n">
        <v>29144224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302-1241</t>
        </is>
      </c>
      <c r="J643" t="inlineStr">
        <is>
          <t>ТССЦ Московской обл., 302-1241, приказ Минстроя России №675/пр от 28.02.2017 № 256/пр</t>
        </is>
      </c>
      <c r="K643" t="inlineStr">
        <is>
          <t>Сгоны стальные с муфтой и контргайкой, диаметром 50 мм</t>
        </is>
      </c>
      <c r="L643" t="n">
        <v>1354</v>
      </c>
      <c r="N643" t="n">
        <v>1010</v>
      </c>
      <c r="O643" t="inlineStr">
        <is>
          <t>шт.</t>
        </is>
      </c>
      <c r="P643" t="inlineStr">
        <is>
          <t>шт.</t>
        </is>
      </c>
      <c r="Q643" t="n">
        <v>1</v>
      </c>
      <c r="X643" t="n">
        <v>100</v>
      </c>
      <c r="Y643" t="n">
        <v>28.58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100</v>
      </c>
      <c r="AH643" t="n">
        <v>2</v>
      </c>
      <c r="AI643" t="n">
        <v>78873226</v>
      </c>
      <c r="AJ643" t="n">
        <v>701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ROW(Source!A1475)</f>
        <v/>
      </c>
      <c r="B644" t="n">
        <v>78873305</v>
      </c>
      <c r="C644" t="n">
        <v>78873299</v>
      </c>
      <c r="D644" t="n">
        <v>18408291</v>
      </c>
      <c r="E644" t="n">
        <v>1</v>
      </c>
      <c r="F644" t="n">
        <v>1</v>
      </c>
      <c r="G644" t="n">
        <v>1</v>
      </c>
      <c r="H644" t="n">
        <v>1</v>
      </c>
      <c r="I644" t="inlineStr">
        <is>
          <t>1-1025-90</t>
        </is>
      </c>
      <c r="J644" t="inlineStr"/>
      <c r="K644" t="inlineStr">
        <is>
          <t>Рабочий строитель среднего разряда 2,5</t>
        </is>
      </c>
      <c r="L644" t="n">
        <v>1369</v>
      </c>
      <c r="N644" t="n">
        <v>1013</v>
      </c>
      <c r="O644" t="inlineStr">
        <is>
          <t>чел.-ч</t>
        </is>
      </c>
      <c r="P644" t="inlineStr">
        <is>
          <t>чел.-ч</t>
        </is>
      </c>
      <c r="Q644" t="n">
        <v>1</v>
      </c>
      <c r="X644" t="n">
        <v>32.2</v>
      </c>
      <c r="Y644" t="n">
        <v>0</v>
      </c>
      <c r="Z644" t="n">
        <v>0</v>
      </c>
      <c r="AA644" t="n">
        <v>0</v>
      </c>
      <c r="AB644" t="n">
        <v>8.17</v>
      </c>
      <c r="AC644" t="n">
        <v>0</v>
      </c>
      <c r="AD644" t="n">
        <v>1</v>
      </c>
      <c r="AE644" t="n">
        <v>1</v>
      </c>
      <c r="AF644" t="inlineStr"/>
      <c r="AG644" t="n">
        <v>32.2</v>
      </c>
      <c r="AH644" t="n">
        <v>2</v>
      </c>
      <c r="AI644" t="n">
        <v>78873300</v>
      </c>
      <c r="AJ644" t="n">
        <v>702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ROW(Source!A1475)</f>
        <v/>
      </c>
      <c r="B645" t="n">
        <v>78873306</v>
      </c>
      <c r="C645" t="n">
        <v>78873299</v>
      </c>
      <c r="D645" t="n">
        <v>29174913</v>
      </c>
      <c r="E645" t="n">
        <v>1</v>
      </c>
      <c r="F645" t="n">
        <v>1</v>
      </c>
      <c r="G645" t="n">
        <v>1</v>
      </c>
      <c r="H645" t="n">
        <v>2</v>
      </c>
      <c r="I645" t="inlineStr">
        <is>
          <t>400001</t>
        </is>
      </c>
      <c r="J645" t="inlineStr">
        <is>
          <t>ТСЭМ Московской обл., 400001, приказ Минстроя России №675/пр от 28.02.2017 № 264/пр</t>
        </is>
      </c>
      <c r="K645" t="inlineStr">
        <is>
          <t>Автомобили бортовые, грузоподъемность до 5 т</t>
        </is>
      </c>
      <c r="L645" t="n">
        <v>1368</v>
      </c>
      <c r="N645" t="n">
        <v>1011</v>
      </c>
      <c r="O645" t="inlineStr">
        <is>
          <t>маш.-ч</t>
        </is>
      </c>
      <c r="P645" t="inlineStr">
        <is>
          <t>маш.-ч</t>
        </is>
      </c>
      <c r="Q645" t="n">
        <v>1</v>
      </c>
      <c r="X645" t="n">
        <v>0.01</v>
      </c>
      <c r="Y645" t="n">
        <v>0</v>
      </c>
      <c r="Z645" t="n">
        <v>87.17</v>
      </c>
      <c r="AA645" t="n">
        <v>11.6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</v>
      </c>
      <c r="AH645" t="n">
        <v>2</v>
      </c>
      <c r="AI645" t="n">
        <v>78873301</v>
      </c>
      <c r="AJ645" t="n">
        <v>703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ROW(Source!A1475)</f>
        <v/>
      </c>
      <c r="B646" t="n">
        <v>78873307</v>
      </c>
      <c r="C646" t="n">
        <v>78873299</v>
      </c>
      <c r="D646" t="n">
        <v>29110139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101-1703</t>
        </is>
      </c>
      <c r="J646" t="inlineStr">
        <is>
          <t>ТССЦ Московской обл., 101-1703, приказ Минстроя России №675/пр от 28.02.2017 № 254/пр</t>
        </is>
      </c>
      <c r="K646" t="inlineStr">
        <is>
          <t>Прокладки резиновые (пластина техническая прессованная)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X646" t="n">
        <v>2</v>
      </c>
      <c r="Y646" t="n">
        <v>23.09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2</v>
      </c>
      <c r="AH646" t="n">
        <v>2</v>
      </c>
      <c r="AI646" t="n">
        <v>78873302</v>
      </c>
      <c r="AJ646" t="n">
        <v>704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ROW(Source!A1475)</f>
        <v/>
      </c>
      <c r="B647" t="n">
        <v>78873308</v>
      </c>
      <c r="C647" t="n">
        <v>78873299</v>
      </c>
      <c r="D647" t="n">
        <v>29114240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101-2576</t>
        </is>
      </c>
      <c r="J647" t="inlineStr">
        <is>
          <t>ТССЦ Московской обл., 101-2576, приказ Минстроя России №675/пр от 28.02.2017 № 254/пр</t>
        </is>
      </c>
      <c r="K647" t="inlineStr">
        <is>
          <t>Болты с гайками и шайбами для санитарно-технических работ диаметром 16 мм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0.005</v>
      </c>
      <c r="Y647" t="n">
        <v>14830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0.005</v>
      </c>
      <c r="AH647" t="n">
        <v>2</v>
      </c>
      <c r="AI647" t="n">
        <v>78873303</v>
      </c>
      <c r="AJ647" t="n">
        <v>705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ROW(Source!A1475)</f>
        <v/>
      </c>
      <c r="B648" t="n">
        <v>78873309</v>
      </c>
      <c r="C648" t="n">
        <v>78873299</v>
      </c>
      <c r="D648" t="n">
        <v>29150040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411-0001</t>
        </is>
      </c>
      <c r="J648" t="inlineStr">
        <is>
          <t>ТССЦ Московской обл., 411-0001, приказ Минстроя России №675/пр от 28.02.2017 № 257/пр</t>
        </is>
      </c>
      <c r="K648" t="inlineStr">
        <is>
          <t>Вода</t>
        </is>
      </c>
      <c r="L648" t="n">
        <v>1339</v>
      </c>
      <c r="N648" t="n">
        <v>1007</v>
      </c>
      <c r="O648" t="inlineStr">
        <is>
          <t>м3</t>
        </is>
      </c>
      <c r="P648" t="inlineStr">
        <is>
          <t>м3</t>
        </is>
      </c>
      <c r="Q648" t="n">
        <v>1</v>
      </c>
      <c r="X648" t="n">
        <v>7.8</v>
      </c>
      <c r="Y648" t="n">
        <v>2.44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7.8</v>
      </c>
      <c r="AH648" t="n">
        <v>2</v>
      </c>
      <c r="AI648" t="n">
        <v>78873304</v>
      </c>
      <c r="AJ648" t="n">
        <v>706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ROW(Source!A1476)</f>
        <v/>
      </c>
      <c r="B649" t="n">
        <v>78873314</v>
      </c>
      <c r="C649" t="n">
        <v>78873310</v>
      </c>
      <c r="D649" t="n">
        <v>18407150</v>
      </c>
      <c r="E649" t="n">
        <v>1</v>
      </c>
      <c r="F649" t="n">
        <v>1</v>
      </c>
      <c r="G649" t="n">
        <v>1</v>
      </c>
      <c r="H649" t="n">
        <v>1</v>
      </c>
      <c r="I649" t="inlineStr">
        <is>
          <t>1-1030-90</t>
        </is>
      </c>
      <c r="J649" t="inlineStr"/>
      <c r="K649" t="inlineStr">
        <is>
          <t>Рабочий строитель среднего разряда 3</t>
        </is>
      </c>
      <c r="L649" t="n">
        <v>1369</v>
      </c>
      <c r="N649" t="n">
        <v>1013</v>
      </c>
      <c r="O649" t="inlineStr">
        <is>
          <t>чел.-ч</t>
        </is>
      </c>
      <c r="P649" t="inlineStr">
        <is>
          <t>чел.-ч</t>
        </is>
      </c>
      <c r="Q649" t="n">
        <v>1</v>
      </c>
      <c r="X649" t="n">
        <v>13.9</v>
      </c>
      <c r="Y649" t="n">
        <v>0</v>
      </c>
      <c r="Z649" t="n">
        <v>0</v>
      </c>
      <c r="AA649" t="n">
        <v>0</v>
      </c>
      <c r="AB649" t="n">
        <v>8.529999999999999</v>
      </c>
      <c r="AC649" t="n">
        <v>0</v>
      </c>
      <c r="AD649" t="n">
        <v>1</v>
      </c>
      <c r="AE649" t="n">
        <v>1</v>
      </c>
      <c r="AF649" t="inlineStr"/>
      <c r="AG649" t="n">
        <v>13.9</v>
      </c>
      <c r="AH649" t="n">
        <v>2</v>
      </c>
      <c r="AI649" t="n">
        <v>78873311</v>
      </c>
      <c r="AJ649" t="n">
        <v>707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ROW(Source!A1476)</f>
        <v/>
      </c>
      <c r="B650" t="n">
        <v>78873315</v>
      </c>
      <c r="C650" t="n">
        <v>78873310</v>
      </c>
      <c r="D650" t="n">
        <v>29169821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509-0696</t>
        </is>
      </c>
      <c r="J650" t="inlineStr">
        <is>
          <t>ТССЦ Московской обл., 509-0696, приказ Минстроя России №675/пр от 28.02.2017 № 258/пр</t>
        </is>
      </c>
      <c r="K650" t="inlineStr">
        <is>
          <t>Лампы люминесцентные ртутные низкого давления типа ЛБ, ЛД, ЛДЦ, ЛТВ, ЛБХ 20</t>
        </is>
      </c>
      <c r="L650" t="n">
        <v>1358</v>
      </c>
      <c r="N650" t="n">
        <v>1010</v>
      </c>
      <c r="O650" t="inlineStr">
        <is>
          <t>10 шт.</t>
        </is>
      </c>
      <c r="P650" t="inlineStr">
        <is>
          <t>10 шт.</t>
        </is>
      </c>
      <c r="Q650" t="n">
        <v>10</v>
      </c>
      <c r="X650" t="n">
        <v>10</v>
      </c>
      <c r="Y650" t="n">
        <v>85.2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10</v>
      </c>
      <c r="AH650" t="n">
        <v>2</v>
      </c>
      <c r="AI650" t="n">
        <v>78873312</v>
      </c>
      <c r="AJ650" t="n">
        <v>708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ROW(Source!A1478)</f>
        <v/>
      </c>
      <c r="B651" t="n">
        <v>78873324</v>
      </c>
      <c r="C651" t="n">
        <v>78873317</v>
      </c>
      <c r="D651" t="n">
        <v>18442827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1-1053-90</t>
        </is>
      </c>
      <c r="J651" t="inlineStr"/>
      <c r="K651" t="inlineStr">
        <is>
          <t>Рабочий строитель среднего разряда 5,3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5.01</v>
      </c>
      <c r="Y651" t="n">
        <v>0</v>
      </c>
      <c r="Z651" t="n">
        <v>0</v>
      </c>
      <c r="AA651" t="n">
        <v>0</v>
      </c>
      <c r="AB651" t="n">
        <v>11.64</v>
      </c>
      <c r="AC651" t="n">
        <v>0</v>
      </c>
      <c r="AD651" t="n">
        <v>1</v>
      </c>
      <c r="AE651" t="n">
        <v>1</v>
      </c>
      <c r="AF651" t="inlineStr">
        <is>
          <t>)*2</t>
        </is>
      </c>
      <c r="AG651" t="n">
        <v>10.02</v>
      </c>
      <c r="AH651" t="n">
        <v>2</v>
      </c>
      <c r="AI651" t="n">
        <v>78873318</v>
      </c>
      <c r="AJ651" t="n">
        <v>710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ROW(Source!A1478)</f>
        <v/>
      </c>
      <c r="B652" t="n">
        <v>78873325</v>
      </c>
      <c r="C652" t="n">
        <v>78873317</v>
      </c>
      <c r="D652" t="n">
        <v>29172703</v>
      </c>
      <c r="E652" t="n">
        <v>1</v>
      </c>
      <c r="F652" t="n">
        <v>1</v>
      </c>
      <c r="G652" t="n">
        <v>1</v>
      </c>
      <c r="H652" t="n">
        <v>2</v>
      </c>
      <c r="I652" t="inlineStr">
        <is>
          <t>042900</t>
        </is>
      </c>
      <c r="J652" t="inlineStr">
        <is>
          <t>ТСЭМ Московской обл., 042900, приказ Минстроя России №675/пр от 28.02.2017 № 264/пр</t>
        </is>
      </c>
      <c r="K65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2" t="n">
        <v>1368</v>
      </c>
      <c r="N652" t="n">
        <v>1011</v>
      </c>
      <c r="O652" t="inlineStr">
        <is>
          <t>маш.-ч</t>
        </is>
      </c>
      <c r="P652" t="inlineStr">
        <is>
          <t>маш.-ч</t>
        </is>
      </c>
      <c r="Q652" t="n">
        <v>1</v>
      </c>
      <c r="X652" t="n">
        <v>1.5</v>
      </c>
      <c r="Y652" t="n">
        <v>0</v>
      </c>
      <c r="Z652" t="n">
        <v>29.67</v>
      </c>
      <c r="AA652" t="n">
        <v>0</v>
      </c>
      <c r="AB652" t="n">
        <v>0</v>
      </c>
      <c r="AC652" t="n">
        <v>0</v>
      </c>
      <c r="AD652" t="n">
        <v>1</v>
      </c>
      <c r="AE652" t="n">
        <v>0</v>
      </c>
      <c r="AF652" t="inlineStr">
        <is>
          <t>)*2</t>
        </is>
      </c>
      <c r="AG652" t="n">
        <v>3</v>
      </c>
      <c r="AH652" t="n">
        <v>2</v>
      </c>
      <c r="AI652" t="n">
        <v>78873319</v>
      </c>
      <c r="AJ652" t="n">
        <v>711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ROW(Source!A1478)</f>
        <v/>
      </c>
      <c r="B653" t="n">
        <v>78873326</v>
      </c>
      <c r="C653" t="n">
        <v>78873317</v>
      </c>
      <c r="D653" t="n">
        <v>29110398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101-0388</t>
        </is>
      </c>
      <c r="J653" t="inlineStr">
        <is>
          <t>ТССЦ Московской обл., 101-0388, приказ Минстроя России №675/пр от 28.02.2017 № 254/пр</t>
        </is>
      </c>
      <c r="K653" t="inlineStr">
        <is>
          <t>Краски масляные земляные марки МА-0115 мумия, сурик железный</t>
        </is>
      </c>
      <c r="L653" t="n">
        <v>1348</v>
      </c>
      <c r="N653" t="n">
        <v>1009</v>
      </c>
      <c r="O653" t="inlineStr">
        <is>
          <t>т</t>
        </is>
      </c>
      <c r="P653" t="inlineStr">
        <is>
          <t>т</t>
        </is>
      </c>
      <c r="Q653" t="n">
        <v>1000</v>
      </c>
      <c r="X653" t="n">
        <v>5e-05</v>
      </c>
      <c r="Y653" t="n">
        <v>15118.99</v>
      </c>
      <c r="Z653" t="n">
        <v>0</v>
      </c>
      <c r="AA653" t="n">
        <v>0</v>
      </c>
      <c r="AB653" t="n">
        <v>0</v>
      </c>
      <c r="AC653" t="n">
        <v>0</v>
      </c>
      <c r="AD653" t="n">
        <v>1</v>
      </c>
      <c r="AE653" t="n">
        <v>0</v>
      </c>
      <c r="AF653" t="inlineStr">
        <is>
          <t>)*2</t>
        </is>
      </c>
      <c r="AG653" t="n">
        <v>0.0001</v>
      </c>
      <c r="AH653" t="n">
        <v>2</v>
      </c>
      <c r="AI653" t="n">
        <v>78873320</v>
      </c>
      <c r="AJ653" t="n">
        <v>712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ROW(Source!A1478)</f>
        <v/>
      </c>
      <c r="B654" t="n">
        <v>78873327</v>
      </c>
      <c r="C654" t="n">
        <v>78873317</v>
      </c>
      <c r="D654" t="n">
        <v>29110573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101-0628</t>
        </is>
      </c>
      <c r="J654" t="inlineStr">
        <is>
          <t>ТССЦ Московской обл., 101-0628, приказ Минстроя России №675/пр от 28.02.2017 № 254/пр</t>
        </is>
      </c>
      <c r="K654" t="inlineStr">
        <is>
          <t>Олифа комбинированная, марки К-3</t>
        </is>
      </c>
      <c r="L654" t="n">
        <v>1348</v>
      </c>
      <c r="N654" t="n">
        <v>1009</v>
      </c>
      <c r="O654" t="inlineStr">
        <is>
          <t>т</t>
        </is>
      </c>
      <c r="P654" t="inlineStr">
        <is>
          <t>т</t>
        </is>
      </c>
      <c r="Q654" t="n">
        <v>1000</v>
      </c>
      <c r="X654" t="n">
        <v>2e-05</v>
      </c>
      <c r="Y654" t="n">
        <v>16950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>
        <is>
          <t>)*2</t>
        </is>
      </c>
      <c r="AG654" t="n">
        <v>4e-05</v>
      </c>
      <c r="AH654" t="n">
        <v>2</v>
      </c>
      <c r="AI654" t="n">
        <v>78873321</v>
      </c>
      <c r="AJ654" t="n">
        <v>713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ROW(Source!A1478)</f>
        <v/>
      </c>
      <c r="B655" t="n">
        <v>78873328</v>
      </c>
      <c r="C655" t="n">
        <v>78873317</v>
      </c>
      <c r="D655" t="n">
        <v>29107963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101-1669</t>
        </is>
      </c>
      <c r="J655" t="inlineStr">
        <is>
          <t>ТССЦ Московской обл., 101-1669, приказ Минстроя России №675/пр от 28.02.2017 № 254/пр</t>
        </is>
      </c>
      <c r="K655" t="inlineStr">
        <is>
          <t>Очес льняной</t>
        </is>
      </c>
      <c r="L655" t="n">
        <v>1346</v>
      </c>
      <c r="N655" t="n">
        <v>1009</v>
      </c>
      <c r="O655" t="inlineStr">
        <is>
          <t>кг</t>
        </is>
      </c>
      <c r="P655" t="inlineStr">
        <is>
          <t>кг</t>
        </is>
      </c>
      <c r="Q655" t="n">
        <v>1</v>
      </c>
      <c r="X655" t="n">
        <v>0.02</v>
      </c>
      <c r="Y655" t="n">
        <v>37.29</v>
      </c>
      <c r="Z655" t="n">
        <v>0</v>
      </c>
      <c r="AA655" t="n">
        <v>0</v>
      </c>
      <c r="AB655" t="n">
        <v>0</v>
      </c>
      <c r="AC655" t="n">
        <v>0</v>
      </c>
      <c r="AD655" t="n">
        <v>1</v>
      </c>
      <c r="AE655" t="n">
        <v>0</v>
      </c>
      <c r="AF655" t="inlineStr">
        <is>
          <t>)*2</t>
        </is>
      </c>
      <c r="AG655" t="n">
        <v>0.04</v>
      </c>
      <c r="AH655" t="n">
        <v>2</v>
      </c>
      <c r="AI655" t="n">
        <v>78873322</v>
      </c>
      <c r="AJ655" t="n">
        <v>714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ROW(Source!A1478)</f>
        <v/>
      </c>
      <c r="B656" t="n">
        <v>78873329</v>
      </c>
      <c r="C656" t="n">
        <v>78873317</v>
      </c>
      <c r="D656" t="n">
        <v>29150040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411-0001</t>
        </is>
      </c>
      <c r="J656" t="inlineStr">
        <is>
          <t>ТССЦ Московской обл., 411-0001, приказ Минстроя России №675/пр от 28.02.2017 № 257/пр</t>
        </is>
      </c>
      <c r="K656" t="inlineStr">
        <is>
          <t>Вода</t>
        </is>
      </c>
      <c r="L656" t="n">
        <v>1339</v>
      </c>
      <c r="N656" t="n">
        <v>1007</v>
      </c>
      <c r="O656" t="inlineStr">
        <is>
          <t>м3</t>
        </is>
      </c>
      <c r="P656" t="inlineStr">
        <is>
          <t>м3</t>
        </is>
      </c>
      <c r="Q656" t="n">
        <v>1</v>
      </c>
      <c r="X656" t="n">
        <v>1</v>
      </c>
      <c r="Y656" t="n">
        <v>2.44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0</v>
      </c>
      <c r="AF656" t="inlineStr">
        <is>
          <t>)*2</t>
        </is>
      </c>
      <c r="AG656" t="n">
        <v>2</v>
      </c>
      <c r="AH656" t="n">
        <v>2</v>
      </c>
      <c r="AI656" t="n">
        <v>78873323</v>
      </c>
      <c r="AJ656" t="n">
        <v>715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ROW(Source!A1517)</f>
        <v/>
      </c>
      <c r="B657" t="n">
        <v>78873397</v>
      </c>
      <c r="C657" t="n">
        <v>78873393</v>
      </c>
      <c r="D657" t="n">
        <v>18407150</v>
      </c>
      <c r="E657" t="n">
        <v>1</v>
      </c>
      <c r="F657" t="n">
        <v>1</v>
      </c>
      <c r="G657" t="n">
        <v>1</v>
      </c>
      <c r="H657" t="n">
        <v>1</v>
      </c>
      <c r="I657" t="inlineStr">
        <is>
          <t>1-1030-90</t>
        </is>
      </c>
      <c r="J657" t="inlineStr"/>
      <c r="K657" t="inlineStr">
        <is>
          <t>Рабочий строитель среднего разряда 3</t>
        </is>
      </c>
      <c r="L657" t="n">
        <v>1369</v>
      </c>
      <c r="N657" t="n">
        <v>1013</v>
      </c>
      <c r="O657" t="inlineStr">
        <is>
          <t>чел.-ч</t>
        </is>
      </c>
      <c r="P657" t="inlineStr">
        <is>
          <t>чел.-ч</t>
        </is>
      </c>
      <c r="Q657" t="n">
        <v>1</v>
      </c>
      <c r="X657" t="n">
        <v>13.9</v>
      </c>
      <c r="Y657" t="n">
        <v>0</v>
      </c>
      <c r="Z657" t="n">
        <v>0</v>
      </c>
      <c r="AA657" t="n">
        <v>0</v>
      </c>
      <c r="AB657" t="n">
        <v>8.529999999999999</v>
      </c>
      <c r="AC657" t="n">
        <v>0</v>
      </c>
      <c r="AD657" t="n">
        <v>1</v>
      </c>
      <c r="AE657" t="n">
        <v>1</v>
      </c>
      <c r="AF657" t="inlineStr"/>
      <c r="AG657" t="n">
        <v>13.9</v>
      </c>
      <c r="AH657" t="n">
        <v>2</v>
      </c>
      <c r="AI657" t="n">
        <v>78873394</v>
      </c>
      <c r="AJ657" t="n">
        <v>716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ROW(Source!A1517)</f>
        <v/>
      </c>
      <c r="B658" t="n">
        <v>78873398</v>
      </c>
      <c r="C658" t="n">
        <v>78873393</v>
      </c>
      <c r="D658" t="n">
        <v>29169821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509-0696</t>
        </is>
      </c>
      <c r="J658" t="inlineStr">
        <is>
          <t>ТССЦ Московской обл., 509-0696, приказ Минстроя России №675/пр от 28.02.2017 № 258/пр</t>
        </is>
      </c>
      <c r="K658" t="inlineStr">
        <is>
          <t>Лампы люминесцентные ртутные низкого давления типа ЛБ, ЛД, ЛДЦ, ЛТВ, ЛБХ 20</t>
        </is>
      </c>
      <c r="L658" t="n">
        <v>1358</v>
      </c>
      <c r="N658" t="n">
        <v>1010</v>
      </c>
      <c r="O658" t="inlineStr">
        <is>
          <t>10 шт.</t>
        </is>
      </c>
      <c r="P658" t="inlineStr">
        <is>
          <t>10 шт.</t>
        </is>
      </c>
      <c r="Q658" t="n">
        <v>10</v>
      </c>
      <c r="X658" t="n">
        <v>10</v>
      </c>
      <c r="Y658" t="n">
        <v>85.2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</v>
      </c>
      <c r="AH658" t="n">
        <v>2</v>
      </c>
      <c r="AI658" t="n">
        <v>78873395</v>
      </c>
      <c r="AJ658" t="n">
        <v>718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ROW(Source!A1521)</f>
        <v/>
      </c>
      <c r="B659" t="n">
        <v>78873435</v>
      </c>
      <c r="C659" t="n">
        <v>78873428</v>
      </c>
      <c r="D659" t="n">
        <v>18442827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1-1053-90</t>
        </is>
      </c>
      <c r="J659" t="inlineStr"/>
      <c r="K659" t="inlineStr">
        <is>
          <t>Рабочий строитель среднего разряда 5,3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5.01</v>
      </c>
      <c r="Y659" t="n">
        <v>0</v>
      </c>
      <c r="Z659" t="n">
        <v>0</v>
      </c>
      <c r="AA659" t="n">
        <v>0</v>
      </c>
      <c r="AB659" t="n">
        <v>11.64</v>
      </c>
      <c r="AC659" t="n">
        <v>0</v>
      </c>
      <c r="AD659" t="n">
        <v>1</v>
      </c>
      <c r="AE659" t="n">
        <v>1</v>
      </c>
      <c r="AF659" t="inlineStr">
        <is>
          <t>)*5</t>
        </is>
      </c>
      <c r="AG659" t="n">
        <v>25.05</v>
      </c>
      <c r="AH659" t="n">
        <v>2</v>
      </c>
      <c r="AI659" t="n">
        <v>78873429</v>
      </c>
      <c r="AJ659" t="n">
        <v>721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ROW(Source!A1521)</f>
        <v/>
      </c>
      <c r="B660" t="n">
        <v>78873436</v>
      </c>
      <c r="C660" t="n">
        <v>78873428</v>
      </c>
      <c r="D660" t="n">
        <v>29172703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042900</t>
        </is>
      </c>
      <c r="J660" t="inlineStr">
        <is>
          <t>ТСЭМ Московской обл., 042900, приказ Минстроя России №675/пр от 28.02.2017 № 264/пр</t>
        </is>
      </c>
      <c r="K6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X660" t="n">
        <v>1.5</v>
      </c>
      <c r="Y660" t="n">
        <v>0</v>
      </c>
      <c r="Z660" t="n">
        <v>29.67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>
        <is>
          <t>)*5</t>
        </is>
      </c>
      <c r="AG660" t="n">
        <v>7.5</v>
      </c>
      <c r="AH660" t="n">
        <v>2</v>
      </c>
      <c r="AI660" t="n">
        <v>78873430</v>
      </c>
      <c r="AJ660" t="n">
        <v>722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ROW(Source!A1521)</f>
        <v/>
      </c>
      <c r="B661" t="n">
        <v>78873437</v>
      </c>
      <c r="C661" t="n">
        <v>78873428</v>
      </c>
      <c r="D661" t="n">
        <v>29110398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101-0388</t>
        </is>
      </c>
      <c r="J661" t="inlineStr">
        <is>
          <t>ТССЦ Московской обл., 101-0388, приказ Минстроя России №675/пр от 28.02.2017 № 254/пр</t>
        </is>
      </c>
      <c r="K661" t="inlineStr">
        <is>
          <t>Краски масляные земляные марки МА-0115 мумия, сурик железный</t>
        </is>
      </c>
      <c r="L661" t="n">
        <v>1348</v>
      </c>
      <c r="N661" t="n">
        <v>1009</v>
      </c>
      <c r="O661" t="inlineStr">
        <is>
          <t>т</t>
        </is>
      </c>
      <c r="P661" t="inlineStr">
        <is>
          <t>т</t>
        </is>
      </c>
      <c r="Q661" t="n">
        <v>1000</v>
      </c>
      <c r="X661" t="n">
        <v>5e-05</v>
      </c>
      <c r="Y661" t="n">
        <v>15118.99</v>
      </c>
      <c r="Z661" t="n">
        <v>0</v>
      </c>
      <c r="AA661" t="n">
        <v>0</v>
      </c>
      <c r="AB661" t="n">
        <v>0</v>
      </c>
      <c r="AC661" t="n">
        <v>0</v>
      </c>
      <c r="AD661" t="n">
        <v>1</v>
      </c>
      <c r="AE661" t="n">
        <v>0</v>
      </c>
      <c r="AF661" t="inlineStr">
        <is>
          <t>)*5</t>
        </is>
      </c>
      <c r="AG661" t="n">
        <v>0.00025</v>
      </c>
      <c r="AH661" t="n">
        <v>2</v>
      </c>
      <c r="AI661" t="n">
        <v>78873431</v>
      </c>
      <c r="AJ661" t="n">
        <v>723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ROW(Source!A1521)</f>
        <v/>
      </c>
      <c r="B662" t="n">
        <v>78873438</v>
      </c>
      <c r="C662" t="n">
        <v>78873428</v>
      </c>
      <c r="D662" t="n">
        <v>29110573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101-0628</t>
        </is>
      </c>
      <c r="J662" t="inlineStr">
        <is>
          <t>ТССЦ Московской обл., 101-0628, приказ Минстроя России №675/пр от 28.02.2017 № 254/пр</t>
        </is>
      </c>
      <c r="K662" t="inlineStr">
        <is>
          <t>Олифа комбинированная, марки К-3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2e-05</v>
      </c>
      <c r="Y662" t="n">
        <v>16950</v>
      </c>
      <c r="Z662" t="n">
        <v>0</v>
      </c>
      <c r="AA662" t="n">
        <v>0</v>
      </c>
      <c r="AB662" t="n">
        <v>0</v>
      </c>
      <c r="AC662" t="n">
        <v>0</v>
      </c>
      <c r="AD662" t="n">
        <v>1</v>
      </c>
      <c r="AE662" t="n">
        <v>0</v>
      </c>
      <c r="AF662" t="inlineStr">
        <is>
          <t>)*5</t>
        </is>
      </c>
      <c r="AG662" t="n">
        <v>0.0001</v>
      </c>
      <c r="AH662" t="n">
        <v>2</v>
      </c>
      <c r="AI662" t="n">
        <v>78873432</v>
      </c>
      <c r="AJ662" t="n">
        <v>724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ROW(Source!A1521)</f>
        <v/>
      </c>
      <c r="B663" t="n">
        <v>78873439</v>
      </c>
      <c r="C663" t="n">
        <v>78873428</v>
      </c>
      <c r="D663" t="n">
        <v>29107963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101-1669</t>
        </is>
      </c>
      <c r="J663" t="inlineStr">
        <is>
          <t>ТССЦ Московской обл., 101-1669, приказ Минстроя России №675/пр от 28.02.2017 № 254/пр</t>
        </is>
      </c>
      <c r="K663" t="inlineStr">
        <is>
          <t>Очес льняной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X663" t="n">
        <v>0.02</v>
      </c>
      <c r="Y663" t="n">
        <v>37.29</v>
      </c>
      <c r="Z663" t="n">
        <v>0</v>
      </c>
      <c r="AA663" t="n">
        <v>0</v>
      </c>
      <c r="AB663" t="n">
        <v>0</v>
      </c>
      <c r="AC663" t="n">
        <v>0</v>
      </c>
      <c r="AD663" t="n">
        <v>1</v>
      </c>
      <c r="AE663" t="n">
        <v>0</v>
      </c>
      <c r="AF663" t="inlineStr">
        <is>
          <t>)*5</t>
        </is>
      </c>
      <c r="AG663" t="n">
        <v>0.1</v>
      </c>
      <c r="AH663" t="n">
        <v>2</v>
      </c>
      <c r="AI663" t="n">
        <v>78873433</v>
      </c>
      <c r="AJ663" t="n">
        <v>725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ROW(Source!A1521)</f>
        <v/>
      </c>
      <c r="B664" t="n">
        <v>78873440</v>
      </c>
      <c r="C664" t="n">
        <v>78873428</v>
      </c>
      <c r="D664" t="n">
        <v>29150040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411-0001</t>
        </is>
      </c>
      <c r="J664" t="inlineStr">
        <is>
          <t>ТССЦ Московской обл., 411-0001, приказ Минстроя России №675/пр от 28.02.2017 № 257/пр</t>
        </is>
      </c>
      <c r="K664" t="inlineStr">
        <is>
          <t>Вода</t>
        </is>
      </c>
      <c r="L664" t="n">
        <v>1339</v>
      </c>
      <c r="N664" t="n">
        <v>1007</v>
      </c>
      <c r="O664" t="inlineStr">
        <is>
          <t>м3</t>
        </is>
      </c>
      <c r="P664" t="inlineStr">
        <is>
          <t>м3</t>
        </is>
      </c>
      <c r="Q664" t="n">
        <v>1</v>
      </c>
      <c r="X664" t="n">
        <v>1</v>
      </c>
      <c r="Y664" t="n">
        <v>2.44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0</v>
      </c>
      <c r="AF664" t="inlineStr">
        <is>
          <t>)*5</t>
        </is>
      </c>
      <c r="AG664" t="n">
        <v>5</v>
      </c>
      <c r="AH664" t="n">
        <v>2</v>
      </c>
      <c r="AI664" t="n">
        <v>78873434</v>
      </c>
      <c r="AJ664" t="n">
        <v>726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2026-04-27T05:47:08Z</dcterms:modified>
  <cp:lastModifiedBy>user</cp:lastModifiedBy>
  <cp:lastPrinted>2026-03-05T14:23:14Z</cp:lastPrinted>
</cp:coreProperties>
</file>